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ouz001\working_from_home\value_soil_test_surv\value_soil_testing_survey_advisor\"/>
    </mc:Choice>
  </mc:AlternateContent>
  <xr:revisionPtr revIDLastSave="0" documentId="13_ncr:1_{E638F4AF-7C66-4CD7-8064-1FF5377E69F3}" xr6:coauthVersionLast="41" xr6:coauthVersionMax="44" xr10:uidLastSave="{00000000-0000-0000-0000-000000000000}"/>
  <bookViews>
    <workbookView xWindow="-120" yWindow="-120" windowWidth="29040" windowHeight="15840" tabRatio="557" activeTab="1" xr2:uid="{00000000-000D-0000-FFFF-FFFF00000000}"/>
  </bookViews>
  <sheets>
    <sheet name="Results" sheetId="3" r:id="rId1"/>
    <sheet name="Data" sheetId="1" r:id="rId2"/>
    <sheet name="Data_Agronomist" sheetId="6" r:id="rId3"/>
    <sheet name="Data_Grower" sheetId="4" r:id="rId4"/>
    <sheet name="Sheet4" sheetId="7" r:id="rId5"/>
  </sheets>
  <definedNames>
    <definedName name="_xlnm._FilterDatabase" localSheetId="1" hidden="1">Data!$D$2:$O$3</definedName>
    <definedName name="_xlnm._FilterDatabase" localSheetId="4" hidden="1">Sheet4!$A$1:$C$171</definedName>
    <definedName name="Agronomist">Results!$A$1</definedName>
    <definedName name="Group">Tbl_Responses[Resp_Group]</definedName>
    <definedName name="Grower">Results!$A$45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B60" i="3" l="1"/>
  <c r="HB59" i="3"/>
  <c r="HB58" i="3"/>
  <c r="HB57" i="3"/>
  <c r="HB56" i="3"/>
  <c r="HB55" i="3"/>
  <c r="HB54" i="3"/>
  <c r="HB53" i="3"/>
  <c r="HB52" i="3"/>
  <c r="HB51" i="3"/>
  <c r="HB50" i="3"/>
  <c r="HB49" i="3"/>
  <c r="HB48" i="3"/>
  <c r="HB16" i="3"/>
  <c r="HB15" i="3"/>
  <c r="HB14" i="3"/>
  <c r="HB13" i="3"/>
  <c r="HB12" i="3"/>
  <c r="HB11" i="3"/>
  <c r="HB10" i="3"/>
  <c r="HB9" i="3"/>
  <c r="HB8" i="3"/>
  <c r="HB7" i="3"/>
  <c r="HB6" i="3"/>
  <c r="HB4" i="3"/>
  <c r="HB5" i="3"/>
  <c r="GU4" i="3"/>
  <c r="GU54" i="3"/>
  <c r="GU53" i="3"/>
  <c r="GU52" i="3"/>
  <c r="GU51" i="3"/>
  <c r="GU50" i="3"/>
  <c r="GU49" i="3"/>
  <c r="GU48" i="3"/>
  <c r="GP54" i="3"/>
  <c r="GP53" i="3"/>
  <c r="GP52" i="3"/>
  <c r="GP51" i="3"/>
  <c r="GP50" i="3"/>
  <c r="GP49" i="3"/>
  <c r="GP48" i="3"/>
  <c r="GU10" i="3"/>
  <c r="GU9" i="3"/>
  <c r="GU8" i="3"/>
  <c r="GU7" i="3"/>
  <c r="GU6" i="3"/>
  <c r="GU5" i="3"/>
  <c r="GP10" i="3"/>
  <c r="GP9" i="3"/>
  <c r="GP8" i="3"/>
  <c r="GP7" i="3"/>
  <c r="GP6" i="3"/>
  <c r="GP5" i="3"/>
  <c r="GP4" i="3"/>
  <c r="GK51" i="3"/>
  <c r="GK50" i="3"/>
  <c r="GK49" i="3"/>
  <c r="GK48" i="3"/>
  <c r="GF51" i="3"/>
  <c r="GF50" i="3"/>
  <c r="GF49" i="3"/>
  <c r="GF48" i="3"/>
  <c r="GK4" i="3"/>
  <c r="GK5" i="3"/>
  <c r="GK6" i="3"/>
  <c r="GK7" i="3"/>
  <c r="GF4" i="3"/>
  <c r="GF5" i="3"/>
  <c r="GF6" i="3"/>
  <c r="GF7" i="3"/>
  <c r="GA56" i="3"/>
  <c r="GA55" i="3"/>
  <c r="GA54" i="3"/>
  <c r="GA53" i="3"/>
  <c r="GA52" i="3"/>
  <c r="GA51" i="3"/>
  <c r="GA50" i="3"/>
  <c r="GA49" i="3"/>
  <c r="GA48" i="3"/>
  <c r="GA4" i="3"/>
  <c r="GA5" i="3"/>
  <c r="GA6" i="3"/>
  <c r="GA7" i="3"/>
  <c r="GA8" i="3"/>
  <c r="GA9" i="3"/>
  <c r="GA10" i="3"/>
  <c r="GA11" i="3"/>
  <c r="GA12" i="3"/>
  <c r="EU4" i="3"/>
  <c r="FW51" i="3"/>
  <c r="FV51" i="3"/>
  <c r="FU51" i="3"/>
  <c r="FT51" i="3"/>
  <c r="FW50" i="3"/>
  <c r="FV50" i="3"/>
  <c r="FU50" i="3"/>
  <c r="FT50" i="3"/>
  <c r="FW49" i="3"/>
  <c r="FV49" i="3"/>
  <c r="FU49" i="3"/>
  <c r="FT49" i="3"/>
  <c r="FW48" i="3"/>
  <c r="FV48" i="3"/>
  <c r="FU48" i="3"/>
  <c r="FT48" i="3"/>
  <c r="FU6" i="3"/>
  <c r="FV6" i="3"/>
  <c r="FW6" i="3"/>
  <c r="FT6" i="3"/>
  <c r="FU5" i="3"/>
  <c r="FV5" i="3"/>
  <c r="FW5" i="3"/>
  <c r="FT5" i="3"/>
  <c r="FU4" i="3"/>
  <c r="FV4" i="3"/>
  <c r="FW4" i="3"/>
  <c r="FT4" i="3"/>
  <c r="FO4" i="3"/>
  <c r="FO54" i="3"/>
  <c r="FO53" i="3"/>
  <c r="FO52" i="3"/>
  <c r="FO51" i="3"/>
  <c r="FO50" i="3"/>
  <c r="FO49" i="3"/>
  <c r="FO48" i="3"/>
  <c r="FO10" i="3"/>
  <c r="FO9" i="3"/>
  <c r="FO8" i="3"/>
  <c r="FO7" i="3"/>
  <c r="FO6" i="3"/>
  <c r="FO5" i="3"/>
  <c r="EI4" i="3"/>
  <c r="FE51" i="3"/>
  <c r="FE50" i="3"/>
  <c r="FE49" i="3"/>
  <c r="FE48" i="3"/>
  <c r="FE4" i="3"/>
  <c r="FE5" i="3"/>
  <c r="FE6" i="3"/>
  <c r="FE7" i="3"/>
  <c r="EZ4" i="3"/>
  <c r="EZ51" i="3"/>
  <c r="EZ50" i="3"/>
  <c r="EZ49" i="3"/>
  <c r="EZ48" i="3"/>
  <c r="EZ5" i="3"/>
  <c r="EZ6" i="3"/>
  <c r="EZ7" i="3"/>
  <c r="EU56" i="3"/>
  <c r="EU55" i="3"/>
  <c r="EU54" i="3"/>
  <c r="EU53" i="3"/>
  <c r="EU52" i="3"/>
  <c r="EU51" i="3"/>
  <c r="EU50" i="3"/>
  <c r="EU49" i="3"/>
  <c r="EU48" i="3"/>
  <c r="EU5" i="3"/>
  <c r="EU6" i="3"/>
  <c r="EU7" i="3"/>
  <c r="EU8" i="3"/>
  <c r="EU9" i="3"/>
  <c r="EU10" i="3"/>
  <c r="EU11" i="3"/>
  <c r="EU12" i="3"/>
  <c r="DK4" i="3"/>
  <c r="EQ51" i="3"/>
  <c r="EP51" i="3"/>
  <c r="EO51" i="3"/>
  <c r="EN51" i="3"/>
  <c r="EQ50" i="3"/>
  <c r="EP50" i="3"/>
  <c r="EO50" i="3"/>
  <c r="EN50" i="3"/>
  <c r="EQ49" i="3"/>
  <c r="EP49" i="3"/>
  <c r="EO49" i="3"/>
  <c r="EN49" i="3"/>
  <c r="EQ48" i="3"/>
  <c r="EP48" i="3"/>
  <c r="EO48" i="3"/>
  <c r="EN48" i="3"/>
  <c r="EN4" i="3"/>
  <c r="EO6" i="3"/>
  <c r="EP6" i="3"/>
  <c r="EQ6" i="3"/>
  <c r="EN6" i="3"/>
  <c r="EO5" i="3"/>
  <c r="EP5" i="3"/>
  <c r="EQ5" i="3"/>
  <c r="EN5" i="3"/>
  <c r="EO4" i="3"/>
  <c r="EP4" i="3"/>
  <c r="EQ4" i="3"/>
  <c r="DB4" i="3"/>
  <c r="EI54" i="3"/>
  <c r="EI53" i="3"/>
  <c r="EI52" i="3"/>
  <c r="EI51" i="3"/>
  <c r="EI50" i="3"/>
  <c r="EI49" i="3"/>
  <c r="EI48" i="3"/>
  <c r="ED54" i="3"/>
  <c r="ED53" i="3"/>
  <c r="ED52" i="3"/>
  <c r="ED51" i="3"/>
  <c r="ED50" i="3"/>
  <c r="ED49" i="3"/>
  <c r="ED48" i="3"/>
  <c r="EI10" i="3"/>
  <c r="EI9" i="3"/>
  <c r="EI8" i="3"/>
  <c r="EI7" i="3"/>
  <c r="EI6" i="3"/>
  <c r="EI5" i="3"/>
  <c r="ED4" i="3"/>
  <c r="ED10" i="3"/>
  <c r="ED8" i="3"/>
  <c r="ED7" i="3"/>
  <c r="ED6" i="3"/>
  <c r="ED5" i="3"/>
  <c r="ED9" i="3"/>
  <c r="DV4" i="3"/>
  <c r="HC4" i="3" l="1"/>
  <c r="GV50" i="3"/>
  <c r="HC6" i="3"/>
  <c r="HC14" i="3"/>
  <c r="HC7" i="3"/>
  <c r="HC15" i="3"/>
  <c r="HC54" i="3"/>
  <c r="HC8" i="3"/>
  <c r="HC16" i="3"/>
  <c r="HC9" i="3"/>
  <c r="HC11" i="3"/>
  <c r="GV53" i="3"/>
  <c r="HC5" i="3"/>
  <c r="HC12" i="3"/>
  <c r="GQ50" i="3"/>
  <c r="GQ53" i="3"/>
  <c r="HC57" i="3"/>
  <c r="GV54" i="3"/>
  <c r="HC10" i="3"/>
  <c r="HC49" i="3"/>
  <c r="HC13" i="3"/>
  <c r="HC50" i="3"/>
  <c r="GL48" i="3"/>
  <c r="HC59" i="3"/>
  <c r="HC58" i="3"/>
  <c r="HC60" i="3"/>
  <c r="HC51" i="3"/>
  <c r="HC53" i="3"/>
  <c r="HC55" i="3"/>
  <c r="HC48" i="3"/>
  <c r="HC56" i="3"/>
  <c r="HC52" i="3"/>
  <c r="GQ51" i="3"/>
  <c r="GL49" i="3"/>
  <c r="GV51" i="3"/>
  <c r="GL5" i="3"/>
  <c r="GL50" i="3"/>
  <c r="GQ48" i="3"/>
  <c r="GQ52" i="3"/>
  <c r="GL51" i="3"/>
  <c r="GV48" i="3"/>
  <c r="GV52" i="3"/>
  <c r="GQ54" i="3"/>
  <c r="GQ49" i="3"/>
  <c r="GV49" i="3"/>
  <c r="GV4" i="3"/>
  <c r="GV10" i="3"/>
  <c r="GV5" i="3"/>
  <c r="GV6" i="3"/>
  <c r="GV7" i="3"/>
  <c r="GV8" i="3"/>
  <c r="GV9" i="3"/>
  <c r="GQ4" i="3"/>
  <c r="GQ9" i="3"/>
  <c r="GQ10" i="3"/>
  <c r="GQ5" i="3"/>
  <c r="GQ6" i="3"/>
  <c r="GQ7" i="3"/>
  <c r="GQ8" i="3"/>
  <c r="GG6" i="3"/>
  <c r="GG49" i="3"/>
  <c r="GB49" i="3"/>
  <c r="GG7" i="3"/>
  <c r="GG48" i="3"/>
  <c r="GG5" i="3"/>
  <c r="GG50" i="3"/>
  <c r="GG51" i="3"/>
  <c r="GL7" i="3"/>
  <c r="GL6" i="3"/>
  <c r="GL4" i="3"/>
  <c r="GG4" i="3"/>
  <c r="GB50" i="3"/>
  <c r="GB51" i="3"/>
  <c r="GB52" i="3"/>
  <c r="GB53" i="3"/>
  <c r="GB54" i="3"/>
  <c r="GB55" i="3"/>
  <c r="GB48" i="3"/>
  <c r="GB56" i="3"/>
  <c r="GB9" i="3"/>
  <c r="GB10" i="3"/>
  <c r="GB8" i="3"/>
  <c r="GB7" i="3"/>
  <c r="GB6" i="3"/>
  <c r="GB5" i="3"/>
  <c r="GB12" i="3"/>
  <c r="GB4" i="3"/>
  <c r="GB11" i="3"/>
  <c r="FP10" i="3"/>
  <c r="FP53" i="3"/>
  <c r="FF7" i="3"/>
  <c r="FF50" i="3"/>
  <c r="FP9" i="3"/>
  <c r="FP54" i="3"/>
  <c r="FP48" i="3"/>
  <c r="FP49" i="3"/>
  <c r="FP50" i="3"/>
  <c r="FP51" i="3"/>
  <c r="FP52" i="3"/>
  <c r="EJ4" i="3"/>
  <c r="FP4" i="3"/>
  <c r="FP5" i="3"/>
  <c r="FP6" i="3"/>
  <c r="FP7" i="3"/>
  <c r="FP8" i="3"/>
  <c r="FF48" i="3"/>
  <c r="FF49" i="3"/>
  <c r="FF51" i="3"/>
  <c r="FF6" i="3"/>
  <c r="FF5" i="3"/>
  <c r="FF4" i="3"/>
  <c r="FA4" i="3"/>
  <c r="FA48" i="3"/>
  <c r="FA49" i="3"/>
  <c r="FA50" i="3"/>
  <c r="FA51" i="3"/>
  <c r="FA7" i="3"/>
  <c r="FA6" i="3"/>
  <c r="FA5" i="3"/>
  <c r="EV4" i="3"/>
  <c r="EV49" i="3"/>
  <c r="EV50" i="3"/>
  <c r="EV51" i="3"/>
  <c r="EV52" i="3"/>
  <c r="EV53" i="3"/>
  <c r="EV54" i="3"/>
  <c r="EV55" i="3"/>
  <c r="EV48" i="3"/>
  <c r="EV56" i="3"/>
  <c r="EV10" i="3"/>
  <c r="EV11" i="3"/>
  <c r="EV9" i="3"/>
  <c r="EV8" i="3"/>
  <c r="EV7" i="3"/>
  <c r="EV6" i="3"/>
  <c r="EV5" i="3"/>
  <c r="EV12" i="3"/>
  <c r="EE48" i="3"/>
  <c r="EJ5" i="3"/>
  <c r="EE49" i="3"/>
  <c r="EJ51" i="3"/>
  <c r="EJ9" i="3"/>
  <c r="EE54" i="3"/>
  <c r="EJ49" i="3"/>
  <c r="EJ50" i="3"/>
  <c r="EE50" i="3"/>
  <c r="EJ7" i="3"/>
  <c r="EE51" i="3"/>
  <c r="EJ52" i="3"/>
  <c r="EJ10" i="3"/>
  <c r="EE52" i="3"/>
  <c r="EJ53" i="3"/>
  <c r="EJ8" i="3"/>
  <c r="EE53" i="3"/>
  <c r="EJ54" i="3"/>
  <c r="EJ48" i="3"/>
  <c r="EJ6" i="3"/>
  <c r="EE4" i="3"/>
  <c r="EE9" i="3"/>
  <c r="EE8" i="3"/>
  <c r="EE7" i="3"/>
  <c r="EE10" i="3"/>
  <c r="EE6" i="3"/>
  <c r="EE5" i="3"/>
  <c r="DG58" i="3"/>
  <c r="DG57" i="3"/>
  <c r="DG56" i="3"/>
  <c r="DG55" i="3"/>
  <c r="DV54" i="3"/>
  <c r="DU54" i="3"/>
  <c r="DT54" i="3"/>
  <c r="DS54" i="3"/>
  <c r="DR54" i="3"/>
  <c r="DQ54" i="3"/>
  <c r="DP54" i="3"/>
  <c r="DO54" i="3"/>
  <c r="DN54" i="3"/>
  <c r="DM54" i="3"/>
  <c r="DL54" i="3"/>
  <c r="DK54" i="3"/>
  <c r="DG54" i="3"/>
  <c r="DC54" i="3"/>
  <c r="DB54" i="3"/>
  <c r="DA54" i="3"/>
  <c r="CS54" i="3"/>
  <c r="CR54" i="3"/>
  <c r="CQ54" i="3"/>
  <c r="CP54" i="3"/>
  <c r="CO54" i="3"/>
  <c r="CN54" i="3"/>
  <c r="CF54" i="3"/>
  <c r="CE54" i="3"/>
  <c r="CD54" i="3"/>
  <c r="CC54" i="3"/>
  <c r="DV53" i="3"/>
  <c r="DU53" i="3"/>
  <c r="DT53" i="3"/>
  <c r="DS53" i="3"/>
  <c r="DR53" i="3"/>
  <c r="DQ53" i="3"/>
  <c r="DP53" i="3"/>
  <c r="DO53" i="3"/>
  <c r="DN53" i="3"/>
  <c r="DM53" i="3"/>
  <c r="DL53" i="3"/>
  <c r="DK53" i="3"/>
  <c r="DG53" i="3"/>
  <c r="DC53" i="3"/>
  <c r="DB53" i="3"/>
  <c r="DA53" i="3"/>
  <c r="CS53" i="3"/>
  <c r="CR53" i="3"/>
  <c r="CQ53" i="3"/>
  <c r="CP53" i="3"/>
  <c r="CO53" i="3"/>
  <c r="CN53" i="3"/>
  <c r="CF53" i="3"/>
  <c r="CE53" i="3"/>
  <c r="CD53" i="3"/>
  <c r="CC53" i="3"/>
  <c r="DV52" i="3"/>
  <c r="DU52" i="3"/>
  <c r="DT52" i="3"/>
  <c r="DS52" i="3"/>
  <c r="DR52" i="3"/>
  <c r="DQ52" i="3"/>
  <c r="DP52" i="3"/>
  <c r="DO52" i="3"/>
  <c r="DN52" i="3"/>
  <c r="DM52" i="3"/>
  <c r="DL52" i="3"/>
  <c r="DK52" i="3"/>
  <c r="DG52" i="3"/>
  <c r="DC52" i="3"/>
  <c r="DB52" i="3"/>
  <c r="DA52" i="3"/>
  <c r="CS52" i="3"/>
  <c r="CR52" i="3"/>
  <c r="CQ52" i="3"/>
  <c r="CP52" i="3"/>
  <c r="CO52" i="3"/>
  <c r="CN52" i="3"/>
  <c r="CJ52" i="3"/>
  <c r="CF52" i="3"/>
  <c r="CE52" i="3"/>
  <c r="CD52" i="3"/>
  <c r="CC52" i="3"/>
  <c r="DV51" i="3"/>
  <c r="DU51" i="3"/>
  <c r="DT51" i="3"/>
  <c r="DS51" i="3"/>
  <c r="DR51" i="3"/>
  <c r="DQ51" i="3"/>
  <c r="DP51" i="3"/>
  <c r="DO51" i="3"/>
  <c r="DN51" i="3"/>
  <c r="DM51" i="3"/>
  <c r="DL51" i="3"/>
  <c r="DK51" i="3"/>
  <c r="DG51" i="3"/>
  <c r="DC51" i="3"/>
  <c r="DB51" i="3"/>
  <c r="DA51" i="3"/>
  <c r="CS51" i="3"/>
  <c r="CR51" i="3"/>
  <c r="CQ51" i="3"/>
  <c r="CP51" i="3"/>
  <c r="CO51" i="3"/>
  <c r="CN51" i="3"/>
  <c r="CJ51" i="3"/>
  <c r="CF51" i="3"/>
  <c r="CE51" i="3"/>
  <c r="CD51" i="3"/>
  <c r="CC51" i="3"/>
  <c r="DV50" i="3"/>
  <c r="DU50" i="3"/>
  <c r="DT50" i="3"/>
  <c r="DS50" i="3"/>
  <c r="DR50" i="3"/>
  <c r="DQ50" i="3"/>
  <c r="DP50" i="3"/>
  <c r="DO50" i="3"/>
  <c r="DN50" i="3"/>
  <c r="DM50" i="3"/>
  <c r="DL50" i="3"/>
  <c r="DK50" i="3"/>
  <c r="DG50" i="3"/>
  <c r="DC50" i="3"/>
  <c r="DB50" i="3"/>
  <c r="DA50" i="3"/>
  <c r="CS50" i="3"/>
  <c r="CR50" i="3"/>
  <c r="CQ50" i="3"/>
  <c r="CP50" i="3"/>
  <c r="CO50" i="3"/>
  <c r="CN50" i="3"/>
  <c r="CJ50" i="3"/>
  <c r="CF50" i="3"/>
  <c r="CE50" i="3"/>
  <c r="CD50" i="3"/>
  <c r="CC50" i="3"/>
  <c r="BY50" i="3"/>
  <c r="DV49" i="3"/>
  <c r="DU49" i="3"/>
  <c r="DT49" i="3"/>
  <c r="DS49" i="3"/>
  <c r="DR49" i="3"/>
  <c r="DQ49" i="3"/>
  <c r="DP49" i="3"/>
  <c r="DO49" i="3"/>
  <c r="DN49" i="3"/>
  <c r="DM49" i="3"/>
  <c r="DL49" i="3"/>
  <c r="DK49" i="3"/>
  <c r="DG49" i="3"/>
  <c r="DC49" i="3"/>
  <c r="DB49" i="3"/>
  <c r="DA49" i="3"/>
  <c r="CW49" i="3"/>
  <c r="CS49" i="3"/>
  <c r="CR49" i="3"/>
  <c r="CQ49" i="3"/>
  <c r="CP49" i="3"/>
  <c r="CO49" i="3"/>
  <c r="CN49" i="3"/>
  <c r="CJ49" i="3"/>
  <c r="CF49" i="3"/>
  <c r="CE49" i="3"/>
  <c r="CD49" i="3"/>
  <c r="CC49" i="3"/>
  <c r="BY49" i="3"/>
  <c r="DV48" i="3"/>
  <c r="DU48" i="3"/>
  <c r="DT48" i="3"/>
  <c r="DS48" i="3"/>
  <c r="DR48" i="3"/>
  <c r="DQ48" i="3"/>
  <c r="DP48" i="3"/>
  <c r="DO48" i="3"/>
  <c r="DN48" i="3"/>
  <c r="DM48" i="3"/>
  <c r="DL48" i="3"/>
  <c r="DK48" i="3"/>
  <c r="DG48" i="3"/>
  <c r="DC48" i="3"/>
  <c r="DB48" i="3"/>
  <c r="DA48" i="3"/>
  <c r="CW48" i="3"/>
  <c r="CS48" i="3"/>
  <c r="CR48" i="3"/>
  <c r="CQ48" i="3"/>
  <c r="CP48" i="3"/>
  <c r="CO48" i="3"/>
  <c r="CN48" i="3"/>
  <c r="CJ48" i="3"/>
  <c r="CF48" i="3"/>
  <c r="CE48" i="3"/>
  <c r="CD48" i="3"/>
  <c r="CC48" i="3"/>
  <c r="BY48" i="3"/>
  <c r="DV5" i="3"/>
  <c r="DV6" i="3"/>
  <c r="DV7" i="3"/>
  <c r="DV8" i="3"/>
  <c r="DV9" i="3"/>
  <c r="DV10" i="3"/>
  <c r="CS4" i="3"/>
  <c r="DU10" i="3"/>
  <c r="DU9" i="3"/>
  <c r="DU8" i="3"/>
  <c r="DU7" i="3"/>
  <c r="DU6" i="3"/>
  <c r="DU5" i="3"/>
  <c r="DU4" i="3"/>
  <c r="DT10" i="3"/>
  <c r="DT9" i="3"/>
  <c r="DT8" i="3"/>
  <c r="DT7" i="3"/>
  <c r="DT6" i="3"/>
  <c r="DT5" i="3"/>
  <c r="DT4" i="3"/>
  <c r="DS10" i="3"/>
  <c r="DS9" i="3"/>
  <c r="DS8" i="3"/>
  <c r="DS7" i="3"/>
  <c r="DS6" i="3"/>
  <c r="DS5" i="3"/>
  <c r="DS4" i="3"/>
  <c r="DR10" i="3"/>
  <c r="DR9" i="3"/>
  <c r="DR8" i="3"/>
  <c r="DR7" i="3"/>
  <c r="DR6" i="3"/>
  <c r="DR5" i="3"/>
  <c r="DR4" i="3"/>
  <c r="DQ10" i="3"/>
  <c r="DQ9" i="3"/>
  <c r="DQ8" i="3"/>
  <c r="DQ7" i="3"/>
  <c r="DQ6" i="3"/>
  <c r="DQ5" i="3"/>
  <c r="DQ4" i="3"/>
  <c r="DP10" i="3"/>
  <c r="DP9" i="3"/>
  <c r="DP8" i="3"/>
  <c r="DP7" i="3"/>
  <c r="DP6" i="3"/>
  <c r="DP5" i="3"/>
  <c r="DP4" i="3"/>
  <c r="AR4" i="3"/>
  <c r="DO10" i="3"/>
  <c r="DO9" i="3"/>
  <c r="DO8" i="3"/>
  <c r="DO7" i="3"/>
  <c r="DO6" i="3"/>
  <c r="DO5" i="3"/>
  <c r="DO4" i="3"/>
  <c r="DN10" i="3"/>
  <c r="DN9" i="3"/>
  <c r="DN8" i="3"/>
  <c r="DN7" i="3"/>
  <c r="DN6" i="3"/>
  <c r="DN5" i="3"/>
  <c r="DN4" i="3"/>
  <c r="DM10" i="3"/>
  <c r="DM9" i="3"/>
  <c r="DM8" i="3"/>
  <c r="DM7" i="3"/>
  <c r="DM6" i="3"/>
  <c r="DM5" i="3"/>
  <c r="DM4" i="3"/>
  <c r="DL10" i="3"/>
  <c r="DL9" i="3"/>
  <c r="DL8" i="3"/>
  <c r="DL7" i="3"/>
  <c r="DL6" i="3"/>
  <c r="DL5" i="3"/>
  <c r="DL4" i="3"/>
  <c r="DK5" i="3"/>
  <c r="DK6" i="3"/>
  <c r="DK7" i="3"/>
  <c r="DK8" i="3"/>
  <c r="DK9" i="3"/>
  <c r="DK10" i="3"/>
  <c r="CN4" i="3"/>
  <c r="DG4" i="3"/>
  <c r="DG5" i="3"/>
  <c r="DG6" i="3"/>
  <c r="DG7" i="3"/>
  <c r="DG8" i="3"/>
  <c r="DG9" i="3"/>
  <c r="DG10" i="3"/>
  <c r="DG11" i="3"/>
  <c r="DG12" i="3"/>
  <c r="DG13" i="3"/>
  <c r="DG14" i="3"/>
  <c r="CJ4" i="3"/>
  <c r="DC10" i="3"/>
  <c r="DC9" i="3"/>
  <c r="DC8" i="3"/>
  <c r="DC7" i="3"/>
  <c r="DC6" i="3"/>
  <c r="DC5" i="3"/>
  <c r="DC4" i="3"/>
  <c r="CF4" i="3"/>
  <c r="CF10" i="3"/>
  <c r="CF9" i="3"/>
  <c r="CF8" i="3"/>
  <c r="CF7" i="3"/>
  <c r="CF6" i="3"/>
  <c r="CF5" i="3"/>
  <c r="DB10" i="3"/>
  <c r="DB9" i="3"/>
  <c r="DB8" i="3"/>
  <c r="DB7" i="3"/>
  <c r="DB6" i="3"/>
  <c r="DB5" i="3"/>
  <c r="DA4" i="3"/>
  <c r="DA5" i="3"/>
  <c r="DA6" i="3"/>
  <c r="DA7" i="3"/>
  <c r="DA8" i="3"/>
  <c r="DA9" i="3"/>
  <c r="DA10" i="3"/>
  <c r="CC4" i="3"/>
  <c r="CW4" i="3"/>
  <c r="CW5" i="3"/>
  <c r="BY4" i="3"/>
  <c r="CE10" i="3"/>
  <c r="CE9" i="3"/>
  <c r="CE8" i="3"/>
  <c r="CE7" i="3"/>
  <c r="CE6" i="3"/>
  <c r="CE5" i="3"/>
  <c r="CE4" i="3"/>
  <c r="CD10" i="3"/>
  <c r="CD9" i="3"/>
  <c r="CD8" i="3"/>
  <c r="CD7" i="3"/>
  <c r="CD6" i="3"/>
  <c r="CD5" i="3"/>
  <c r="CD4" i="3"/>
  <c r="CC5" i="3"/>
  <c r="CC6" i="3"/>
  <c r="CC7" i="3"/>
  <c r="CC8" i="3"/>
  <c r="CC9" i="3"/>
  <c r="CC10" i="3"/>
  <c r="CS5" i="3"/>
  <c r="CS6" i="3"/>
  <c r="CS7" i="3"/>
  <c r="CS8" i="3"/>
  <c r="CS9" i="3"/>
  <c r="CS10" i="3"/>
  <c r="CR4" i="3"/>
  <c r="CR10" i="3"/>
  <c r="CR9" i="3"/>
  <c r="CR8" i="3"/>
  <c r="CR7" i="3"/>
  <c r="CR6" i="3"/>
  <c r="CR5" i="3"/>
  <c r="CQ10" i="3"/>
  <c r="CQ9" i="3"/>
  <c r="CQ8" i="3"/>
  <c r="CQ7" i="3"/>
  <c r="CQ6" i="3"/>
  <c r="CQ5" i="3"/>
  <c r="CQ4" i="3"/>
  <c r="CP10" i="3"/>
  <c r="CP9" i="3"/>
  <c r="CP8" i="3"/>
  <c r="CP7" i="3"/>
  <c r="CP6" i="3"/>
  <c r="CP5" i="3"/>
  <c r="CP4" i="3"/>
  <c r="CO10" i="3"/>
  <c r="CO9" i="3"/>
  <c r="CO8" i="3"/>
  <c r="CO7" i="3"/>
  <c r="CO6" i="3"/>
  <c r="CO5" i="3"/>
  <c r="CO4" i="3"/>
  <c r="CN5" i="3"/>
  <c r="CN6" i="3"/>
  <c r="CN7" i="3"/>
  <c r="CN8" i="3"/>
  <c r="CN9" i="3"/>
  <c r="CN10" i="3"/>
  <c r="CJ5" i="3"/>
  <c r="CJ6" i="3"/>
  <c r="CJ7" i="3"/>
  <c r="CJ8" i="3"/>
  <c r="BY5" i="3"/>
  <c r="BY6" i="3"/>
  <c r="BR4" i="3"/>
  <c r="BR5" i="3"/>
  <c r="BU53" i="3"/>
  <c r="BT53" i="3"/>
  <c r="BS53" i="3"/>
  <c r="BR53" i="3"/>
  <c r="BU52" i="3"/>
  <c r="BT52" i="3"/>
  <c r="BS52" i="3"/>
  <c r="BR52" i="3"/>
  <c r="BU51" i="3"/>
  <c r="BT51" i="3"/>
  <c r="BS51" i="3"/>
  <c r="BR51" i="3"/>
  <c r="BU50" i="3"/>
  <c r="BT50" i="3"/>
  <c r="BS50" i="3"/>
  <c r="BR50" i="3"/>
  <c r="BU49" i="3"/>
  <c r="BT49" i="3"/>
  <c r="BS49" i="3"/>
  <c r="BR49" i="3"/>
  <c r="BU48" i="3"/>
  <c r="BT48" i="3"/>
  <c r="BS48" i="3"/>
  <c r="BR48" i="3"/>
  <c r="BI61" i="3"/>
  <c r="BI60" i="3"/>
  <c r="BI59" i="3"/>
  <c r="BI58" i="3"/>
  <c r="BI57" i="3"/>
  <c r="BI56" i="3"/>
  <c r="BI55" i="3"/>
  <c r="BI54" i="3"/>
  <c r="BI53" i="3"/>
  <c r="BI52" i="3"/>
  <c r="BI51" i="3"/>
  <c r="BI50" i="3"/>
  <c r="BI49" i="3"/>
  <c r="BI48" i="3"/>
  <c r="BC48" i="3" l="1"/>
  <c r="BC49" i="3"/>
  <c r="BC50" i="3"/>
  <c r="BC51" i="3"/>
  <c r="BC52" i="3"/>
  <c r="BC53" i="3"/>
  <c r="BB48" i="3"/>
  <c r="BB49" i="3"/>
  <c r="BB50" i="3"/>
  <c r="BB51" i="3"/>
  <c r="BB52" i="3"/>
  <c r="BB53" i="3"/>
  <c r="BB6" i="3"/>
  <c r="BF49" i="3"/>
  <c r="BF50" i="3"/>
  <c r="BF51" i="3"/>
  <c r="BF52" i="3"/>
  <c r="BF53" i="3"/>
  <c r="BF48" i="3"/>
  <c r="BE49" i="3"/>
  <c r="BE50" i="3"/>
  <c r="BE51" i="3"/>
  <c r="BE52" i="3"/>
  <c r="BE53" i="3"/>
  <c r="BE48" i="3"/>
  <c r="AY50" i="3"/>
  <c r="AY51" i="3"/>
  <c r="AY52" i="3"/>
  <c r="AY53" i="3"/>
  <c r="AY54" i="3"/>
  <c r="AY55" i="3"/>
  <c r="AY56" i="3"/>
  <c r="AY57" i="3"/>
  <c r="AY58" i="3"/>
  <c r="AY49" i="3"/>
  <c r="AY5" i="3"/>
  <c r="AY48" i="3"/>
  <c r="AY4" i="3"/>
  <c r="AY6" i="3"/>
  <c r="AY7" i="3"/>
  <c r="AY8" i="3"/>
  <c r="AY9" i="3"/>
  <c r="AY10" i="3"/>
  <c r="AY11" i="3"/>
  <c r="AY12" i="3"/>
  <c r="AY13" i="3"/>
  <c r="AY14" i="3"/>
  <c r="AW5" i="3"/>
  <c r="AW4" i="3"/>
  <c r="AX58" i="3"/>
  <c r="AW58" i="3"/>
  <c r="AX57" i="3"/>
  <c r="AW57" i="3"/>
  <c r="AX56" i="3"/>
  <c r="AW56" i="3"/>
  <c r="AX55" i="3"/>
  <c r="AW55" i="3"/>
  <c r="AX54" i="3"/>
  <c r="AW54" i="3"/>
  <c r="AX53" i="3"/>
  <c r="AW53" i="3"/>
  <c r="AX52" i="3"/>
  <c r="AW52" i="3"/>
  <c r="AX51" i="3"/>
  <c r="AW51" i="3"/>
  <c r="AX50" i="3"/>
  <c r="AW50" i="3"/>
  <c r="AX49" i="3"/>
  <c r="AW49" i="3"/>
  <c r="AX48" i="3"/>
  <c r="AW48" i="3"/>
  <c r="BT4" i="3"/>
  <c r="BU4" i="3"/>
  <c r="BT5" i="3"/>
  <c r="BU5" i="3"/>
  <c r="BT6" i="3"/>
  <c r="BU6" i="3"/>
  <c r="BT7" i="3"/>
  <c r="BU7" i="3"/>
  <c r="BT8" i="3"/>
  <c r="BU8" i="3"/>
  <c r="BT9" i="3"/>
  <c r="BU9" i="3"/>
  <c r="BR6" i="3"/>
  <c r="BR7" i="3"/>
  <c r="BR8" i="3"/>
  <c r="BR9" i="3"/>
  <c r="BS4" i="3"/>
  <c r="BS5" i="3"/>
  <c r="BS6" i="3"/>
  <c r="BS7" i="3"/>
  <c r="BS8" i="3"/>
  <c r="BS9" i="3"/>
  <c r="BI4" i="3"/>
  <c r="BI5" i="3"/>
  <c r="BI6" i="3"/>
  <c r="BI7" i="3"/>
  <c r="BI8" i="3"/>
  <c r="BI9" i="3"/>
  <c r="BI10" i="3"/>
  <c r="BI11" i="3"/>
  <c r="BI12" i="3"/>
  <c r="BI13" i="3"/>
  <c r="BI14" i="3"/>
  <c r="BI15" i="3"/>
  <c r="BI16" i="3"/>
  <c r="BI17" i="3"/>
  <c r="BF4" i="3"/>
  <c r="BJ50" i="3" l="1"/>
  <c r="BJ60" i="3"/>
  <c r="BJ54" i="3"/>
  <c r="BJ51" i="3"/>
  <c r="BJ61" i="3"/>
  <c r="BJ48" i="3"/>
  <c r="BJ52" i="3"/>
  <c r="BJ55" i="3"/>
  <c r="BJ56" i="3"/>
  <c r="BJ49" i="3"/>
  <c r="BJ53" i="3"/>
  <c r="BJ57" i="3"/>
  <c r="BJ58" i="3"/>
  <c r="BJ59" i="3"/>
  <c r="BJ16" i="3"/>
  <c r="BJ12" i="3"/>
  <c r="BJ17" i="3"/>
  <c r="BJ9" i="3"/>
  <c r="BJ15" i="3"/>
  <c r="BJ7" i="3"/>
  <c r="BJ14" i="3"/>
  <c r="BJ6" i="3"/>
  <c r="BJ8" i="3"/>
  <c r="BJ5" i="3"/>
  <c r="BJ13" i="3"/>
  <c r="BJ4" i="3"/>
  <c r="BJ10" i="3"/>
  <c r="BJ11" i="3"/>
  <c r="BF5" i="3"/>
  <c r="BF6" i="3"/>
  <c r="BF7" i="3"/>
  <c r="BF8" i="3"/>
  <c r="BF9" i="3"/>
  <c r="BE4" i="3"/>
  <c r="BE5" i="3"/>
  <c r="BE6" i="3"/>
  <c r="BE7" i="3"/>
  <c r="BE8" i="3"/>
  <c r="BE9" i="3"/>
  <c r="BB5" i="3"/>
  <c r="BC5" i="3"/>
  <c r="BD5" i="3"/>
  <c r="BC6" i="3"/>
  <c r="BD6" i="3"/>
  <c r="BB7" i="3"/>
  <c r="BC7" i="3"/>
  <c r="BD7" i="3"/>
  <c r="BB8" i="3"/>
  <c r="BC8" i="3"/>
  <c r="BD8" i="3"/>
  <c r="BB9" i="3"/>
  <c r="BC9" i="3"/>
  <c r="BD9" i="3"/>
  <c r="BC4" i="3"/>
  <c r="BD4" i="3"/>
  <c r="BB4" i="3"/>
  <c r="AX6" i="3" l="1"/>
  <c r="AX7" i="3"/>
  <c r="AX8" i="3"/>
  <c r="AX9" i="3"/>
  <c r="AX10" i="3"/>
  <c r="AX11" i="3"/>
  <c r="AX12" i="3"/>
  <c r="AX13" i="3"/>
  <c r="AX14" i="3"/>
  <c r="AX5" i="3"/>
  <c r="AW6" i="3"/>
  <c r="AW7" i="3"/>
  <c r="AW8" i="3"/>
  <c r="AW9" i="3"/>
  <c r="AW10" i="3"/>
  <c r="AW11" i="3"/>
  <c r="AW12" i="3"/>
  <c r="AW13" i="3"/>
  <c r="AW14" i="3"/>
  <c r="AH5" i="3"/>
  <c r="AX4" i="3"/>
  <c r="AS58" i="3"/>
  <c r="AR58" i="3"/>
  <c r="AQ58" i="3"/>
  <c r="AP58" i="3"/>
  <c r="AO58" i="3"/>
  <c r="AN58" i="3"/>
  <c r="AM58" i="3"/>
  <c r="AL58" i="3"/>
  <c r="AK58" i="3"/>
  <c r="AJ58" i="3"/>
  <c r="AI58" i="3"/>
  <c r="AH58" i="3"/>
  <c r="AS57" i="3"/>
  <c r="AR57" i="3"/>
  <c r="AQ57" i="3"/>
  <c r="AP57" i="3"/>
  <c r="AO57" i="3"/>
  <c r="AN57" i="3"/>
  <c r="AM57" i="3"/>
  <c r="AL57" i="3"/>
  <c r="AK57" i="3"/>
  <c r="AJ57" i="3"/>
  <c r="AI57" i="3"/>
  <c r="AH57" i="3"/>
  <c r="AS56" i="3"/>
  <c r="AR56" i="3"/>
  <c r="AQ56" i="3"/>
  <c r="AP56" i="3"/>
  <c r="AO56" i="3"/>
  <c r="AN56" i="3"/>
  <c r="AM56" i="3"/>
  <c r="AL56" i="3"/>
  <c r="AK56" i="3"/>
  <c r="AJ56" i="3"/>
  <c r="AI56" i="3"/>
  <c r="AH56" i="3"/>
  <c r="AS55" i="3"/>
  <c r="AR55" i="3"/>
  <c r="AQ55" i="3"/>
  <c r="AP55" i="3"/>
  <c r="AO55" i="3"/>
  <c r="AN55" i="3"/>
  <c r="AM55" i="3"/>
  <c r="AL55" i="3"/>
  <c r="AK55" i="3"/>
  <c r="AJ55" i="3"/>
  <c r="AI55" i="3"/>
  <c r="AH55" i="3"/>
  <c r="AS54" i="3"/>
  <c r="AR54" i="3"/>
  <c r="AQ54" i="3"/>
  <c r="AP54" i="3"/>
  <c r="AO54" i="3"/>
  <c r="AN54" i="3"/>
  <c r="AM54" i="3"/>
  <c r="AL54" i="3"/>
  <c r="AK54" i="3"/>
  <c r="AJ54" i="3"/>
  <c r="AI54" i="3"/>
  <c r="AH54" i="3"/>
  <c r="AS53" i="3"/>
  <c r="AR53" i="3"/>
  <c r="AQ53" i="3"/>
  <c r="AP53" i="3"/>
  <c r="AO53" i="3"/>
  <c r="AN53" i="3"/>
  <c r="AM53" i="3"/>
  <c r="AL53" i="3"/>
  <c r="AK53" i="3"/>
  <c r="AJ53" i="3"/>
  <c r="AI53" i="3"/>
  <c r="AH53" i="3"/>
  <c r="AS52" i="3"/>
  <c r="AR52" i="3"/>
  <c r="AQ52" i="3"/>
  <c r="AP52" i="3"/>
  <c r="AO52" i="3"/>
  <c r="AN52" i="3"/>
  <c r="AM52" i="3"/>
  <c r="AL52" i="3"/>
  <c r="AK52" i="3"/>
  <c r="AJ52" i="3"/>
  <c r="AI52" i="3"/>
  <c r="AH52" i="3"/>
  <c r="AS51" i="3"/>
  <c r="AR51" i="3"/>
  <c r="AQ51" i="3"/>
  <c r="AP51" i="3"/>
  <c r="AO51" i="3"/>
  <c r="AN51" i="3"/>
  <c r="AM51" i="3"/>
  <c r="AL51" i="3"/>
  <c r="AK51" i="3"/>
  <c r="AJ51" i="3"/>
  <c r="AI51" i="3"/>
  <c r="AH51" i="3"/>
  <c r="AS50" i="3"/>
  <c r="AR50" i="3"/>
  <c r="AQ50" i="3"/>
  <c r="AP50" i="3"/>
  <c r="AO50" i="3"/>
  <c r="AN50" i="3"/>
  <c r="AM50" i="3"/>
  <c r="AL50" i="3"/>
  <c r="AK50" i="3"/>
  <c r="AJ50" i="3"/>
  <c r="AI50" i="3"/>
  <c r="AH50" i="3"/>
  <c r="AS49" i="3"/>
  <c r="AR49" i="3"/>
  <c r="AQ49" i="3"/>
  <c r="AP49" i="3"/>
  <c r="AO49" i="3"/>
  <c r="AN49" i="3"/>
  <c r="AM49" i="3"/>
  <c r="AL49" i="3"/>
  <c r="AK49" i="3"/>
  <c r="AJ49" i="3"/>
  <c r="AI49" i="3"/>
  <c r="AH49" i="3"/>
  <c r="AS48" i="3"/>
  <c r="AR48" i="3"/>
  <c r="AQ48" i="3"/>
  <c r="AP48" i="3"/>
  <c r="AO48" i="3"/>
  <c r="AN48" i="3"/>
  <c r="AM48" i="3"/>
  <c r="AL48" i="3"/>
  <c r="AK48" i="3"/>
  <c r="AJ48" i="3"/>
  <c r="AI48" i="3"/>
  <c r="AH48" i="3"/>
  <c r="AB58" i="3"/>
  <c r="AA58" i="3"/>
  <c r="Z58" i="3"/>
  <c r="Y58" i="3"/>
  <c r="X58" i="3"/>
  <c r="W58" i="3"/>
  <c r="V58" i="3"/>
  <c r="U58" i="3"/>
  <c r="T58" i="3"/>
  <c r="AB57" i="3"/>
  <c r="AA57" i="3"/>
  <c r="Z57" i="3"/>
  <c r="Y57" i="3"/>
  <c r="X57" i="3"/>
  <c r="W57" i="3"/>
  <c r="V57" i="3"/>
  <c r="U57" i="3"/>
  <c r="T57" i="3"/>
  <c r="AB56" i="3"/>
  <c r="AA56" i="3"/>
  <c r="Z56" i="3"/>
  <c r="Y56" i="3"/>
  <c r="X56" i="3"/>
  <c r="W56" i="3"/>
  <c r="V56" i="3"/>
  <c r="U56" i="3"/>
  <c r="T56" i="3"/>
  <c r="AB55" i="3"/>
  <c r="AA55" i="3"/>
  <c r="Z55" i="3"/>
  <c r="Y55" i="3"/>
  <c r="X55" i="3"/>
  <c r="W55" i="3"/>
  <c r="V55" i="3"/>
  <c r="U55" i="3"/>
  <c r="T55" i="3"/>
  <c r="AB54" i="3"/>
  <c r="AA54" i="3"/>
  <c r="Z54" i="3"/>
  <c r="Y54" i="3"/>
  <c r="X54" i="3"/>
  <c r="W54" i="3"/>
  <c r="V54" i="3"/>
  <c r="U54" i="3"/>
  <c r="T54" i="3"/>
  <c r="AB53" i="3"/>
  <c r="AA53" i="3"/>
  <c r="Z53" i="3"/>
  <c r="Y53" i="3"/>
  <c r="X53" i="3"/>
  <c r="W53" i="3"/>
  <c r="V53" i="3"/>
  <c r="U53" i="3"/>
  <c r="T53" i="3"/>
  <c r="AB52" i="3"/>
  <c r="AA52" i="3"/>
  <c r="Z52" i="3"/>
  <c r="Y52" i="3"/>
  <c r="X52" i="3"/>
  <c r="W52" i="3"/>
  <c r="V52" i="3"/>
  <c r="U52" i="3"/>
  <c r="T52" i="3"/>
  <c r="AB51" i="3"/>
  <c r="AA51" i="3"/>
  <c r="Z51" i="3"/>
  <c r="Y51" i="3"/>
  <c r="X51" i="3"/>
  <c r="W51" i="3"/>
  <c r="V51" i="3"/>
  <c r="U51" i="3"/>
  <c r="T51" i="3"/>
  <c r="AB50" i="3"/>
  <c r="AA50" i="3"/>
  <c r="Z50" i="3"/>
  <c r="Y50" i="3"/>
  <c r="X50" i="3"/>
  <c r="W50" i="3"/>
  <c r="V50" i="3"/>
  <c r="U50" i="3"/>
  <c r="T50" i="3"/>
  <c r="AB49" i="3"/>
  <c r="AA49" i="3"/>
  <c r="Z49" i="3"/>
  <c r="Y49" i="3"/>
  <c r="X49" i="3"/>
  <c r="W49" i="3"/>
  <c r="V49" i="3"/>
  <c r="U49" i="3"/>
  <c r="T49" i="3"/>
  <c r="AB48" i="3"/>
  <c r="AA48" i="3"/>
  <c r="Z48" i="3"/>
  <c r="Y48" i="3"/>
  <c r="X48" i="3"/>
  <c r="W48" i="3"/>
  <c r="V48" i="3"/>
  <c r="U48" i="3"/>
  <c r="T48" i="3"/>
  <c r="O53" i="3"/>
  <c r="N53" i="3"/>
  <c r="O52" i="3"/>
  <c r="N52" i="3"/>
  <c r="O51" i="3"/>
  <c r="N51" i="3"/>
  <c r="O50" i="3"/>
  <c r="N50" i="3"/>
  <c r="O49" i="3"/>
  <c r="N49" i="3"/>
  <c r="O48" i="3"/>
  <c r="N48" i="3"/>
  <c r="I55" i="3"/>
  <c r="I54" i="3"/>
  <c r="I53" i="3"/>
  <c r="I52" i="3"/>
  <c r="I51" i="3"/>
  <c r="I50" i="3"/>
  <c r="I49" i="3"/>
  <c r="I48" i="3"/>
  <c r="H55" i="3"/>
  <c r="H54" i="3"/>
  <c r="H53" i="3"/>
  <c r="H52" i="3"/>
  <c r="H51" i="3"/>
  <c r="H50" i="3"/>
  <c r="H49" i="3"/>
  <c r="H48" i="3"/>
  <c r="D57" i="3"/>
  <c r="B57" i="3"/>
  <c r="D56" i="3"/>
  <c r="B56" i="3"/>
  <c r="D55" i="3"/>
  <c r="B55" i="3"/>
  <c r="D54" i="3"/>
  <c r="B54" i="3"/>
  <c r="D53" i="3"/>
  <c r="B53" i="3"/>
  <c r="D52" i="3"/>
  <c r="B52" i="3"/>
  <c r="D51" i="3"/>
  <c r="B51" i="3"/>
  <c r="D50" i="3"/>
  <c r="B50" i="3"/>
  <c r="D49" i="3"/>
  <c r="B49" i="3"/>
  <c r="D48" i="3"/>
  <c r="B48" i="3"/>
  <c r="D4" i="3"/>
  <c r="D5" i="3"/>
  <c r="D6" i="3"/>
  <c r="D7" i="3"/>
  <c r="D8" i="3"/>
  <c r="D9" i="3"/>
  <c r="D10" i="3"/>
  <c r="D11" i="3"/>
  <c r="D12" i="3"/>
  <c r="D13" i="3"/>
  <c r="U4" i="3"/>
  <c r="AS6" i="3"/>
  <c r="AS7" i="3"/>
  <c r="AS8" i="3"/>
  <c r="AS9" i="3"/>
  <c r="AS10" i="3"/>
  <c r="AS11" i="3"/>
  <c r="AS12" i="3"/>
  <c r="AS13" i="3"/>
  <c r="AS14" i="3"/>
  <c r="AS5" i="3"/>
  <c r="AR6" i="3"/>
  <c r="AR7" i="3"/>
  <c r="AR8" i="3"/>
  <c r="AR9" i="3"/>
  <c r="AR10" i="3"/>
  <c r="AR11" i="3"/>
  <c r="AR12" i="3"/>
  <c r="AR13" i="3"/>
  <c r="AR14" i="3"/>
  <c r="AR5" i="3"/>
  <c r="AQ6" i="3"/>
  <c r="AQ7" i="3"/>
  <c r="AQ8" i="3"/>
  <c r="AQ9" i="3"/>
  <c r="AQ10" i="3"/>
  <c r="AQ11" i="3"/>
  <c r="AQ12" i="3"/>
  <c r="AQ13" i="3"/>
  <c r="AQ14" i="3"/>
  <c r="AQ5" i="3"/>
  <c r="AP6" i="3"/>
  <c r="AP7" i="3"/>
  <c r="AP8" i="3"/>
  <c r="AP9" i="3"/>
  <c r="AP10" i="3"/>
  <c r="AP11" i="3"/>
  <c r="AP12" i="3"/>
  <c r="AP13" i="3"/>
  <c r="AP14" i="3"/>
  <c r="AP5" i="3"/>
  <c r="AO6" i="3"/>
  <c r="AO7" i="3"/>
  <c r="AO8" i="3"/>
  <c r="AO9" i="3"/>
  <c r="AO10" i="3"/>
  <c r="AO11" i="3"/>
  <c r="AO12" i="3"/>
  <c r="AO13" i="3"/>
  <c r="AO14" i="3"/>
  <c r="AO5" i="3"/>
  <c r="AN6" i="3"/>
  <c r="AN7" i="3"/>
  <c r="AN8" i="3"/>
  <c r="AN9" i="3"/>
  <c r="AN10" i="3"/>
  <c r="AN11" i="3"/>
  <c r="AN12" i="3"/>
  <c r="AN13" i="3"/>
  <c r="AN14" i="3"/>
  <c r="AN5" i="3"/>
  <c r="AM6" i="3"/>
  <c r="AM7" i="3"/>
  <c r="AM8" i="3"/>
  <c r="AM9" i="3"/>
  <c r="AM10" i="3"/>
  <c r="AM11" i="3"/>
  <c r="AM12" i="3"/>
  <c r="AM13" i="3"/>
  <c r="AM14" i="3"/>
  <c r="AM5" i="3"/>
  <c r="AL6" i="3"/>
  <c r="AL7" i="3"/>
  <c r="AL8" i="3"/>
  <c r="AL9" i="3"/>
  <c r="AL10" i="3"/>
  <c r="AL11" i="3"/>
  <c r="AL12" i="3"/>
  <c r="AL13" i="3"/>
  <c r="AL14" i="3"/>
  <c r="AL5" i="3"/>
  <c r="AK6" i="3"/>
  <c r="AK7" i="3"/>
  <c r="AK8" i="3"/>
  <c r="AK9" i="3"/>
  <c r="AK10" i="3"/>
  <c r="AK11" i="3"/>
  <c r="AK12" i="3"/>
  <c r="AK13" i="3"/>
  <c r="AK14" i="3"/>
  <c r="AK5" i="3"/>
  <c r="AJ6" i="3"/>
  <c r="AJ7" i="3"/>
  <c r="AJ8" i="3"/>
  <c r="AJ9" i="3"/>
  <c r="AJ10" i="3"/>
  <c r="AJ11" i="3"/>
  <c r="AJ12" i="3"/>
  <c r="AJ13" i="3"/>
  <c r="AJ14" i="3"/>
  <c r="AJ5" i="3"/>
  <c r="AI6" i="3"/>
  <c r="AI7" i="3"/>
  <c r="AI8" i="3"/>
  <c r="AI9" i="3"/>
  <c r="AI10" i="3"/>
  <c r="AI11" i="3"/>
  <c r="AI12" i="3"/>
  <c r="AI13" i="3"/>
  <c r="AI14" i="3"/>
  <c r="AI5" i="3"/>
  <c r="AH6" i="3"/>
  <c r="AH7" i="3"/>
  <c r="AH8" i="3"/>
  <c r="AH9" i="3"/>
  <c r="AH10" i="3"/>
  <c r="AH11" i="3"/>
  <c r="AH12" i="3"/>
  <c r="AH13" i="3"/>
  <c r="AH14" i="3"/>
  <c r="AS4" i="3"/>
  <c r="AQ4" i="3"/>
  <c r="AP4" i="3"/>
  <c r="AO4" i="3"/>
  <c r="AN4" i="3"/>
  <c r="AM4" i="3"/>
  <c r="AL4" i="3"/>
  <c r="AK4" i="3"/>
  <c r="AJ4" i="3"/>
  <c r="AI4" i="3"/>
  <c r="AH4" i="3"/>
  <c r="U5" i="3"/>
  <c r="V5" i="3"/>
  <c r="W5" i="3"/>
  <c r="X5" i="3"/>
  <c r="Y5" i="3"/>
  <c r="Z5" i="3"/>
  <c r="AA5" i="3"/>
  <c r="AB5" i="3"/>
  <c r="U6" i="3"/>
  <c r="V6" i="3"/>
  <c r="W6" i="3"/>
  <c r="X6" i="3"/>
  <c r="Y6" i="3"/>
  <c r="Z6" i="3"/>
  <c r="AA6" i="3"/>
  <c r="AB6" i="3"/>
  <c r="U7" i="3"/>
  <c r="V7" i="3"/>
  <c r="W7" i="3"/>
  <c r="X7" i="3"/>
  <c r="Y7" i="3"/>
  <c r="Z7" i="3"/>
  <c r="AA7" i="3"/>
  <c r="AB7" i="3"/>
  <c r="U8" i="3"/>
  <c r="V8" i="3"/>
  <c r="W8" i="3"/>
  <c r="X8" i="3"/>
  <c r="Y8" i="3"/>
  <c r="Z8" i="3"/>
  <c r="AA8" i="3"/>
  <c r="AB8" i="3"/>
  <c r="U9" i="3"/>
  <c r="V9" i="3"/>
  <c r="W9" i="3"/>
  <c r="X9" i="3"/>
  <c r="Y9" i="3"/>
  <c r="Z9" i="3"/>
  <c r="AA9" i="3"/>
  <c r="AB9" i="3"/>
  <c r="U10" i="3"/>
  <c r="V10" i="3"/>
  <c r="W10" i="3"/>
  <c r="X10" i="3"/>
  <c r="Y10" i="3"/>
  <c r="Z10" i="3"/>
  <c r="AA10" i="3"/>
  <c r="AB10" i="3"/>
  <c r="U11" i="3"/>
  <c r="V11" i="3"/>
  <c r="W11" i="3"/>
  <c r="X11" i="3"/>
  <c r="Y11" i="3"/>
  <c r="Z11" i="3"/>
  <c r="AA11" i="3"/>
  <c r="AB11" i="3"/>
  <c r="U12" i="3"/>
  <c r="V12" i="3"/>
  <c r="W12" i="3"/>
  <c r="X12" i="3"/>
  <c r="Y12" i="3"/>
  <c r="Z12" i="3"/>
  <c r="AA12" i="3"/>
  <c r="AB12" i="3"/>
  <c r="U13" i="3"/>
  <c r="V13" i="3"/>
  <c r="W13" i="3"/>
  <c r="X13" i="3"/>
  <c r="Y13" i="3"/>
  <c r="Z13" i="3"/>
  <c r="AA13" i="3"/>
  <c r="AB13" i="3"/>
  <c r="U14" i="3"/>
  <c r="V14" i="3"/>
  <c r="W14" i="3"/>
  <c r="X14" i="3"/>
  <c r="Y14" i="3"/>
  <c r="Z14" i="3"/>
  <c r="AA14" i="3"/>
  <c r="AB14" i="3"/>
  <c r="T6" i="3"/>
  <c r="T7" i="3"/>
  <c r="T8" i="3"/>
  <c r="T9" i="3"/>
  <c r="T10" i="3"/>
  <c r="T11" i="3"/>
  <c r="T12" i="3"/>
  <c r="T13" i="3"/>
  <c r="T14" i="3"/>
  <c r="T5" i="3"/>
  <c r="T4" i="3"/>
  <c r="W4" i="3"/>
  <c r="X4" i="3"/>
  <c r="Y4" i="3"/>
  <c r="Z4" i="3"/>
  <c r="AA4" i="3"/>
  <c r="AB4" i="3"/>
  <c r="V4" i="3"/>
  <c r="N4" i="3"/>
  <c r="O9" i="3"/>
  <c r="O8" i="3"/>
  <c r="O7" i="3"/>
  <c r="O4" i="3"/>
  <c r="O5" i="3"/>
  <c r="O6" i="3"/>
  <c r="N9" i="3"/>
  <c r="N8" i="3"/>
  <c r="N7" i="3"/>
  <c r="N6" i="3"/>
  <c r="N5" i="3"/>
  <c r="I4" i="3"/>
  <c r="I5" i="3"/>
  <c r="I6" i="3"/>
  <c r="I7" i="3"/>
  <c r="I8" i="3"/>
  <c r="I9" i="3"/>
  <c r="I10" i="3"/>
  <c r="I11" i="3"/>
  <c r="B4" i="3"/>
  <c r="B5" i="3"/>
  <c r="B6" i="3"/>
  <c r="B7" i="3"/>
  <c r="B8" i="3"/>
  <c r="B9" i="3"/>
  <c r="B10" i="3"/>
  <c r="B11" i="3"/>
  <c r="B12" i="3"/>
  <c r="B13" i="3"/>
  <c r="C48" i="3" l="1"/>
  <c r="J5" i="3"/>
  <c r="C13" i="3"/>
  <c r="J11" i="3"/>
  <c r="C7" i="3"/>
  <c r="C6" i="3"/>
  <c r="J6" i="3"/>
  <c r="C56" i="3"/>
  <c r="C5" i="3"/>
  <c r="C12" i="3"/>
  <c r="C4" i="3"/>
  <c r="J4" i="3"/>
  <c r="C52" i="3"/>
  <c r="C53" i="3"/>
  <c r="C57" i="3"/>
  <c r="C11" i="3"/>
  <c r="C10" i="3"/>
  <c r="J10" i="3"/>
  <c r="C50" i="3"/>
  <c r="C54" i="3"/>
  <c r="C8" i="3"/>
  <c r="J8" i="3"/>
  <c r="J7" i="3"/>
  <c r="C55" i="3"/>
  <c r="P49" i="3"/>
  <c r="P53" i="3"/>
  <c r="C51" i="3"/>
  <c r="C9" i="3"/>
  <c r="J9" i="3"/>
  <c r="C49" i="3"/>
  <c r="P50" i="3"/>
  <c r="P51" i="3"/>
  <c r="J48" i="3"/>
  <c r="J49" i="3"/>
  <c r="P48" i="3"/>
  <c r="P52" i="3"/>
  <c r="J53" i="3"/>
  <c r="J54" i="3"/>
  <c r="J52" i="3"/>
  <c r="J51" i="3"/>
  <c r="J55" i="3"/>
  <c r="J50" i="3"/>
  <c r="H5" i="3"/>
  <c r="H6" i="3"/>
  <c r="H7" i="3"/>
  <c r="H8" i="3"/>
  <c r="H9" i="3"/>
  <c r="H10" i="3"/>
  <c r="H11" i="3"/>
  <c r="H4" i="3"/>
  <c r="P4" i="3" l="1"/>
  <c r="P5" i="3"/>
  <c r="P6" i="3"/>
  <c r="P8" i="3"/>
  <c r="P9" i="3"/>
  <c r="P7" i="3"/>
</calcChain>
</file>

<file path=xl/sharedStrings.xml><?xml version="1.0" encoding="utf-8"?>
<sst xmlns="http://schemas.openxmlformats.org/spreadsheetml/2006/main" count="15583" uniqueCount="2911">
  <si>
    <t>Respondent ID</t>
  </si>
  <si>
    <t>Collector ID</t>
  </si>
  <si>
    <t>Start Date</t>
  </si>
  <si>
    <t>End Date</t>
  </si>
  <si>
    <t>IP Address</t>
  </si>
  <si>
    <t>Email Address</t>
  </si>
  <si>
    <t>First Name</t>
  </si>
  <si>
    <t>Last Name</t>
  </si>
  <si>
    <t>Custom Data 1</t>
  </si>
  <si>
    <t>Do you recommend soil and/or plant testing?</t>
  </si>
  <si>
    <t>Of your clients, how many of them rely entirely on you to make the nutrient decisions?</t>
  </si>
  <si>
    <t>Of your clients, how many of them rely somewhat on you to make the nutrient decisions?</t>
  </si>
  <si>
    <t>Of your clients, how many of them make their own nutrient decisions?</t>
  </si>
  <si>
    <t>Can you please provide some specific information on ..</t>
  </si>
  <si>
    <t>What tests do you use for Potassium testing ...</t>
  </si>
  <si>
    <t>Please indicate why you don't do more SOIL Nitrogen testing</t>
  </si>
  <si>
    <t>Please indicate why you don't do more SOIL Phosphorous testing</t>
  </si>
  <si>
    <t>Please indicate if you agree/disagree with the following statements in relation to SOIL testing</t>
  </si>
  <si>
    <t>How do you currently use plant testing?</t>
  </si>
  <si>
    <t>Please list the main 3 reasons you use plant testing data?</t>
  </si>
  <si>
    <t>Please indicate why you don't do more PLANT testing</t>
  </si>
  <si>
    <t>Please indicate if you agree/disagree with the following statements in relation to PLANT testing</t>
  </si>
  <si>
    <t>Please indicate why you don't do SOIL Nitrogen testing</t>
  </si>
  <si>
    <t>Please indicate why you don't do any PLANT testing</t>
  </si>
  <si>
    <t>What are the barriers to you undertaking ...?</t>
  </si>
  <si>
    <t>Please feel free to add any other comments or suggestions</t>
  </si>
  <si>
    <t>What information do you require to make better informed decisions regarding nutrient management?</t>
  </si>
  <si>
    <t>Where and how would you like to receive information regarding crop nutrition?</t>
  </si>
  <si>
    <t>How do you think researchers or the GRDC could assist you to get a better return on investment for your fertiliser decisions?</t>
  </si>
  <si>
    <t>Thank you for completing our survey. To enter the draw to win one of the community organisation donations, please provide your contact details and preferred community organisation. This way, we can notify you if successful. If you would prefer to remain anonymous, you can still nominate a community group.</t>
  </si>
  <si>
    <t>What is your first name?</t>
  </si>
  <si>
    <t>At what email address would you like to be contacted?</t>
  </si>
  <si>
    <t>What is the best phone number to contact you on?</t>
  </si>
  <si>
    <t>Other (please specify)</t>
  </si>
  <si>
    <t>Open-Ended Response</t>
  </si>
  <si>
    <t>Cerals (wheat, barley, oats)</t>
  </si>
  <si>
    <t>Canola</t>
  </si>
  <si>
    <t>Pulses (peas, beans, lupins, lentils, chickpeas)</t>
  </si>
  <si>
    <t>Pasture</t>
  </si>
  <si>
    <t>Hay</t>
  </si>
  <si>
    <t>Fallow</t>
  </si>
  <si>
    <t>Source 1</t>
  </si>
  <si>
    <t>Source 2</t>
  </si>
  <si>
    <t>Source 3</t>
  </si>
  <si>
    <t>P</t>
  </si>
  <si>
    <t>N</t>
  </si>
  <si>
    <t>Micronutrients</t>
  </si>
  <si>
    <t>What % of your clients soil tested in 2018?</t>
  </si>
  <si>
    <t>What % of your clients tested for N in 2018?</t>
  </si>
  <si>
    <t>What % of your clients tested for N to at least 60cm in 2018?</t>
  </si>
  <si>
    <t>What % of your clients tested for P in 2018?</t>
  </si>
  <si>
    <t>Nitrogen 1 - Type of test</t>
  </si>
  <si>
    <t>Nitrogen 1 - Frequency (times per season)</t>
  </si>
  <si>
    <t>Nitrogen 1 - How many representative samples per paddock</t>
  </si>
  <si>
    <t>Nitrogen 2 - Type of test</t>
  </si>
  <si>
    <t>Nitrogen 2 - Frequency (times per season)</t>
  </si>
  <si>
    <t>Nitrogen 2 - How many representative samples per paddock</t>
  </si>
  <si>
    <t>Nitrogen 3 - Type of test</t>
  </si>
  <si>
    <t>Nitrogen 3 - Frequency (times per season)</t>
  </si>
  <si>
    <t>Nitrogen 3 - How many representative samples per paddock</t>
  </si>
  <si>
    <t>How frequently are paddocks tested i.e. every 3 years, every 5 years ... other?</t>
  </si>
  <si>
    <t>Phosphorus 1 - Type of test</t>
  </si>
  <si>
    <t>Phosphorus 1 - Frequency (times per season)</t>
  </si>
  <si>
    <t>Phosphorus 1 - How many representative samples per paddock</t>
  </si>
  <si>
    <t>Phosphorus 2 - Type of test</t>
  </si>
  <si>
    <t>Phosphorus 2 - Frequency (times per season)</t>
  </si>
  <si>
    <t>Phosphorus 2 - How many representative samples per paddock</t>
  </si>
  <si>
    <t>Phosphorus 3 - Type of test</t>
  </si>
  <si>
    <t>Phosphorus 3 - Frequency (times per season)</t>
  </si>
  <si>
    <t>Phosphorus 3 - How many representative samples per paddock</t>
  </si>
  <si>
    <t>Phosphorus 4 - Type of test</t>
  </si>
  <si>
    <t>Phosphorus 4 - Frequency (times per season)</t>
  </si>
  <si>
    <t>Phosphorus 4 - How many representative samples per paddock</t>
  </si>
  <si>
    <t>Phosphorus 5 - Type of test</t>
  </si>
  <si>
    <t>Phosphorus 5 - Frequency (times per season)</t>
  </si>
  <si>
    <t>Phosphorus 5 - How many representative samples per paddock</t>
  </si>
  <si>
    <t>How frequently are your clients paddocks tested i.e. every 3 years, every 5 years ... other?</t>
  </si>
  <si>
    <t>Potassium 1 - Type of test</t>
  </si>
  <si>
    <t>Potassium 1 - Frequency (times per season)</t>
  </si>
  <si>
    <t>Potassium 1 - How many representative samples per paddock</t>
  </si>
  <si>
    <t>Potassium 2 - Type of test</t>
  </si>
  <si>
    <t>Potassium 2 - Frequency (times per season)</t>
  </si>
  <si>
    <t>Potassium 2 - How many representative samples per paddock</t>
  </si>
  <si>
    <t>Potassium 3 - Type of test</t>
  </si>
  <si>
    <t>Potassium 3 - Frequency (times per season)</t>
  </si>
  <si>
    <t>Potassium 3 - How many representative samples per paddock</t>
  </si>
  <si>
    <t>1 - Type of test</t>
  </si>
  <si>
    <t>1 - Frequency (times per season)</t>
  </si>
  <si>
    <t>1 - How many cores per paddock</t>
  </si>
  <si>
    <t>2 - Type of test</t>
  </si>
  <si>
    <t>2 - Frequency (times per season)</t>
  </si>
  <si>
    <t>2 - How many cores per paddock</t>
  </si>
  <si>
    <t>3 - Type of test</t>
  </si>
  <si>
    <t>3 - Frequency (times per season)</t>
  </si>
  <si>
    <t>3 - How many cores per paddock</t>
  </si>
  <si>
    <t>4 - Type of test</t>
  </si>
  <si>
    <t>4 - Frequency (times per season)</t>
  </si>
  <si>
    <t>4 - How many cores per paddock</t>
  </si>
  <si>
    <t>5 - Type of test</t>
  </si>
  <si>
    <t>5 - Frequency (times per season)</t>
  </si>
  <si>
    <t>5 - How many cores per paddock</t>
  </si>
  <si>
    <t>6 - Type of test</t>
  </si>
  <si>
    <t>6 - Frequency (times per season)</t>
  </si>
  <si>
    <t>6 - How many cores per paddock</t>
  </si>
  <si>
    <t>7 - Type of test</t>
  </si>
  <si>
    <t>7 - Frequency (times per season)</t>
  </si>
  <si>
    <t>7 - How many cores per paddock</t>
  </si>
  <si>
    <t>8 - Type of test</t>
  </si>
  <si>
    <t>8 - Frequency (times per season)</t>
  </si>
  <si>
    <t>8 - How many cores per paddock</t>
  </si>
  <si>
    <t>The cost of soil sampling</t>
  </si>
  <si>
    <t>The time required for soil sampling</t>
  </si>
  <si>
    <t>The cost of soil testing lab analysis</t>
  </si>
  <si>
    <t>The difficulty in being able to represent the variability in a paddock</t>
  </si>
  <si>
    <t>The level of accuracy of soil testing lab analysis</t>
  </si>
  <si>
    <t>The ability to translate soil test results into a profitable fertiliser decision for my paddock</t>
  </si>
  <si>
    <t>Not being able to get soil test results at the right time for decision making</t>
  </si>
  <si>
    <t>General comments:</t>
  </si>
  <si>
    <t>My clients businesses would be more profitable if they did more soil testing than they do now</t>
  </si>
  <si>
    <t>Uncertainty about how the season will turn out makes it hard to get value from soil testing results</t>
  </si>
  <si>
    <t>My clients recommend the use of regular soil testing to other local farmers</t>
  </si>
  <si>
    <t>Feel free to comment on this response</t>
  </si>
  <si>
    <t>The cost of sampling</t>
  </si>
  <si>
    <t>The time required for sampling</t>
  </si>
  <si>
    <t>The cost of lab analysis</t>
  </si>
  <si>
    <t>The level of accuracy of lab analysis</t>
  </si>
  <si>
    <t>The ability to translate test results into a profitable decision</t>
  </si>
  <si>
    <t>Not being able to get test results at the right time for decision making</t>
  </si>
  <si>
    <t>My clients businesses would be more profitable if they did more plant testing than they do now</t>
  </si>
  <si>
    <t>Uncertainty about how the season will turn out makes it hard to get value from plant testing results</t>
  </si>
  <si>
    <t>My clients recommend the use of regular plant testing to other local farmers</t>
  </si>
  <si>
    <t>The cost of plant sampling</t>
  </si>
  <si>
    <t>The time required for plant sampling</t>
  </si>
  <si>
    <t>The cost of plant analysis</t>
  </si>
  <si>
    <t>The level of accuracy of plant analysis</t>
  </si>
  <si>
    <t>The ability to translate plant test results into a profitable fertiliser decision for my paddock</t>
  </si>
  <si>
    <t>Not being able to get plant test results at the right time for decision making</t>
  </si>
  <si>
    <t>Comment</t>
  </si>
  <si>
    <t>Soil testing? - Sampling cost</t>
  </si>
  <si>
    <t>Soil testing? - Analysis cost</t>
  </si>
  <si>
    <t>Soil testing? - Sampling time</t>
  </si>
  <si>
    <t>Soil testing? - Analysis time</t>
  </si>
  <si>
    <t>Soil testing? - Understanding / interpreting results</t>
  </si>
  <si>
    <t>Soil testing? - Sampling method</t>
  </si>
  <si>
    <t>Plant testing? - Sampling cost</t>
  </si>
  <si>
    <t>Plant testing? - Analysis cost</t>
  </si>
  <si>
    <t>Plant testing? - Sampling time</t>
  </si>
  <si>
    <t>Plant testing? - Analysis time</t>
  </si>
  <si>
    <t>Plant testing? - Understanding / interpreting results</t>
  </si>
  <si>
    <t>Plant testing? - Sampling method</t>
  </si>
  <si>
    <t>Rural newspapers</t>
  </si>
  <si>
    <t>Farm consultants</t>
  </si>
  <si>
    <t>Workshops</t>
  </si>
  <si>
    <t>Merchandise companies</t>
  </si>
  <si>
    <t>Government agencies</t>
  </si>
  <si>
    <t>Field days</t>
  </si>
  <si>
    <t>Brochures / booklets</t>
  </si>
  <si>
    <t>Local trials</t>
  </si>
  <si>
    <t>Fertilizer company information, e.g. fact sheets</t>
  </si>
  <si>
    <t>Soil or plant testing companies</t>
  </si>
  <si>
    <t>Researchers</t>
  </si>
  <si>
    <t>Google</t>
  </si>
  <si>
    <t>Social media</t>
  </si>
  <si>
    <t>210.56.242.34</t>
  </si>
  <si>
    <t>SA - Yorke Peninsula (medium rainfall)</t>
  </si>
  <si>
    <t>Phosphorus, nitrogen</t>
  </si>
  <si>
    <t>Yes</t>
  </si>
  <si>
    <t>70-90%</t>
  </si>
  <si>
    <t>10-30%</t>
  </si>
  <si>
    <t>Test results</t>
  </si>
  <si>
    <t>Farm history</t>
  </si>
  <si>
    <t>Experience</t>
  </si>
  <si>
    <t>over summer, shallow tests. With most clients, rotate and do every 3-4 years</t>
  </si>
  <si>
    <t>deep N, segmented tests</t>
  </si>
  <si>
    <t>Tests at different depths when N done</t>
  </si>
  <si>
    <t>50-100%</t>
  </si>
  <si>
    <t>Mineral N (Nitrate/Ammonium)</t>
  </si>
  <si>
    <t>0-5</t>
  </si>
  <si>
    <t>Organic Carbon</t>
  </si>
  <si>
    <t>number of sdasamples variable by pddock</t>
  </si>
  <si>
    <t>PBI (Phosphorus Buffering Index)</t>
  </si>
  <si>
    <t>Olsen-Bray P</t>
  </si>
  <si>
    <t>Colwell P</t>
  </si>
  <si>
    <t>DGT</t>
  </si>
  <si>
    <t>Colwell K</t>
  </si>
  <si>
    <t>Exchangable Cations (Ca, Mg, K, Na)</t>
  </si>
  <si>
    <t>pH</t>
  </si>
  <si>
    <t>Texture</t>
  </si>
  <si>
    <t>Aluminium (CaCl2)</t>
  </si>
  <si>
    <t>Calcium carbonate %</t>
  </si>
  <si>
    <t>Boron</t>
  </si>
  <si>
    <t>Trace elements (DTPA) Cu, Zn, Mg, Fe</t>
  </si>
  <si>
    <t>Exchangable cations - Ca, Mg, Na, K</t>
  </si>
  <si>
    <t>Sulfur (KCl40)</t>
  </si>
  <si>
    <t>monitoring p levels</t>
  </si>
  <si>
    <t>monitoring n levels</t>
  </si>
  <si>
    <t>Note any deficiencies</t>
  </si>
  <si>
    <t>Do enough, growers pretty happy with current program</t>
  </si>
  <si>
    <t>Agree</t>
  </si>
  <si>
    <t>Disagree</t>
  </si>
  <si>
    <t>Neutral</t>
  </si>
  <si>
    <t>$1 - $2,500</t>
  </si>
  <si>
    <t>Stayed the same</t>
  </si>
  <si>
    <t>About the same</t>
  </si>
  <si>
    <t>Used when an issue presents in paddock</t>
  </si>
  <si>
    <t>Fix issues</t>
  </si>
  <si>
    <t>Identify problems</t>
  </si>
  <si>
    <t>Decision making</t>
  </si>
  <si>
    <t>Do enough</t>
  </si>
  <si>
    <t>$1 - $2,500</t>
  </si>
  <si>
    <t>Pretty right. Use APAL and have got good program in place. Experienced agros discuss plans with whole team</t>
  </si>
  <si>
    <t>Not too sure. Information flow through GRDC to agros is pretty good, but clients tend to rely on agros for information</t>
  </si>
  <si>
    <t>Beyond Blue</t>
  </si>
  <si>
    <t>Steve</t>
  </si>
  <si>
    <t>0428 466 677</t>
  </si>
  <si>
    <t>VIC - Mallee (low rainfall)</t>
  </si>
  <si>
    <t>20-25%</t>
  </si>
  <si>
    <t>Nitrogen, Phosphorus</t>
  </si>
  <si>
    <t>90-100%</t>
  </si>
  <si>
    <t>Crop type</t>
  </si>
  <si>
    <t>Get different production zones from yields from previous year. Take samples from different depths</t>
  </si>
  <si>
    <t>Deep n</t>
  </si>
  <si>
    <t>What comes in comprehensive, then tissue later if needed</t>
  </si>
  <si>
    <t>5-10</t>
  </si>
  <si>
    <t>Chloride</t>
  </si>
  <si>
    <t>Monitor residual levels</t>
  </si>
  <si>
    <t>Change plans for next year</t>
  </si>
  <si>
    <t>Identify problem areas</t>
  </si>
  <si>
    <t>Increased</t>
  </si>
  <si>
    <t>Check if there  are visual symptoms</t>
  </si>
  <si>
    <t>Cross check against visual signs</t>
  </si>
  <si>
    <t>Check uptakes</t>
  </si>
  <si>
    <t>Application decisions</t>
  </si>
  <si>
    <t>More</t>
  </si>
  <si>
    <t>Currently get good info</t>
  </si>
  <si>
    <t>Not sure</t>
  </si>
  <si>
    <t>Jason</t>
  </si>
  <si>
    <t>nitrogen, sulfur, p, zinc, copper, manganese</t>
  </si>
  <si>
    <t>50-70%</t>
  </si>
  <si>
    <t>dependent upon nutrient</t>
  </si>
  <si>
    <t>History</t>
  </si>
  <si>
    <t>Yield maps</t>
  </si>
  <si>
    <t>Tests at varying depth in summer</t>
  </si>
  <si>
    <t>deep n closer to sowing</t>
  </si>
  <si>
    <t>tissue test</t>
  </si>
  <si>
    <t>20-50%</t>
  </si>
  <si>
    <t>identify variability</t>
  </si>
  <si>
    <t>identify deficiencies</t>
  </si>
  <si>
    <t>trim rates, go into mining phase</t>
  </si>
  <si>
    <t>$2,500 - $5,000</t>
  </si>
  <si>
    <t>For trace elements</t>
  </si>
  <si>
    <t>confirming visual deficiencies</t>
  </si>
  <si>
    <t xml:space="preserve">checking recommendations </t>
  </si>
  <si>
    <t>general plant health check</t>
  </si>
  <si>
    <t>Decreased</t>
  </si>
  <si>
    <t>Better decision making tools for applications</t>
  </si>
  <si>
    <t>Better idea of real world scenarios rather than research scenarios.</t>
  </si>
  <si>
    <t>Manangatang Preschool</t>
  </si>
  <si>
    <t>Andrew</t>
  </si>
  <si>
    <t xml:space="preserve">0428 323 339 </t>
  </si>
  <si>
    <t>SA - Mid North (medium rainfall)</t>
  </si>
  <si>
    <t>15-20%</t>
  </si>
  <si>
    <t>Phosphorus</t>
  </si>
  <si>
    <t>30-50%</t>
  </si>
  <si>
    <t>Previous experience</t>
  </si>
  <si>
    <t>Other ag consultants</t>
  </si>
  <si>
    <t>0-10cm tests, 10-30cm and 30-60cm</t>
  </si>
  <si>
    <t>Topsoil and Deep N</t>
  </si>
  <si>
    <t>Mainly tissue testing</t>
  </si>
  <si>
    <t>Monitor levels of nutrients</t>
  </si>
  <si>
    <t>Help with P decisions for next year and some in-season</t>
  </si>
  <si>
    <t>Save on fert costs if possible</t>
  </si>
  <si>
    <t>To pick up on deficiencies of trace elements</t>
  </si>
  <si>
    <t>Apply any nutrients lacking</t>
  </si>
  <si>
    <t>Keep crop balance</t>
  </si>
  <si>
    <t>Meet yield targets</t>
  </si>
  <si>
    <t>Doing enough to address what's needed. Can be doubt from growers at times</t>
  </si>
  <si>
    <t>Would like to continue getting information about N uptake.</t>
  </si>
  <si>
    <t>Phil</t>
  </si>
  <si>
    <t>SA - South East (medium rainfall)</t>
  </si>
  <si>
    <t xml:space="preserve">Phosphorous, Nitrogen </t>
  </si>
  <si>
    <t xml:space="preserve">we do the testing for the client. </t>
  </si>
  <si>
    <t xml:space="preserve">results </t>
  </si>
  <si>
    <t xml:space="preserve">past history </t>
  </si>
  <si>
    <t xml:space="preserve">advice from fellow agronomist </t>
  </si>
  <si>
    <t xml:space="preserve">each 3 years aim for poor performing paddock </t>
  </si>
  <si>
    <t>deep N testing to 120cm</t>
  </si>
  <si>
    <t xml:space="preserve">don't test </t>
  </si>
  <si>
    <t xml:space="preserve">how much fertiliser to use </t>
  </si>
  <si>
    <t xml:space="preserve">monitor soil nutrient levels </t>
  </si>
  <si>
    <t xml:space="preserve">Better forecasting to reduce variables would be nice </t>
  </si>
  <si>
    <t>SA – Lower EP (medium rainfall)</t>
  </si>
  <si>
    <t>Ph, N, Znc, Manganese</t>
  </si>
  <si>
    <t>Soil testing</t>
  </si>
  <si>
    <t xml:space="preserve">Historical data </t>
  </si>
  <si>
    <t xml:space="preserve">aim is to get them testing some paddock every year and go across farm every five years, 20 per cent each yeasr. look for trends. </t>
  </si>
  <si>
    <t xml:space="preserve">for Nitrogen its paddocks going into </t>
  </si>
  <si>
    <t xml:space="preserve">looking at DGT to see what interpretations we can take back to grower. difficulty in the interpretation and understanding what mechanism going on to drive numbers </t>
  </si>
  <si>
    <t xml:space="preserve">rarely test, rely on tissue test for micro nutrients </t>
  </si>
  <si>
    <t xml:space="preserve">improve results yield </t>
  </si>
  <si>
    <t xml:space="preserve">grower decides </t>
  </si>
  <si>
    <t xml:space="preserve">better targeting Ph and N to optimise productivity. </t>
  </si>
  <si>
    <t xml:space="preserve">Diagnostic reasons. </t>
  </si>
  <si>
    <t xml:space="preserve">Diagnostic reasons </t>
  </si>
  <si>
    <t xml:space="preserve">for micronutrients as alternative to soil testing </t>
  </si>
  <si>
    <t xml:space="preserve">GRDC have got some really good stuff out there, happy with it all </t>
  </si>
  <si>
    <t xml:space="preserve">It the grower doesn;'t test we're flying blind, not sure the GRDC stuff gets to grassroots that quickly. </t>
  </si>
  <si>
    <t xml:space="preserve">Loxcare </t>
  </si>
  <si>
    <t xml:space="preserve">Richard </t>
  </si>
  <si>
    <t>0488 078 451</t>
  </si>
  <si>
    <t>VIC - Southern region (high rainfall)</t>
  </si>
  <si>
    <t xml:space="preserve">N, K, Boron, Phosphorous, Iron, manganese, zinc </t>
  </si>
  <si>
    <t>No</t>
  </si>
  <si>
    <t>Unsure</t>
  </si>
  <si>
    <t>nitrogen</t>
  </si>
  <si>
    <t>VIC - Wimmera (medium rainfall)</t>
  </si>
  <si>
    <t xml:space="preserve">Ph, P, N </t>
  </si>
  <si>
    <t xml:space="preserve">soil test results </t>
  </si>
  <si>
    <t xml:space="preserve">observation </t>
  </si>
  <si>
    <t xml:space="preserve">2-3 years per paddock, generally do worst performing paddocks </t>
  </si>
  <si>
    <t xml:space="preserve">"" no deep N in recent years but expect to in coming years </t>
  </si>
  <si>
    <t xml:space="preserve">every 2-3 years alongside other tests but not taken too seriously </t>
  </si>
  <si>
    <t>10-15%</t>
  </si>
  <si>
    <t>Trace elements (EDTA) Cu, Zn, Mg, Fe</t>
  </si>
  <si>
    <t xml:space="preserve">determine how much urea to put on </t>
  </si>
  <si>
    <t xml:space="preserve">get an idea of what's in soil  </t>
  </si>
  <si>
    <t>Greatly increased</t>
  </si>
  <si>
    <t xml:space="preserve">Don';t use, people pushing high yields tend to not worry about tissue testing </t>
  </si>
  <si>
    <t xml:space="preserve">improved forecasts to reduce variability </t>
  </si>
  <si>
    <t xml:space="preserve">localised trials in nutrient take up in soil </t>
  </si>
  <si>
    <t>30-35%</t>
  </si>
  <si>
    <t>p, n, sulfur</t>
  </si>
  <si>
    <t>Industry data</t>
  </si>
  <si>
    <t>0-10cm topsoil tests</t>
  </si>
  <si>
    <t>deep n tests</t>
  </si>
  <si>
    <t>tissue tests</t>
  </si>
  <si>
    <t>monitoring long-term trends</t>
  </si>
  <si>
    <t>poor performing areas</t>
  </si>
  <si>
    <t>nutritional overview</t>
  </si>
  <si>
    <t>Grower acceptance</t>
  </si>
  <si>
    <t>Monitoring levels of trace elements</t>
  </si>
  <si>
    <t>Checking applications made previously</t>
  </si>
  <si>
    <t>Meeting targets</t>
  </si>
  <si>
    <t>More nitrogen tools to determine n status in plants</t>
  </si>
  <si>
    <t>Target growers to undertake more soil testing. Develop more decision support tools for nitrogen management.</t>
  </si>
  <si>
    <t>Bute Football Club</t>
  </si>
  <si>
    <t>Darryn</t>
  </si>
  <si>
    <t>0428 466 674</t>
  </si>
  <si>
    <t>phosphorus, n, sulfur, potassium</t>
  </si>
  <si>
    <t>yield data from previous year</t>
  </si>
  <si>
    <t>projected yields</t>
  </si>
  <si>
    <t>yield map off production zones, 0-10cm tests</t>
  </si>
  <si>
    <t>Don't do soil testing for N</t>
  </si>
  <si>
    <t>&gt; 30</t>
  </si>
  <si>
    <t>Monitor residual nutrient levels</t>
  </si>
  <si>
    <t>Pick up on deficiencies</t>
  </si>
  <si>
    <t>Some resistance from farmers</t>
  </si>
  <si>
    <t>Check n application against uptake</t>
  </si>
  <si>
    <t>Top dressing decisions</t>
  </si>
  <si>
    <t>Up to date, pretty well covered. Stay on top of things given our area and challenges we face</t>
  </si>
  <si>
    <t>grdc</t>
  </si>
  <si>
    <t>Local trials, particularly about potassium in our region. Currently rely on information from WA</t>
  </si>
  <si>
    <t>Meningie Football Club</t>
  </si>
  <si>
    <t xml:space="preserve">Matt </t>
  </si>
  <si>
    <t>mhowell@ruralco.com.au</t>
  </si>
  <si>
    <t>0458 277 546</t>
  </si>
  <si>
    <t>SA - Mallee (low rainfall)</t>
  </si>
  <si>
    <t xml:space="preserve">N, S </t>
  </si>
  <si>
    <t xml:space="preserve">paddock history </t>
  </si>
  <si>
    <t xml:space="preserve">past yields </t>
  </si>
  <si>
    <t xml:space="preserve">Every 5 years to check level </t>
  </si>
  <si>
    <t xml:space="preserve">some prefer not to know, happy with what they've always done </t>
  </si>
  <si>
    <t xml:space="preserve">Don't do any plant testing at the moment but trying to get growers to do it for in-season. I.e. if low put urea on </t>
  </si>
  <si>
    <t xml:space="preserve">if they could tell me it was going to rain and how much, we've got to be careful with shallow soils, whewn it finishes off quick can burn crop </t>
  </si>
  <si>
    <t xml:space="preserve">Better seasonal forecasting. </t>
  </si>
  <si>
    <t xml:space="preserve">maybe grower updates on the importance of soil testing, it's all well and good to hear it from us but when you get it from a scientist some may listen, as long as it's dumbed down a bit. example from farmers' cases where it's gone right also helps. </t>
  </si>
  <si>
    <t xml:space="preserve">Growers are slowly coming around to testing, we're seeing that shift But you can tell someone until they're blue in the face the benefits but unless they see it somewhere for themselves they'll likely ignore you. The key is to get someone who's dead against it to do it and when they have success they will blab to others and convince them. </t>
  </si>
  <si>
    <t>Ports Football Netball Club</t>
  </si>
  <si>
    <t xml:space="preserve">Zac </t>
  </si>
  <si>
    <t>0418 764 460</t>
  </si>
  <si>
    <t>copper, manganese, zinc, potassium</t>
  </si>
  <si>
    <t>soil tests</t>
  </si>
  <si>
    <t>experience</t>
  </si>
  <si>
    <t>0-10 over summer</t>
  </si>
  <si>
    <t>Deep n in crop</t>
  </si>
  <si>
    <t>Monitoring</t>
  </si>
  <si>
    <t>Getting best return for investment</t>
  </si>
  <si>
    <t>Mainly used for trace elements and for potassium</t>
  </si>
  <si>
    <t>Identify different production zones and why</t>
  </si>
  <si>
    <t>Bottom line</t>
  </si>
  <si>
    <t>Nitrogen cycling in new farming systems is not understood well enough</t>
  </si>
  <si>
    <t>Increasing knowledge about n cycling and nutrient cycling. Continue doing research and extension, make sure to supply information to growers and agronomists</t>
  </si>
  <si>
    <t>Felicity</t>
  </si>
  <si>
    <t>0400 299 087</t>
  </si>
  <si>
    <t>pH, Sulfur, Zn, Cu, N</t>
  </si>
  <si>
    <t xml:space="preserve">Clients request testing if they believe it should be done. I recommend in certain case. </t>
  </si>
  <si>
    <t>knowledge</t>
  </si>
  <si>
    <t xml:space="preserve">yield results prior season </t>
  </si>
  <si>
    <t xml:space="preserve">Every 3 years on poor performing paddocks </t>
  </si>
  <si>
    <t xml:space="preserve">Every 3 years </t>
  </si>
  <si>
    <t xml:space="preserve">Every 3 years as comes with other tests </t>
  </si>
  <si>
    <t>5-10%</t>
  </si>
  <si>
    <t>Total N</t>
  </si>
  <si>
    <t>15-20</t>
  </si>
  <si>
    <t xml:space="preserve">3 years or following a poor performance </t>
  </si>
  <si>
    <t>10-15</t>
  </si>
  <si>
    <t>To inform fertiliser expenditure</t>
  </si>
  <si>
    <t xml:space="preserve">Soil testing doesn't give definitive answer, too dependent on weather  </t>
  </si>
  <si>
    <t xml:space="preserve">Do not use plant testing as find unreliable </t>
  </si>
  <si>
    <t>N, Zn, Copper, Sulfur</t>
  </si>
  <si>
    <t>Most of the time we're just doing deep N. Working out benchmark and going from there.P based on replacement based on what I recommend</t>
  </si>
  <si>
    <t>I do my own moisture test and own gut feel from visual and in season responses.</t>
  </si>
  <si>
    <t>Industry contacts</t>
  </si>
  <si>
    <t>replacement has been marginal, always found farmers sowing earlier and less P responsive in earlier sowing</t>
  </si>
  <si>
    <t xml:space="preserve">dynamic nutrient, needs testing, partcularly after dry seasons </t>
  </si>
  <si>
    <t xml:space="preserve">tissue testing in season </t>
  </si>
  <si>
    <t>N per5 kg per ha</t>
  </si>
  <si>
    <t>I look at the PBI as well</t>
  </si>
  <si>
    <t>wghen i do a deep N. I think it's important to know what's happening particularly with hay. We have huge amounts of Potassium but it's important to get a baseline</t>
  </si>
  <si>
    <t>you don't know what to apply if you don't know where you're starting. But take with a grain of salt as well. It's better than nothing</t>
  </si>
  <si>
    <t>monitoring those underlying issues such as Potassium and sulfur</t>
  </si>
  <si>
    <t>Organic carbon is always interesting</t>
  </si>
  <si>
    <t>lack of understanding, what's the value when I know what my crop has always needed</t>
  </si>
  <si>
    <t xml:space="preserve">lack of understanding. </t>
  </si>
  <si>
    <t>Strongly agree</t>
  </si>
  <si>
    <t>Especially if someone has variable rate technology. I often think sandy soils are under fert and heavy are over fert.</t>
  </si>
  <si>
    <t>Farmers question value proposition</t>
  </si>
  <si>
    <t>Our soils are becoming so depleted of N.</t>
  </si>
  <si>
    <t xml:space="preserve">In season </t>
  </si>
  <si>
    <t>visible and unsure of symptoms</t>
  </si>
  <si>
    <t>grower wants to confirm or deny a new method, diff P rates, new way to apply Zn</t>
  </si>
  <si>
    <t xml:space="preserve">Always good to know, rather than writing it off. </t>
  </si>
  <si>
    <t>Build knowledge for future years</t>
  </si>
  <si>
    <t>Much more</t>
  </si>
  <si>
    <t>Upskill agros to share the information, get really good speakers out to talk to agros.</t>
  </si>
  <si>
    <t>Mallee Sustainable farming</t>
  </si>
  <si>
    <t>Louise</t>
  </si>
  <si>
    <t>Dookie, Vic</t>
  </si>
  <si>
    <t>nitrogen, sulfur, potassium, zinc</t>
  </si>
  <si>
    <t>ph from soil test</t>
  </si>
  <si>
    <t>yield expectations</t>
  </si>
  <si>
    <t>0-10, 10-30, 30-60 tests</t>
  </si>
  <si>
    <t>Topsoil and Deep N tests</t>
  </si>
  <si>
    <t>Take at different depths, also do tissue tests if needed</t>
  </si>
  <si>
    <t>knowing how much lime is required</t>
  </si>
  <si>
    <t>Getting p levels as best we can</t>
  </si>
  <si>
    <t>Checking return on n</t>
  </si>
  <si>
    <t>don't see always see value</t>
  </si>
  <si>
    <t>not including grid testing, which is more expensive</t>
  </si>
  <si>
    <t>Mostly for trace elements if we see something out of the ordinary</t>
  </si>
  <si>
    <t>Identify reasons for poor crop</t>
  </si>
  <si>
    <t>Fix deficiencies</t>
  </si>
  <si>
    <t>decision making</t>
  </si>
  <si>
    <t>Should topsoil tests be taken deeper</t>
  </si>
  <si>
    <t>GRDC research update newsletter</t>
  </si>
  <si>
    <t>Continuing to look at different research on nutrition. Different application techniques for n. listening to growers, agros</t>
  </si>
  <si>
    <t>Dookie Lions Club</t>
  </si>
  <si>
    <t>Bruce</t>
  </si>
  <si>
    <t>bruce@larcombeag.com.au</t>
  </si>
  <si>
    <t>0488 286 318</t>
  </si>
  <si>
    <t xml:space="preserve">Ph, Zn, S, N </t>
  </si>
  <si>
    <t xml:space="preserve">every 2-3 year in their least productive crop </t>
  </si>
  <si>
    <t xml:space="preserve">every 2-3 year in their least productive crop.  Deep N testing, but not often as too hard work. dont worry about what's stored down the bottom, wimmera is fluctuating rain, grew most crop 4 inch  </t>
  </si>
  <si>
    <t xml:space="preserve">Each 5 years for all test </t>
  </si>
  <si>
    <t xml:space="preserve">Poorr crop performance </t>
  </si>
  <si>
    <t>Measure Nitrogen on to reduce fertiliser crop</t>
  </si>
  <si>
    <t xml:space="preserve">I let clients make own decisions, don;'t push too much for testing </t>
  </si>
  <si>
    <t xml:space="preserve">In the end if we don't get a Spring there's no money at all in testing so i envisage what seasons going to do. If we dont get rain </t>
  </si>
  <si>
    <t xml:space="preserve">Bit of testing for diagnostic reasons. Usually for root disease in cereal. Canola where chance of upping yield we'll do lot of N tissue samples to up yield </t>
  </si>
  <si>
    <t xml:space="preserve">when required and as requested </t>
  </si>
  <si>
    <t xml:space="preserve">You can Google most things. </t>
  </si>
  <si>
    <t xml:space="preserve">farmers I'm mates with </t>
  </si>
  <si>
    <t xml:space="preserve">Only do so much. Some of the work GRDC have done they've 15-20 years ago, they're doing again. It's out there farmers jsut dont use. Get farmer forums to discuss thing south eat plains, north horsham, horsham south. early adopters to chat at local level. </t>
  </si>
  <si>
    <t xml:space="preserve">everyone throw out N anyway </t>
  </si>
  <si>
    <t xml:space="preserve">NATIMUK DISTRICT FIELD AND GAME </t>
  </si>
  <si>
    <t>Richard</t>
  </si>
  <si>
    <t xml:space="preserve">Ph, N, S </t>
  </si>
  <si>
    <t xml:space="preserve">most come to us wanting testing done we dont push hard </t>
  </si>
  <si>
    <t>independent research</t>
  </si>
  <si>
    <t>our own experience</t>
  </si>
  <si>
    <t xml:space="preserve">harvest results </t>
  </si>
  <si>
    <t xml:space="preserve">0-10cm </t>
  </si>
  <si>
    <t xml:space="preserve">Deep N testing, but mostly o-10cm </t>
  </si>
  <si>
    <t xml:space="preserve">improving yields </t>
  </si>
  <si>
    <t xml:space="preserve">with increase in precision ag </t>
  </si>
  <si>
    <t xml:space="preserve">A little bit. </t>
  </si>
  <si>
    <t xml:space="preserve">we're looknig for micronutirents to confirm what soil testing results might say </t>
  </si>
  <si>
    <t xml:space="preserve">questionable value, to put where things are at in real world </t>
  </si>
  <si>
    <t xml:space="preserve">you do all testing in world and interpret data but has little impact </t>
  </si>
  <si>
    <t xml:space="preserve">More accuracy in soil test results. If the info we got regarding micro nutrients was accurate and we know exactly what to do that'd make it profitable </t>
  </si>
  <si>
    <t xml:space="preserve">better interpretation tools, better proofing of some of the results we get </t>
  </si>
  <si>
    <t xml:space="preserve">Upper North Farming Systems Group </t>
  </si>
  <si>
    <t xml:space="preserve">Phil </t>
  </si>
  <si>
    <t>0428 672 119</t>
  </si>
  <si>
    <t>25-30%</t>
  </si>
  <si>
    <t xml:space="preserve">N, Cu, Zn, pH </t>
  </si>
  <si>
    <t xml:space="preserve">soil testing </t>
  </si>
  <si>
    <t xml:space="preserve">Small percentage of Deep N. </t>
  </si>
  <si>
    <t xml:space="preserve">Testing every 3 years. </t>
  </si>
  <si>
    <t xml:space="preserve">Improve yields </t>
  </si>
  <si>
    <t xml:space="preserve">including deep N </t>
  </si>
  <si>
    <t xml:space="preserve">I only tissue test when I see a problem, for diagnostic purposes, which is rare. </t>
  </si>
  <si>
    <t xml:space="preserve">diagnose issue </t>
  </si>
  <si>
    <t xml:space="preserve">inaccurate, conditions too variable in making decisions </t>
  </si>
  <si>
    <t xml:space="preserve">too hard to make decision once got decision. </t>
  </si>
  <si>
    <t xml:space="preserve">Everyone's been doing research into Nitrogen but I don't know we're any wiser than 50 years ago. There's a bit of old sachool mentality "this is what we do" </t>
  </si>
  <si>
    <t xml:space="preserve">There's so many things that are still estimate. It's all based on research but can never be certain. </t>
  </si>
  <si>
    <t xml:space="preserve">Over the years I have done deep N, you do the calculations - mineralisation, rainfall, etc - you still find you fall back in trap of this is how much we normally put out so we'll do that anyway. Whack out extra urea instead of trusting deep N </t>
  </si>
  <si>
    <t>Inverleigh Kindergarten</t>
  </si>
  <si>
    <t xml:space="preserve">Trudy </t>
  </si>
  <si>
    <t xml:space="preserve">0438 725 008 </t>
  </si>
  <si>
    <t>N, Zn, S, P</t>
  </si>
  <si>
    <t xml:space="preserve">Depends. Been working with people for a long time so we have good data on their paddocks. We have a program of how we allocate recommendations. </t>
  </si>
  <si>
    <t xml:space="preserve">plus or minus 20% based on the year. </t>
  </si>
  <si>
    <t xml:space="preserve">Soil testing is not an answer in itself. </t>
  </si>
  <si>
    <t>AppSim 0-60cm varies on known rooting depth</t>
  </si>
  <si>
    <t>changes by paddock. We know our P response is driven by time of seeding and root system expanding.</t>
  </si>
  <si>
    <t xml:space="preserve">Only when we suspect its an issue. Deep soil always contains potassium. </t>
  </si>
  <si>
    <t>occasionally mg and coppers</t>
  </si>
  <si>
    <t>understand how much soil water and N they have</t>
  </si>
  <si>
    <t>occasionally if they've bought a property or there's a change of land use P testing</t>
  </si>
  <si>
    <t>pH to us is as important as P</t>
  </si>
  <si>
    <t xml:space="preserve">response curve not defined, statafication (horizontal or vertical), not as big a picture as GRDC thinks it is. There's a lot of other things more important TOS, pH, water, money in the bank, soil tests results recommendation is anticipated yield, </t>
  </si>
  <si>
    <t>as above</t>
  </si>
  <si>
    <t>just for P, no. Water and N, maybe</t>
  </si>
  <si>
    <t>visible recommendations, sensors for N in canopy, canopy estimates</t>
  </si>
  <si>
    <t>Valid method of determining, N</t>
  </si>
  <si>
    <t>As reliable as lab methods</t>
  </si>
  <si>
    <t>more responsive</t>
  </si>
  <si>
    <t>hardly tissue test for Zn, you almost always find a plant with deficiency systems. Paddocks are never even. Diagnostically i would only 4-5 tissue tests a year. There are other ways to do it.</t>
  </si>
  <si>
    <t xml:space="preserve">in field testing, short time frame results. Repeat sampling. Targeted in field cloud based hand held sensors i could do 5 times in a paddock. </t>
  </si>
  <si>
    <t xml:space="preserve">Nutrition decisions shouldn't be based on measuring and making a decision based on that. Expertise for internal and external staff and contractors. More focus on science behind the economic decisions and responses for soil testings. </t>
  </si>
  <si>
    <t>Adelaide Hills Hockey Club</t>
  </si>
  <si>
    <t>P 70%, N 30%(cheaper aspect to put out), heavy into legumes N isn't always as important</t>
  </si>
  <si>
    <t>we recommend every 3-4 years one paddock. Dry years we see more interest.</t>
  </si>
  <si>
    <t>Historical decision making. 1 year once off can't guide too accurately.</t>
  </si>
  <si>
    <t>soil testing, nutrient advantage courses every few years</t>
  </si>
  <si>
    <t>self taught, GRDC research</t>
  </si>
  <si>
    <t>previous season and roattions</t>
  </si>
  <si>
    <t>trace elements tissue testing</t>
  </si>
  <si>
    <t>25-30</t>
  </si>
  <si>
    <t>3-4 years. Vary on soil moisture which we use. Total N is probably a better idea of what's going on. We can get a pretty good indication.</t>
  </si>
  <si>
    <t>Moreso trace element during season. We have a lot of K in our soils</t>
  </si>
  <si>
    <t>Visible affects on crop.</t>
  </si>
  <si>
    <t>gauge what the soils are doing and if we're lacking something</t>
  </si>
  <si>
    <t>no point sending money on sulphur if there's plenty there</t>
  </si>
  <si>
    <t>increasing yields by small inputs</t>
  </si>
  <si>
    <t>lack of understanding in growers</t>
  </si>
  <si>
    <t>as above. Hard when you can't see a deficiency</t>
  </si>
  <si>
    <t>sporadic. This year they've increased. Good years we will do very few</t>
  </si>
  <si>
    <t>Hope it will increase,. But i think the technologies will get better</t>
  </si>
  <si>
    <t>Visual. Abler to get results quicly</t>
  </si>
  <si>
    <t>Quickly able to fix problem</t>
  </si>
  <si>
    <t>More responsive for growers</t>
  </si>
  <si>
    <t>Valid need for it. People don't always see it's necessary.</t>
  </si>
  <si>
    <t>Industry agronomy updates with independent experts debunking some of the myths .</t>
  </si>
  <si>
    <t xml:space="preserve">Paskeville Football Club </t>
  </si>
  <si>
    <t>Zack</t>
  </si>
  <si>
    <t>What has been done before</t>
  </si>
  <si>
    <t>Other agronomists</t>
  </si>
  <si>
    <t>Range of depths and random sampling throughout paddock, generally during summer</t>
  </si>
  <si>
    <t>Some deep N closer to sowing</t>
  </si>
  <si>
    <t>What comes with other tests, some tissue tests if needed</t>
  </si>
  <si>
    <t>Monitoring levels</t>
  </si>
  <si>
    <t>Save the money</t>
  </si>
  <si>
    <t>When there are visual signs of something wrong</t>
  </si>
  <si>
    <t>Fix crop problems</t>
  </si>
  <si>
    <t>Check application efficiencies</t>
  </si>
  <si>
    <t>Can find good information at the moment</t>
  </si>
  <si>
    <t>GRDC</t>
  </si>
  <si>
    <t>Keep up trial work, get to different areas</t>
  </si>
  <si>
    <t>Clare Lions Club</t>
  </si>
  <si>
    <t>Simon</t>
  </si>
  <si>
    <t xml:space="preserve">Phosphate, Nitrogen, trace elements </t>
  </si>
  <si>
    <t xml:space="preserve">make a recommendation, they decide if they want to spend. </t>
  </si>
  <si>
    <t xml:space="preserve">soil test </t>
  </si>
  <si>
    <t xml:space="preserve">EAL Laboratories, test on a 4-5 year cycle depending on budget, one year we might do different </t>
  </si>
  <si>
    <t xml:space="preserve">EAL test micronutrients. </t>
  </si>
  <si>
    <t xml:space="preserve">When there's a problem, more diagnostic and confirmation. Scorecard of how we're getting on, soil test is the syllabus and the tissue test is the test at end of year to see how you're going </t>
  </si>
  <si>
    <t xml:space="preserve">see how we're going </t>
  </si>
  <si>
    <t xml:space="preserve">we do as much as we need to do. one year in five </t>
  </si>
  <si>
    <t xml:space="preserve">whats the season doing? whats the risk assessment? what did the neighbours do? </t>
  </si>
  <si>
    <t xml:space="preserve">Proper trials - they do single trial don't tell us anything, don't take into account carbon. still debating what sort of carbon need to talk. </t>
  </si>
  <si>
    <t xml:space="preserve">Yes - spent too much time in research and not enough time working out what works at ground level. plenty of consultants at ground level and way ahead. Research is ineffective: we're already doing things researchers are showing.  </t>
  </si>
  <si>
    <t xml:space="preserve">Wallup Landcare Group </t>
  </si>
  <si>
    <t xml:space="preserve">Greg </t>
  </si>
  <si>
    <t>0427 823845</t>
  </si>
  <si>
    <t>sulfur, trace elements</t>
  </si>
  <si>
    <t>Economics</t>
  </si>
  <si>
    <t>Do topsoil testing during the summer</t>
  </si>
  <si>
    <t>No soil testing for N</t>
  </si>
  <si>
    <t>Topsoil testing during summer, tissue tests in-season</t>
  </si>
  <si>
    <t>20-25</t>
  </si>
  <si>
    <t>Guide fert applications</t>
  </si>
  <si>
    <t>bottom line</t>
  </si>
  <si>
    <t xml:space="preserve">Save money </t>
  </si>
  <si>
    <t>Farmers can lapse/forget to do them</t>
  </si>
  <si>
    <t>Farmers can lapse</t>
  </si>
  <si>
    <t>Tissue test for Nitrogen and trace elements</t>
  </si>
  <si>
    <t>More accurate for trace elements than soil testing</t>
  </si>
  <si>
    <t>Checking levels</t>
  </si>
  <si>
    <t>Not a priority sometimes</t>
  </si>
  <si>
    <t>All info is out there, just a matter of finding it</t>
  </si>
  <si>
    <t>More work done in pasture field/on pastures</t>
  </si>
  <si>
    <t>Casterton Sandford Football Netball Club</t>
  </si>
  <si>
    <t>Bridie</t>
  </si>
  <si>
    <t>bridie.tiernery@elders.com.au</t>
  </si>
  <si>
    <t>0428 800 163</t>
  </si>
  <si>
    <t xml:space="preserve">we dont do much soil testing. no one tests every year but every 3-4 years chuck on tests </t>
  </si>
  <si>
    <t xml:space="preserve">Soil testing </t>
  </si>
  <si>
    <t xml:space="preserve">Observation </t>
  </si>
  <si>
    <t>Every 3 years</t>
  </si>
  <si>
    <t xml:space="preserve">very little deep soil N, it's more based on past history </t>
  </si>
  <si>
    <t xml:space="preserve">mainly rely on paddock history </t>
  </si>
  <si>
    <t xml:space="preserve">Lime and gypsum and phosphorous </t>
  </si>
  <si>
    <t xml:space="preserve">Most guys here been farming for 20-30 years. Have a good understanding of the land. Biggest thing for us is probablylime and gypsu,m </t>
  </si>
  <si>
    <t xml:space="preserve">find it a nightmare </t>
  </si>
  <si>
    <t xml:space="preserve">The stuff we're getting through is relevant with GRDC. </t>
  </si>
  <si>
    <t xml:space="preserve">No, the problem is fertilsier is such a generic market. Price is determined y traders. </t>
  </si>
  <si>
    <t xml:space="preserve">Bannockburn Football Netball Club </t>
  </si>
  <si>
    <t xml:space="preserve">Ashley </t>
  </si>
  <si>
    <t>0458 822 066</t>
  </si>
  <si>
    <t>phosphorus, nitrogen, sulfur</t>
  </si>
  <si>
    <t>rainfall</t>
  </si>
  <si>
    <t>Test in summer, 0-10cm on paddocks of interest, total P</t>
  </si>
  <si>
    <t>Topsoil included in complete package, then deep n at start of season</t>
  </si>
  <si>
    <t>Included in complete package</t>
  </si>
  <si>
    <t>fert rates for next season</t>
  </si>
  <si>
    <t>deficiencies</t>
  </si>
  <si>
    <t>ruling out any soil problems</t>
  </si>
  <si>
    <t>Take youngest emerged leaves for n and trace elements</t>
  </si>
  <si>
    <t>Identify deficiencies</t>
  </si>
  <si>
    <t>top dressing decisions</t>
  </si>
  <si>
    <t>Some farmers don't think it's a necessity. Can base decisions off visual check</t>
  </si>
  <si>
    <t>Nothing extra off the top off my head</t>
  </si>
  <si>
    <t>Do a fair bit already, perhaps a newsletter about potential upcoming issues, info about efficiencies</t>
  </si>
  <si>
    <t>Morchard Tennis Club</t>
  </si>
  <si>
    <t>0419 442 960</t>
  </si>
  <si>
    <t>Nitrogen, Phosphorus, potassium, zinc</t>
  </si>
  <si>
    <t>topsoil test</t>
  </si>
  <si>
    <t>topsoil, deep test</t>
  </si>
  <si>
    <t>Check p levels are where theuy believe they are</t>
  </si>
  <si>
    <t>benchmarking</t>
  </si>
  <si>
    <t>make adjustments</t>
  </si>
  <si>
    <t>lot of testing done 20 years ago, more to monitor</t>
  </si>
  <si>
    <t>monitor</t>
  </si>
  <si>
    <t>Tissue test youngest emerged blade for trace elements. Use them especially for guys with liquid systems to guide fert mixes. Test again afterwards to gauge effectiveness</t>
  </si>
  <si>
    <t>Help with fert mixes</t>
  </si>
  <si>
    <t>gauge plant availability</t>
  </si>
  <si>
    <t>identify early nutrient deficiencies</t>
  </si>
  <si>
    <t>Real time measurement of nutrient, a nitrogen probe to be used in conjunction with a soil moisture probe would be handy</t>
  </si>
  <si>
    <t>Groundcover</t>
  </si>
  <si>
    <t>Get soil test results sooner, so we can make quicker decisions. Development of n probe</t>
  </si>
  <si>
    <t>RFDS</t>
  </si>
  <si>
    <t>Darren</t>
  </si>
  <si>
    <t>darren.pech@elders.com.au</t>
  </si>
  <si>
    <t>0429 678 952</t>
  </si>
  <si>
    <t>potassium, magnesium</t>
  </si>
  <si>
    <t>visual symptoms</t>
  </si>
  <si>
    <t xml:space="preserve">soil moisture </t>
  </si>
  <si>
    <t>Every 3-4 years for most of my clients, rotate through paddocks</t>
  </si>
  <si>
    <t>soil type</t>
  </si>
  <si>
    <t>nitrate use effificiency</t>
  </si>
  <si>
    <t>Make sure P levels are right</t>
  </si>
  <si>
    <t>optimise yields</t>
  </si>
  <si>
    <t>Focus on nitrogen and trace elements when we see visual symptoms of something wrong</t>
  </si>
  <si>
    <t>Track nutrient levels</t>
  </si>
  <si>
    <t>Help with decision making</t>
  </si>
  <si>
    <t>Meet yield expectations</t>
  </si>
  <si>
    <t>Localised nutrient trials to establish a base/guide of usage.</t>
  </si>
  <si>
    <t>Focus locally rather than international when it comes to trials, run some workshops for local growers and agronomists</t>
  </si>
  <si>
    <t>Lower South East Hockey Association</t>
  </si>
  <si>
    <t>Sam</t>
  </si>
  <si>
    <t>0418 601 882</t>
  </si>
  <si>
    <t>Tasmania</t>
  </si>
  <si>
    <t>phosphorus</t>
  </si>
  <si>
    <t>history</t>
  </si>
  <si>
    <t>Random sampling in paddocks</t>
  </si>
  <si>
    <t>cr, pas</t>
  </si>
  <si>
    <t>Total P</t>
  </si>
  <si>
    <t>Use micronutrient tests that come in comprehensive package</t>
  </si>
  <si>
    <t>fertility program</t>
  </si>
  <si>
    <t>fert recommendations</t>
  </si>
  <si>
    <t>Test when going into higher returning crops</t>
  </si>
  <si>
    <t>Farmers generally open to to soil testing</t>
  </si>
  <si>
    <t>Will do more in future, haven't done a lot in the past</t>
  </si>
  <si>
    <t>Top dressing and urea application decisions</t>
  </si>
  <si>
    <t>Always need more info, always beneficial, more info on micronutrients would be great</t>
  </si>
  <si>
    <t>More information to agronomists and advisers to pass onto farmers because they often don't have time</t>
  </si>
  <si>
    <t>Pip</t>
  </si>
  <si>
    <t>0438 046 149</t>
  </si>
  <si>
    <t>zinc, magnesium</t>
  </si>
  <si>
    <t>local knowledge</t>
  </si>
  <si>
    <t>0-10, 10-30, 30-60, inter-row, row</t>
  </si>
  <si>
    <t>Number of samples dependent upon production zone</t>
  </si>
  <si>
    <t>Sample number dependent on production zones</t>
  </si>
  <si>
    <t>Number of cores based on production zone</t>
  </si>
  <si>
    <t>managing inputs</t>
  </si>
  <si>
    <t>increase use of precision ag</t>
  </si>
  <si>
    <t>Use it in areas of poor peformance</t>
  </si>
  <si>
    <t>Identify reasons for poor performance</t>
  </si>
  <si>
    <t>Not as commonly used among farmers</t>
  </si>
  <si>
    <t>Have access to good information</t>
  </si>
  <si>
    <t>More R and D about fertiliser efficiencies</t>
  </si>
  <si>
    <t>Petersville Ag Bureau</t>
  </si>
  <si>
    <t>Elizabeth</t>
  </si>
  <si>
    <t>0437 704 994</t>
  </si>
  <si>
    <t xml:space="preserve">N, Zinc, Ph, Cu, Manganese </t>
  </si>
  <si>
    <t>Results</t>
  </si>
  <si>
    <t xml:space="preserve">Deep N testing, big advocate. when i deep soil test also test subsoil constraints, pH, etc. to make asssessment high lebvel Nitrogen, certainly in Mallee very variable soils </t>
  </si>
  <si>
    <t xml:space="preserve">0-10cm, 40-50 </t>
  </si>
  <si>
    <t xml:space="preserve">Try and identify what might be low in the system </t>
  </si>
  <si>
    <t xml:space="preserve">Identify opportunity at start of the season </t>
  </si>
  <si>
    <t xml:space="preserve">i think variable rate farming is one of the biggest things farmers need ot get better at in the Mallee. Putting too much fertiliser out in some, and not enough in others. Instead of doing lots of soil testing people are trying to do P replacement in accordance with yields. Need to get better at variable rate. </t>
  </si>
  <si>
    <t xml:space="preserve">I don't know it's been that strongly used in the Mallee because generally opportunities to put out late Nitrrogen are limited. it's more a case of ok, having a wetter season need to put out more Nitrogen. Tissue testing not popular in Mallee, a lot of time consultants eyeball it rather than tissue test. In this dry area, not pushing crops to limit as much as HRZ. People are more happyto work towards what thye beleive they need  </t>
  </si>
  <si>
    <t xml:space="preserve">For me I'd be looknig at doing a soil test to find out what's in the ground, constraints, plant available water and plant available nutrients. Yield potential, Mallee calculator = if I'm worknig towards this, then i should target this yield and therefore need this. Generally post Nitrogen I would be looking at yield potential, soil wetness, rules of thumb, rather than tissue testing. From my point of view, if i thought something inexplicable i would take samples and send to Waite. </t>
  </si>
  <si>
    <t xml:space="preserve">Whether needs to be extra resources into some of the programs that help make decisions. I can see in terms of variable rate farming there's still space to billed in terms of getting to the next levels. Growers need better education about how variable rate farming may benefit them. </t>
  </si>
  <si>
    <t xml:space="preserve">gap in extension - we'll say present at a field day, missing. </t>
  </si>
  <si>
    <t>Make A Wish</t>
  </si>
  <si>
    <t xml:space="preserve">Chris  </t>
  </si>
  <si>
    <t>0408 085 393</t>
  </si>
  <si>
    <t>N, P replacement, magnesium</t>
  </si>
  <si>
    <t>Experience and what we've done with clients before</t>
  </si>
  <si>
    <t>Testing</t>
  </si>
  <si>
    <t>What yields client are after</t>
  </si>
  <si>
    <t>Replacement program, check in on levels each year</t>
  </si>
  <si>
    <t>Occasionally tissue test, included in comprehensive soil testing package we offer</t>
  </si>
  <si>
    <t>Individual paddock every five or so years, but testing done on different production zones each year</t>
  </si>
  <si>
    <t>Can make changes if needed</t>
  </si>
  <si>
    <t>Think we have it covered</t>
  </si>
  <si>
    <t>Only if we notice something unusual</t>
  </si>
  <si>
    <t>Monetary</t>
  </si>
  <si>
    <t>If a problem shows</t>
  </si>
  <si>
    <t>In season applications can be altered</t>
  </si>
  <si>
    <t>Work on results and what decisions can stem from them</t>
  </si>
  <si>
    <t>MND Australia</t>
  </si>
  <si>
    <t>James</t>
  </si>
  <si>
    <t xml:space="preserve">N, P, Sulfur, Potassium, Cu </t>
  </si>
  <si>
    <t>Saving on fertiliser</t>
  </si>
  <si>
    <t xml:space="preserve">Putting optimum fertiliser in </t>
  </si>
  <si>
    <t xml:space="preserve">typically 0-10cm soil test, break up across soil types across paddock, do a bit of phosphorous mapping and PBI mapping </t>
  </si>
  <si>
    <t xml:space="preserve">deep N testing, can go down to 120cm, break up into ferw horizons </t>
  </si>
  <si>
    <t xml:space="preserve">Getting better yields </t>
  </si>
  <si>
    <t xml:space="preserve">reducing costs </t>
  </si>
  <si>
    <t xml:space="preserve">weather </t>
  </si>
  <si>
    <t xml:space="preserve">pretty standard practice now, when we go do 0-10cm test stop 12 times and take cms and then take one 10-20mm sample measure mostly acidity. </t>
  </si>
  <si>
    <t xml:space="preserve">as DGT Phosphorous improves technology do more </t>
  </si>
  <si>
    <t xml:space="preserve">once you've tissue tested a crop in a paddock for one reason or another, tends not to change. ive never been able to improve a N decision testing by tissue testing </t>
  </si>
  <si>
    <t xml:space="preserve">Diagnosing issues </t>
  </si>
  <si>
    <t xml:space="preserve">end up with same numbers year to year </t>
  </si>
  <si>
    <t xml:space="preserve">Still gotta get a bit more data behind; Tony Cox's review BFDC continue to go ahead. a few response curves say for a particular soil test calibrations are a bit weak particularly in high rainfall zones </t>
  </si>
  <si>
    <t xml:space="preserve">On my list at the moment, Fert Care accreditation need to be compulsory, GRDC work with whole private sector ocming up with protocol of what takes to do fertiliser trial, help growers learn and understand how to make a decision on new fertiliser products. companies doing dodgy trials because of self interest. GRDC give piece of paper, this is what a good trial looks like and this is what should look like. </t>
  </si>
  <si>
    <t xml:space="preserve">CFS Naracoorte  </t>
  </si>
  <si>
    <t xml:space="preserve">Adam Hancock </t>
  </si>
  <si>
    <t xml:space="preserve">0427 475 254 </t>
  </si>
  <si>
    <t xml:space="preserve">Calcium, Ph </t>
  </si>
  <si>
    <t xml:space="preserve">season con ditions moiusture in ground </t>
  </si>
  <si>
    <t xml:space="preserve">top soil testing 0-10cm, across paddock on GPS referencing sample paddock </t>
  </si>
  <si>
    <t xml:space="preserve">Deep N testing, 0-670cm, </t>
  </si>
  <si>
    <t xml:space="preserve">on average every 3 years </t>
  </si>
  <si>
    <t xml:space="preserve">typically is adequare in golden valley </t>
  </si>
  <si>
    <t xml:space="preserve">generally tissue test </t>
  </si>
  <si>
    <t xml:space="preserve">determine nutrient </t>
  </si>
  <si>
    <t xml:space="preserve">got to convicne 50 per cent that don't test to test </t>
  </si>
  <si>
    <t xml:space="preserve">More precise what needs to be done with crtop </t>
  </si>
  <si>
    <t xml:space="preserve">Weather forecasting, longterm forecasting, available moisture in soil, crop type, paddock history in general </t>
  </si>
  <si>
    <t xml:space="preserve">experience </t>
  </si>
  <si>
    <t xml:space="preserve">it's all about knowing how much moistures in ground at sowing time, difficult to work out, in terms of what GRDC could do maybe look at some sort of govt funding towards more localised moisture probes in cropping regions </t>
  </si>
  <si>
    <t xml:space="preserve">Moama Echuca Border Raiders Soccer Club </t>
  </si>
  <si>
    <t xml:space="preserve">Luke Nagle </t>
  </si>
  <si>
    <t xml:space="preserve">0419 320 998 </t>
  </si>
  <si>
    <t>110.143.167.149</t>
  </si>
  <si>
    <t>Sampling time</t>
  </si>
  <si>
    <t>Sampling method</t>
  </si>
  <si>
    <t>time poor  &amp;using the test are guides  - knowing the paddock and there history is giving us a good picture</t>
  </si>
  <si>
    <t>nitrogen- better rain forecasts</t>
  </si>
  <si>
    <t>z, p, n</t>
  </si>
  <si>
    <t>Variety being grown</t>
  </si>
  <si>
    <t>shallow 0-10cm tests in summer time</t>
  </si>
  <si>
    <t>Closer to sowing, 0-10cm and 10-60cm</t>
  </si>
  <si>
    <t>Tissue tests</t>
  </si>
  <si>
    <t>varies</t>
  </si>
  <si>
    <t>Mainly monitoring residuals</t>
  </si>
  <si>
    <t>can change recommendations if needed</t>
  </si>
  <si>
    <t>Some farmers don't have faith in process and getting returns</t>
  </si>
  <si>
    <t>Trace elements</t>
  </si>
  <si>
    <t>Increase yields</t>
  </si>
  <si>
    <t>identifying problems</t>
  </si>
  <si>
    <t>No reasons, do enough</t>
  </si>
  <si>
    <t>Have good information currently.</t>
  </si>
  <si>
    <t>Develop more efficient testing procedures</t>
  </si>
  <si>
    <t>Raywood Cricket Club</t>
  </si>
  <si>
    <t>Craig</t>
  </si>
  <si>
    <t>campbell@smsrural.com.au</t>
  </si>
  <si>
    <t>0458 772 525</t>
  </si>
  <si>
    <t xml:space="preserve">Potassium </t>
  </si>
  <si>
    <t xml:space="preserve">basal amounts, peak and flow even around basal amounts </t>
  </si>
  <si>
    <t xml:space="preserve">general analysis </t>
  </si>
  <si>
    <t xml:space="preserve">each paddockl getting done every 5 yewars on rotation </t>
  </si>
  <si>
    <t>K</t>
  </si>
  <si>
    <t xml:space="preserve">P, organic carbon, </t>
  </si>
  <si>
    <t xml:space="preserve">we're tending to find not seeing gross trend differences. showing up about every 4-5 years </t>
  </si>
  <si>
    <t xml:space="preserve">Correct. I'll tissue test if symptomeatic problem. not highly accurate, too affected by enviroment </t>
  </si>
  <si>
    <t xml:space="preserve">handy to have a better correlation between nitrogen results, organic carbon and soil available N. </t>
  </si>
  <si>
    <t xml:space="preserve">better correlatrion between potassium soil testing results and yield </t>
  </si>
  <si>
    <t xml:space="preserve">Canning Vale Cricket Club </t>
  </si>
  <si>
    <t xml:space="preserve">Craig </t>
  </si>
  <si>
    <t>0429 805 238</t>
  </si>
  <si>
    <t>magnesium, n, s</t>
  </si>
  <si>
    <t>Industry experience</t>
  </si>
  <si>
    <t>Is covered because we do comprehensive testing but is not really the area of concern</t>
  </si>
  <si>
    <t>Do testing from 0-10, 10-30, 30-60, 60-90</t>
  </si>
  <si>
    <t>Concentrate on magnesium</t>
  </si>
  <si>
    <t>checking results against applications</t>
  </si>
  <si>
    <t>picking up deficiencies/trends</t>
  </si>
  <si>
    <t>In crop tissue testing in canola and sometimes lucerne. Not in wheat</t>
  </si>
  <si>
    <t>monitoring crop to monitor n budget</t>
  </si>
  <si>
    <t>See if there's potential to increase yield</t>
  </si>
  <si>
    <t xml:space="preserve">Pretty well covered. </t>
  </si>
  <si>
    <t>GRDC research papers</t>
  </si>
  <si>
    <t>Keep up research, local trials, workshops. Include nutrition segments in GRDC Updates</t>
  </si>
  <si>
    <t>Rotary Group Cowra</t>
  </si>
  <si>
    <t xml:space="preserve">Peter </t>
  </si>
  <si>
    <t>pwilson@lachfert.com.au</t>
  </si>
  <si>
    <t>0427 091 474</t>
  </si>
  <si>
    <t>sulfur, nitrogen, trace elements</t>
  </si>
  <si>
    <t>Experience, other advisers</t>
  </si>
  <si>
    <t>Helps guide advice given to farmers about fert application</t>
  </si>
  <si>
    <t>Just started Deep N testing, can help with recommendations made</t>
  </si>
  <si>
    <t>Check soil levels</t>
  </si>
  <si>
    <t>making decisions</t>
  </si>
  <si>
    <t>checking plan</t>
  </si>
  <si>
    <t>Back to place where soil test occurred and back up with tissue test</t>
  </si>
  <si>
    <t>Protect crop</t>
  </si>
  <si>
    <t>checking recommendations made after soil test</t>
  </si>
  <si>
    <t>Always interested in more data, more information, no major holes that I can think of at the moment.</t>
  </si>
  <si>
    <t>Can't think of anything off the top of my head.</t>
  </si>
  <si>
    <t>Would like to see more testing done, but up to farmers</t>
  </si>
  <si>
    <t>Darke Peake Sporting Complex</t>
  </si>
  <si>
    <t>Sarah</t>
  </si>
  <si>
    <t>sarah@cleveruraltraders.com</t>
  </si>
  <si>
    <t>0427 282 622</t>
  </si>
  <si>
    <t>yield targets</t>
  </si>
  <si>
    <t>Try to do testing every year, covering different paddocks and different production zones within paddocks</t>
  </si>
  <si>
    <t>Might check in season if something looks off</t>
  </si>
  <si>
    <t>Deep N testing done in different production zones</t>
  </si>
  <si>
    <t>Every year but move around farm</t>
  </si>
  <si>
    <t>Checking that fert plan is addressing needs of soil</t>
  </si>
  <si>
    <t>Make any adjustments to fert application needed, either for upcoming season or following season</t>
  </si>
  <si>
    <t>Getting best return for dollars</t>
  </si>
  <si>
    <t>Some clients can be conscious of time and cost, but generally do what's required</t>
  </si>
  <si>
    <t>Do tissue test if we see something unusual</t>
  </si>
  <si>
    <t>Address something unusual</t>
  </si>
  <si>
    <t>One example is, can help with in season and future N application</t>
  </si>
  <si>
    <t>Meet targets</t>
  </si>
  <si>
    <t>More not really needed</t>
  </si>
  <si>
    <t>Guides on what different test results can mean. Lots of scenarios but could be helpful</t>
  </si>
  <si>
    <t>Clients yield expectations</t>
  </si>
  <si>
    <t>Soil moisture status</t>
  </si>
  <si>
    <t>Deep N, prior to first applications</t>
  </si>
  <si>
    <t>Do testing every year but different paddocks each year</t>
  </si>
  <si>
    <t>Testing every year, but different paddocks each year</t>
  </si>
  <si>
    <t>Focus is on N</t>
  </si>
  <si>
    <t>Guide N applications</t>
  </si>
  <si>
    <t>more, but needs to properly interpreted and understood.</t>
  </si>
  <si>
    <t>When issue presents, not very often is plant testing needed in our region</t>
  </si>
  <si>
    <t>Increase yield</t>
  </si>
  <si>
    <t>Generally not needed in our region</t>
  </si>
  <si>
    <t>Better interpretation of nitrogen budget in relation to crop yield.</t>
  </si>
  <si>
    <t>GRDC a good conduit between researchers and agronomists</t>
  </si>
  <si>
    <t>Decision support tools aren't very user friendly or paddock specific</t>
  </si>
  <si>
    <t>Mount Wallace CFA</t>
  </si>
  <si>
    <t>David</t>
  </si>
  <si>
    <t>david@agviseservices.com</t>
  </si>
  <si>
    <t>0408 536 196</t>
  </si>
  <si>
    <t>Recommend doing testing on different paddocks every year and cover whole farm in 5 years, but also depends on farmers input</t>
  </si>
  <si>
    <t>Same as P</t>
  </si>
  <si>
    <t>Same as N and P</t>
  </si>
  <si>
    <t>Try to do 20 per cent of the farm every year so the whole farm is covered in 5</t>
  </si>
  <si>
    <t>Same as N</t>
  </si>
  <si>
    <t>Done at same time as N testing</t>
  </si>
  <si>
    <t>Help with fert decisions</t>
  </si>
  <si>
    <t>Profit</t>
  </si>
  <si>
    <t>Some farmers still a bit resistant and not sure of worth</t>
  </si>
  <si>
    <t>Generally if there's a problem or notice colour difference</t>
  </si>
  <si>
    <t>Try fix any crop problems</t>
  </si>
  <si>
    <t>Help if farmer puts on in-season N</t>
  </si>
  <si>
    <t>Getting more farmers to do testing and a gauge on what responses  to fert you can expect could be helpful</t>
  </si>
  <si>
    <t>Tom</t>
  </si>
  <si>
    <t xml:space="preserve">Ph, P, Pot ash </t>
  </si>
  <si>
    <t xml:space="preserve">previous knowledge </t>
  </si>
  <si>
    <t xml:space="preserve">every 2-3 years </t>
  </si>
  <si>
    <t xml:space="preserve">because its so wet down here i throw nitrogen out </t>
  </si>
  <si>
    <t xml:space="preserve">how much fertiliser they can get away with </t>
  </si>
  <si>
    <t xml:space="preserve">reduce costs </t>
  </si>
  <si>
    <t xml:space="preserve">seasonal conditions. more concerned about getting crops out. most guys putting on 300kg now  of ground </t>
  </si>
  <si>
    <t xml:space="preserve">do heaps </t>
  </si>
  <si>
    <t xml:space="preserve">sparingly every now and then </t>
  </si>
  <si>
    <t xml:space="preserve">not much - happy with what ive got  more research trace elements </t>
  </si>
  <si>
    <t xml:space="preserve">bit more research. work out the maximum amount of nitrogen you can apply. Maximum amount of N in high rainfall area without wasting money. </t>
  </si>
  <si>
    <t xml:space="preserve">Benalla Football Club </t>
  </si>
  <si>
    <t>Angus</t>
  </si>
  <si>
    <t>angus.baulch@bigpond.com</t>
  </si>
  <si>
    <t>0409 568 074</t>
  </si>
  <si>
    <t>101.166.168.160</t>
  </si>
  <si>
    <t>N, P</t>
  </si>
  <si>
    <t xml:space="preserve">We use testing for trials </t>
  </si>
  <si>
    <t xml:space="preserve">depends on trial </t>
  </si>
  <si>
    <t xml:space="preserve">test are dependent on trial and landscape </t>
  </si>
  <si>
    <t xml:space="preserve">Nitrogen, sulphur, zinc </t>
  </si>
  <si>
    <t xml:space="preserve">Soil test </t>
  </si>
  <si>
    <t xml:space="preserve">Yield data </t>
  </si>
  <si>
    <t xml:space="preserve">Soil type, low nitrogen and sulphurian rises </t>
  </si>
  <si>
    <t xml:space="preserve">Top 10 cm - both rise and flat different tests </t>
  </si>
  <si>
    <t xml:space="preserve">Deep N on rises - if mineralisation and rotation comes into N requirement </t>
  </si>
  <si>
    <t xml:space="preserve">Don't use that information usually </t>
  </si>
  <si>
    <t xml:space="preserve">Every 5 years but needs to be more </t>
  </si>
  <si>
    <t xml:space="preserve">5 years </t>
  </si>
  <si>
    <t xml:space="preserve">Getting some knowledge of paddock </t>
  </si>
  <si>
    <t xml:space="preserve">Knowing potential yield </t>
  </si>
  <si>
    <t xml:space="preserve">Deficiencies or tie ups </t>
  </si>
  <si>
    <t xml:space="preserve">Nitrogen, phosphorous, copper, manganese </t>
  </si>
  <si>
    <t xml:space="preserve">Yield maps - P </t>
  </si>
  <si>
    <t xml:space="preserve">History paddock - P and N </t>
  </si>
  <si>
    <t xml:space="preserve">Local small plot trials - N </t>
  </si>
  <si>
    <t xml:space="preserve">Highest yielding plus poor yielding where not evident what is the cause </t>
  </si>
  <si>
    <t xml:space="preserve">Haven't been doing much </t>
  </si>
  <si>
    <t xml:space="preserve">- </t>
  </si>
  <si>
    <t xml:space="preserve">haven't been using </t>
  </si>
  <si>
    <t xml:space="preserve">every 10 years at best </t>
  </si>
  <si>
    <t xml:space="preserve">don't use </t>
  </si>
  <si>
    <t xml:space="preserve">For zoned testing it is still difficult to quickly get yield maps in a form that you can walk out to the paddock and soil test </t>
  </si>
  <si>
    <t xml:space="preserve">Earlier access to current research </t>
  </si>
  <si>
    <t xml:space="preserve">N, Zn and Mn, P </t>
  </si>
  <si>
    <t xml:space="preserve">Soil tests </t>
  </si>
  <si>
    <t xml:space="preserve">Tissue tests </t>
  </si>
  <si>
    <t xml:space="preserve">Visual symptoms </t>
  </si>
  <si>
    <t>Removal,  rotations</t>
  </si>
  <si>
    <t>Temoval, rotations</t>
  </si>
  <si>
    <t xml:space="preserve">Soil type and variability </t>
  </si>
  <si>
    <t xml:space="preserve">every 5 years for specific paddocks </t>
  </si>
  <si>
    <t>Effect of removal (mining macros)</t>
  </si>
  <si>
    <t xml:space="preserve">Varying soil types </t>
  </si>
  <si>
    <t xml:space="preserve">Calculate fertiliser input for yield potential </t>
  </si>
  <si>
    <t xml:space="preserve">N/A have only tested one year </t>
  </si>
  <si>
    <t xml:space="preserve">When there are issues, before in crop N and trace applications </t>
  </si>
  <si>
    <t>Diagnose/ confirm visual symptoms</t>
  </si>
  <si>
    <t xml:space="preserve">Justify/ manage fertiliser testing </t>
  </si>
  <si>
    <t>SA - Upper EP (low rainfall)</t>
  </si>
  <si>
    <t>Manganese, copper, sulfur, nitrogen</t>
  </si>
  <si>
    <t>Yield potential</t>
  </si>
  <si>
    <t>Past history</t>
  </si>
  <si>
    <t>Variable</t>
  </si>
  <si>
    <t>In field issues</t>
  </si>
  <si>
    <t>Farmers seeing if what they're doing is working</t>
  </si>
  <si>
    <t>Generating farmer interest</t>
  </si>
  <si>
    <t>Farmer interest</t>
  </si>
  <si>
    <t>In season problems</t>
  </si>
  <si>
    <t>To identify deficiencies or toxicities</t>
  </si>
  <si>
    <t>Little farmer interest</t>
  </si>
  <si>
    <t>Getting farmers to grower days and getting them interested in making money instead of saving money.</t>
  </si>
  <si>
    <t xml:space="preserve">Nitrogen, Potassium, M </t>
  </si>
  <si>
    <t>Forecast rain</t>
  </si>
  <si>
    <t xml:space="preserve">Previous yields </t>
  </si>
  <si>
    <t>GPS plot</t>
  </si>
  <si>
    <t xml:space="preserve">GPS plot, foliar, deep end </t>
  </si>
  <si>
    <t xml:space="preserve">foliar </t>
  </si>
  <si>
    <t xml:space="preserve">Aim every 3 years </t>
  </si>
  <si>
    <t xml:space="preserve">3 years </t>
  </si>
  <si>
    <t xml:space="preserve">Maximise production </t>
  </si>
  <si>
    <t xml:space="preserve">Soil health </t>
  </si>
  <si>
    <t xml:space="preserve">Environmental </t>
  </si>
  <si>
    <t xml:space="preserve">Mainly using for hidden nutrient deficiencies </t>
  </si>
  <si>
    <t xml:space="preserve">Better accuracy on trace elements </t>
  </si>
  <si>
    <t xml:space="preserve">Diagnostics </t>
  </si>
  <si>
    <t xml:space="preserve">Generally make an effort to undertake for results </t>
  </si>
  <si>
    <t>S,K,Zn,Cu,P</t>
  </si>
  <si>
    <t xml:space="preserve">rainfall </t>
  </si>
  <si>
    <t>Yield</t>
  </si>
  <si>
    <t xml:space="preserve">Rainfall/forecast </t>
  </si>
  <si>
    <t xml:space="preserve">Testing </t>
  </si>
  <si>
    <t>0-10</t>
  </si>
  <si>
    <t xml:space="preserve">0+10 </t>
  </si>
  <si>
    <t>leaf</t>
  </si>
  <si>
    <t xml:space="preserve">diagnostic </t>
  </si>
  <si>
    <t>diagnostic</t>
  </si>
  <si>
    <t xml:space="preserve">Diagnostic </t>
  </si>
  <si>
    <t>Confirm history</t>
  </si>
  <si>
    <t>Trying to understand mineralisation</t>
  </si>
  <si>
    <t xml:space="preserve">Removal calculators </t>
  </si>
  <si>
    <t xml:space="preserve">mineralisation </t>
  </si>
  <si>
    <t xml:space="preserve">in season, leaf </t>
  </si>
  <si>
    <t>trace</t>
  </si>
  <si>
    <t xml:space="preserve">nutrition/ rop health </t>
  </si>
  <si>
    <t xml:space="preserve">liquid fertiliser application </t>
  </si>
  <si>
    <t xml:space="preserve">timing getting tests to lab can be an issue and get results back in time to make decisions </t>
  </si>
  <si>
    <t xml:space="preserve">weather forecasting </t>
  </si>
  <si>
    <t xml:space="preserve">help understand fertiliser efficiencies in different soil types </t>
  </si>
  <si>
    <t xml:space="preserve">Dean Newlyn Young Farmers </t>
  </si>
  <si>
    <t>Al</t>
  </si>
  <si>
    <t>alistair.tippett@landmark.com.au</t>
  </si>
  <si>
    <t>0448 382 963</t>
  </si>
  <si>
    <t xml:space="preserve">Nitrogen, followed by a little bit of K and M </t>
  </si>
  <si>
    <t>Lime more than P</t>
  </si>
  <si>
    <t>Experience of previous years' soil tests</t>
  </si>
  <si>
    <t>GRDC Publications, supplier publications, fertiliser industry books</t>
  </si>
  <si>
    <t xml:space="preserve">Matt Nihill, a colleague </t>
  </si>
  <si>
    <t>When due 4-7 years</t>
  </si>
  <si>
    <t xml:space="preserve">when going into canola </t>
  </si>
  <si>
    <t xml:space="preserve">tissue if a problem, look at in soil </t>
  </si>
  <si>
    <t>4-7 years</t>
  </si>
  <si>
    <t>Sulfur (MCP)</t>
  </si>
  <si>
    <t xml:space="preserve">4-7 years </t>
  </si>
  <si>
    <t>Soil ameliorants - lime, gypsum</t>
  </si>
  <si>
    <t xml:space="preserve">Check P level changes over time </t>
  </si>
  <si>
    <t xml:space="preserve">N checking </t>
  </si>
  <si>
    <t xml:space="preserve">lack of influence it has over in crop decisions </t>
  </si>
  <si>
    <t xml:space="preserve">deficiency suspicion </t>
  </si>
  <si>
    <t xml:space="preserve">check for nutrient levels </t>
  </si>
  <si>
    <t>Strongly disagree</t>
  </si>
  <si>
    <t xml:space="preserve">More tissue testing, A better way of doing it </t>
  </si>
  <si>
    <t xml:space="preserve">Develop a better way of tissue testing </t>
  </si>
  <si>
    <t xml:space="preserve">Nitrogen, Zinc </t>
  </si>
  <si>
    <t>soil test</t>
  </si>
  <si>
    <t xml:space="preserve">french and schultz </t>
  </si>
  <si>
    <t xml:space="preserve">Nitrogen rich strips </t>
  </si>
  <si>
    <t xml:space="preserve">soil test, removal </t>
  </si>
  <si>
    <t xml:space="preserve">tissue test, soil test </t>
  </si>
  <si>
    <t>3-5 years</t>
  </si>
  <si>
    <t xml:space="preserve">Lime/ gypsum </t>
  </si>
  <si>
    <t xml:space="preserve">p, k, Zn rates </t>
  </si>
  <si>
    <t xml:space="preserve">diagnose issues </t>
  </si>
  <si>
    <t xml:space="preserve">diagnose zones/ problems </t>
  </si>
  <si>
    <t xml:space="preserve">follow up problems soil test shows </t>
  </si>
  <si>
    <t xml:space="preserve">diagnose deficiency </t>
  </si>
  <si>
    <t>50kg/ha DAP</t>
  </si>
  <si>
    <t>50kg/ha Triple super phosphate</t>
  </si>
  <si>
    <t>Random sampling across paddocks (0-10, 10-30, 30-60, 60-90cm)</t>
  </si>
  <si>
    <t>Cu, Mn, Mg, Fe</t>
  </si>
  <si>
    <t>Every year</t>
  </si>
  <si>
    <t>Develop predicting models for grain yield</t>
  </si>
  <si>
    <t>$15,000 - $17,500</t>
  </si>
  <si>
    <t>Less</t>
  </si>
  <si>
    <t>To determine plant nutrient uptake</t>
  </si>
  <si>
    <t>Nutrient content</t>
  </si>
  <si>
    <t>Determine the efficiency of resource use</t>
  </si>
  <si>
    <t>$17,500 - $20,000</t>
  </si>
  <si>
    <t>Soil moisture and micro-macronutrient content at sowing and GS31</t>
  </si>
  <si>
    <t>Testing fertiliser rates, soil moisture levels, soil type</t>
  </si>
  <si>
    <t>P, Zn, N</t>
  </si>
  <si>
    <t>Soil test</t>
  </si>
  <si>
    <t xml:space="preserve">French and Schultz model </t>
  </si>
  <si>
    <t xml:space="preserve">Other agronomists </t>
  </si>
  <si>
    <t>soil test (removal)</t>
  </si>
  <si>
    <t xml:space="preserve">tissue testing </t>
  </si>
  <si>
    <t>approx 5 years</t>
  </si>
  <si>
    <t>5-10 years</t>
  </si>
  <si>
    <t xml:space="preserve">Know your levels of nutrients to start with </t>
  </si>
  <si>
    <t xml:space="preserve">Gypsum/lime requirements </t>
  </si>
  <si>
    <t xml:space="preserve">Crusting/dispersing issues etc </t>
  </si>
  <si>
    <t xml:space="preserve">Problems with crop - deficiencies   (looks sick) also to see if it needs a 'top up' of something </t>
  </si>
  <si>
    <t xml:space="preserve">Try and resolve any problems with the crop </t>
  </si>
  <si>
    <t xml:space="preserve">Relate them with the soil tests </t>
  </si>
  <si>
    <t xml:space="preserve">Assess what nutrients are needed to help maximise yields </t>
  </si>
  <si>
    <t>some growers are not confident of results (trustworthy)</t>
  </si>
  <si>
    <t xml:space="preserve">tissue testing - more </t>
  </si>
  <si>
    <t xml:space="preserve">more trials/data on soil test/tissue tests and more trials in different rainfall zones </t>
  </si>
  <si>
    <t>101.187.167.146</t>
  </si>
  <si>
    <t>Nitrogen, Sulfur</t>
  </si>
  <si>
    <t>Yield removed</t>
  </si>
  <si>
    <t>Whatever the farmer wants to do</t>
  </si>
  <si>
    <t>1 in 10 years</t>
  </si>
  <si>
    <t>1 in 10 years.</t>
  </si>
  <si>
    <t>Fertiliser management</t>
  </si>
  <si>
    <t>Nitrogen in soil from legumes/pasture</t>
  </si>
  <si>
    <t>In season N</t>
  </si>
  <si>
    <t>In season trace</t>
  </si>
  <si>
    <t>Accurate rainfall predictions</t>
  </si>
  <si>
    <t xml:space="preserve">Nitrogen and pH </t>
  </si>
  <si>
    <t xml:space="preserve">Lime MATE for pH </t>
  </si>
  <si>
    <t>Sodi Calc for gypsum</t>
  </si>
  <si>
    <t xml:space="preserve">Soil test data into spreadsheet </t>
  </si>
  <si>
    <t>benchmark 40 Cowell p</t>
  </si>
  <si>
    <t xml:space="preserve">Look at results but check with tissue test </t>
  </si>
  <si>
    <t xml:space="preserve">Every 5 years usually ahead of planting canola </t>
  </si>
  <si>
    <t>5 years</t>
  </si>
  <si>
    <t>Sodicity</t>
  </si>
  <si>
    <t xml:space="preserve">P level </t>
  </si>
  <si>
    <t xml:space="preserve">didn't do any tissue tests in 2018 </t>
  </si>
  <si>
    <t xml:space="preserve">More soil and plant nutrient training </t>
  </si>
  <si>
    <t xml:space="preserve">This project is a good start </t>
  </si>
  <si>
    <t xml:space="preserve">Phosphorus, Nitrogen, Sulfur, Zinc </t>
  </si>
  <si>
    <t xml:space="preserve">Depends on seasonal outlook any client attitude to expenditure </t>
  </si>
  <si>
    <t xml:space="preserve">0-10cm  shallow </t>
  </si>
  <si>
    <t xml:space="preserve">0-60cm deep </t>
  </si>
  <si>
    <t xml:space="preserve">1 in 5 years for some, others every year </t>
  </si>
  <si>
    <t xml:space="preserve">1 in 5 years for some, every year for others </t>
  </si>
  <si>
    <t>Monitor levels</t>
  </si>
  <si>
    <t>Recommend rates</t>
  </si>
  <si>
    <t xml:space="preserve">Predict yields </t>
  </si>
  <si>
    <t xml:space="preserve">Grower attitudes towards soil tests </t>
  </si>
  <si>
    <t>N/A</t>
  </si>
  <si>
    <t xml:space="preserve">Fix nutrient deficiencies and decrease loss of yield </t>
  </si>
  <si>
    <t xml:space="preserve">Nutrient deficiencies N  and micronutrients </t>
  </si>
  <si>
    <t xml:space="preserve">Diagnose poor performing areas </t>
  </si>
  <si>
    <t xml:space="preserve">Validate fertiliser rates at seeding </t>
  </si>
  <si>
    <t xml:space="preserve">Convincing farmers to participate </t>
  </si>
  <si>
    <t xml:space="preserve">Economic benefits, best way forward </t>
  </si>
  <si>
    <t>Soil Testing</t>
  </si>
  <si>
    <t>Paddock History</t>
  </si>
  <si>
    <t>Fertiliser Choice</t>
  </si>
  <si>
    <t>0-10cm Shallow Tests</t>
  </si>
  <si>
    <t>Deep Testing</t>
  </si>
  <si>
    <t>Tissue Testing</t>
  </si>
  <si>
    <t>Five or more years</t>
  </si>
  <si>
    <t>Starting point for the season</t>
  </si>
  <si>
    <t>Efficiency</t>
  </si>
  <si>
    <t>Problematic areas</t>
  </si>
  <si>
    <t>Compare with fertiliser application</t>
  </si>
  <si>
    <t>Make sure fertiliser plan is adequate.</t>
  </si>
  <si>
    <t>For any hidden hunger.</t>
  </si>
  <si>
    <t>Ensure maximum yield.</t>
  </si>
  <si>
    <t>Yield maps from farmers or yield estimates to compare yield gaps.</t>
  </si>
  <si>
    <t>More on-farm workshops with soil pits.</t>
  </si>
  <si>
    <t>Nitrogen, phosphorus, zinc, sulfur, copper, manganese</t>
  </si>
  <si>
    <t>Industry knowledge</t>
  </si>
  <si>
    <t>Zone testing across paddock</t>
  </si>
  <si>
    <t>Not enough trust in deep nitrate testing, numbers can be erratic at times</t>
  </si>
  <si>
    <t>Deep N (but unreliable), nitrate meters, plant tissue, grain analysis. Shallow testing not effective in our environment.</t>
  </si>
  <si>
    <t>Rarely test for potassium but these are tests we use</t>
  </si>
  <si>
    <t>Justifying fertiliser programs</t>
  </si>
  <si>
    <t>Gauging soil responsiveness to nutrients</t>
  </si>
  <si>
    <t>Finding out whether to apply lime and gypsum, discovering acidity and structural impediments they could improve</t>
  </si>
  <si>
    <t>Time can be an issue for clients</t>
  </si>
  <si>
    <t>Time an issue for clients, not agronomist</t>
  </si>
  <si>
    <t>We use it less than soil testing. Mainly use tissue testing if an issue presents, crops looking unhealthy. More sporadic approach than soil testing.</t>
  </si>
  <si>
    <t>Improve yield</t>
  </si>
  <si>
    <t>Become familiar with land and soil types/variability</t>
  </si>
  <si>
    <t>The information currently available is quite good. Important for new agronomists to attend workshops.</t>
  </si>
  <si>
    <t>Doing a good job at the moment. Would be good to maintain current level of information provided to growers and adviseors.</t>
  </si>
  <si>
    <t>Royal Flying Doctors</t>
  </si>
  <si>
    <t>craig.davis.nominees@outlook.com.au</t>
  </si>
  <si>
    <t>N,P,Zn,Mn,Cu,S</t>
  </si>
  <si>
    <t>Nutrient removal calculators - N &amp; P</t>
  </si>
  <si>
    <t>Physical symptoms in crop-traces N &amp; S</t>
  </si>
  <si>
    <t xml:space="preserve">Soil and tissue tests - all nutrients </t>
  </si>
  <si>
    <t xml:space="preserve">Topsoil test, respresentative soil type in paddock </t>
  </si>
  <si>
    <t xml:space="preserve">Deep soil test, representative soil type in paddock </t>
  </si>
  <si>
    <t xml:space="preserve">Tissue and topsoil test </t>
  </si>
  <si>
    <t xml:space="preserve">Diagnosing an issue </t>
  </si>
  <si>
    <t xml:space="preserve">Setting N budgets </t>
  </si>
  <si>
    <t xml:space="preserve">Growers don't see the need </t>
  </si>
  <si>
    <t xml:space="preserve">Diagnose issues, plan trace element fert application </t>
  </si>
  <si>
    <t xml:space="preserve">Make recommendations for Cu, Zn, Mn foliar application </t>
  </si>
  <si>
    <t xml:space="preserve">Diagnose issues </t>
  </si>
  <si>
    <t xml:space="preserve">more information on trace elements and pulse nutrition </t>
  </si>
  <si>
    <t xml:space="preserve">Research pule nutrition </t>
  </si>
  <si>
    <t>Southern Eagles Football Club</t>
  </si>
  <si>
    <t>Claire</t>
  </si>
  <si>
    <t xml:space="preserve">claire.tucker@landmark.com.au </t>
  </si>
  <si>
    <t xml:space="preserve">Nitrogen </t>
  </si>
  <si>
    <t>Fertiliser research info</t>
  </si>
  <si>
    <t xml:space="preserve">Local trials / yield results </t>
  </si>
  <si>
    <t xml:space="preserve">Soil lab resources </t>
  </si>
  <si>
    <t>0-10cm</t>
  </si>
  <si>
    <t>0-10cm and 0-60cm</t>
  </si>
  <si>
    <t xml:space="preserve">Every 5 years </t>
  </si>
  <si>
    <t>check long term nutrient levels</t>
  </si>
  <si>
    <t xml:space="preserve">fertiliser budgeting </t>
  </si>
  <si>
    <t xml:space="preserve">problem areas / paddocks </t>
  </si>
  <si>
    <t xml:space="preserve">very rarely </t>
  </si>
  <si>
    <t>check trace element levels</t>
  </si>
  <si>
    <t>fertiliser budget for following year</t>
  </si>
  <si>
    <t xml:space="preserve">overall plant health </t>
  </si>
  <si>
    <t xml:space="preserve">Yield response and improvements over long term </t>
  </si>
  <si>
    <t xml:space="preserve">More information/ work on fertiliser budgets relative to whole crop inputs, where is the money best spent </t>
  </si>
  <si>
    <t>Simon Honner</t>
  </si>
  <si>
    <t xml:space="preserve">honneragri@gmail.com </t>
  </si>
  <si>
    <t>N, Zn</t>
  </si>
  <si>
    <t>Soilmate</t>
  </si>
  <si>
    <t xml:space="preserve">Reuter and Robinson </t>
  </si>
  <si>
    <t>INPI</t>
  </si>
  <si>
    <t xml:space="preserve">As required </t>
  </si>
  <si>
    <t>As required</t>
  </si>
  <si>
    <t xml:space="preserve">Check soil structure and health </t>
  </si>
  <si>
    <t xml:space="preserve">Decision is made based on seasonal conditions and finances </t>
  </si>
  <si>
    <t xml:space="preserve">We know what we know </t>
  </si>
  <si>
    <t xml:space="preserve">To diagnose poor plant growth </t>
  </si>
  <si>
    <t>Diagnose reasons for poor crop growth</t>
  </si>
  <si>
    <t xml:space="preserve">Validate suggestions from a soil test </t>
  </si>
  <si>
    <t xml:space="preserve">Jamestown Hospital Ward Renovation Project </t>
  </si>
  <si>
    <t>midnorthhac@hotmail.com</t>
  </si>
  <si>
    <t>N,S,P,Zn</t>
  </si>
  <si>
    <t xml:space="preserve">P - largely done by audit - no responsive soils, responsive soils </t>
  </si>
  <si>
    <t>N - deep N tests, soil, water, rainfall, APSIM</t>
  </si>
  <si>
    <t xml:space="preserve">Canopy development etc </t>
  </si>
  <si>
    <t>Audit with occasional validation. Some zone analysis</t>
  </si>
  <si>
    <t xml:space="preserve">Soil water at seeding, starting deep N, canopy N </t>
  </si>
  <si>
    <t xml:space="preserve">known responsiveness, tissue testing </t>
  </si>
  <si>
    <t xml:space="preserve">As determined by meeting </t>
  </si>
  <si>
    <t xml:space="preserve">To verify audit over many years </t>
  </si>
  <si>
    <t xml:space="preserve">Only do susceptible soil types </t>
  </si>
  <si>
    <t xml:space="preserve">Rotationally </t>
  </si>
  <si>
    <t>To make good recommendations</t>
  </si>
  <si>
    <t xml:space="preserve">Identification and validation </t>
  </si>
  <si>
    <t>ID</t>
  </si>
  <si>
    <t xml:space="preserve">Zone differences </t>
  </si>
  <si>
    <t xml:space="preserve">Not sure </t>
  </si>
  <si>
    <t xml:space="preserve">N, P </t>
  </si>
  <si>
    <t xml:space="preserve">Soil and plant testing data </t>
  </si>
  <si>
    <t xml:space="preserve">Deep soil testing where applicable </t>
  </si>
  <si>
    <t xml:space="preserve">Identify any issue </t>
  </si>
  <si>
    <t xml:space="preserve">Check and ensure nutrient levels are correct </t>
  </si>
  <si>
    <t xml:space="preserve">Inform fertilizer decisions </t>
  </si>
  <si>
    <t xml:space="preserve">Test tissue matter to determine whether response to soil test data has been effective </t>
  </si>
  <si>
    <t xml:space="preserve">Up to date site specific data, seasonal forecasts </t>
  </si>
  <si>
    <t xml:space="preserve">Field trials in specific areas, i.e. many of our clients are in high-rainfall area so I tend to use European trial data, where there is a higher rainfall level,  and adapt it to our conditions. This proves more effective than relying on data specific to drier parts of South Australia </t>
  </si>
  <si>
    <t>n</t>
  </si>
  <si>
    <t>souther nsw</t>
  </si>
  <si>
    <t>Local Farming Groups and Field Days</t>
  </si>
  <si>
    <t>Colwell P test as Phosphorus is main deficiency we encounter, once a year</t>
  </si>
  <si>
    <t>No soil testing for N, application based on budgeting and yield potentials.</t>
  </si>
  <si>
    <t>Test for zinc</t>
  </si>
  <si>
    <t>None. Do plant n testing. budgeting and yield potential are decision makers</t>
  </si>
  <si>
    <t>1 sample every 2 ha block</t>
  </si>
  <si>
    <t>Keep track of paddock health</t>
  </si>
  <si>
    <t>To help with decision making</t>
  </si>
  <si>
    <t>Maintaining soil health</t>
  </si>
  <si>
    <t>To identify poor performing areas and why the are poor.</t>
  </si>
  <si>
    <t>Identify different production zones</t>
  </si>
  <si>
    <t>Find poor performing areas</t>
  </si>
  <si>
    <t>More information about responses to nutrient applications.</t>
  </si>
  <si>
    <t>Need to get more local data, more local farmers used for trials, particularly deep n trials, more regionalised data</t>
  </si>
  <si>
    <t>Anonymous</t>
  </si>
  <si>
    <t>n, p, k, s</t>
  </si>
  <si>
    <t>experience and paddock history</t>
  </si>
  <si>
    <t>local trials, industry trials</t>
  </si>
  <si>
    <t>industry knowledge</t>
  </si>
  <si>
    <t>Once a year for paddock check, can help with nutrition planning and fertiliser program recommendations</t>
  </si>
  <si>
    <t>Do a little deep n testing as well, haven't seen much value in that as yet</t>
  </si>
  <si>
    <t>Checking paddock health</t>
  </si>
  <si>
    <t>Developing nutrition plans</t>
  </si>
  <si>
    <t>Developing fert program, identifying production zones</t>
  </si>
  <si>
    <t xml:space="preserve">Will remain similar but will be more targeted </t>
  </si>
  <si>
    <t>Used to identify good and bad production zones, plus identify and confirm nutrient deficiencies.</t>
  </si>
  <si>
    <t>Production Zones</t>
  </si>
  <si>
    <t>Confirming Deficiencies</t>
  </si>
  <si>
    <t>Nitrogen is the hardest in terms of decision making. Have indicators but yet to find a good way to test. Developing better testing methods for N would be great.</t>
  </si>
  <si>
    <t>More work about N, work on information process to growers and advisers.</t>
  </si>
  <si>
    <t>Lake Bolac School</t>
  </si>
  <si>
    <t>Cam</t>
  </si>
  <si>
    <t>cam@gorstrural.com.au</t>
  </si>
  <si>
    <t>0-5%</t>
  </si>
  <si>
    <t>103.103.105.86</t>
  </si>
  <si>
    <t>N and P</t>
  </si>
  <si>
    <t>Q1: region</t>
  </si>
  <si>
    <t>Q1:Other</t>
  </si>
  <si>
    <t>Q1: In which agro-ecological region do you work / are your clients based?</t>
  </si>
  <si>
    <t>Q2: What is the average total area cropped (hectares) that you have managed for clients over the last 3 seasons?</t>
  </si>
  <si>
    <t>Q2: Cropped Area</t>
  </si>
  <si>
    <t>Response4</t>
  </si>
  <si>
    <t>Response5</t>
  </si>
  <si>
    <t>Response6</t>
  </si>
  <si>
    <t>Response7</t>
  </si>
  <si>
    <t>Other (please specify)8</t>
  </si>
  <si>
    <t>How frequently are your clients paddocks tested i.e. every 3 years, every 5 years ... other?9</t>
  </si>
  <si>
    <t>How frequently are your clients paddocks tested i.e. every 3 years, every 5 years ... other?10</t>
  </si>
  <si>
    <t>1</t>
  </si>
  <si>
    <t>2</t>
  </si>
  <si>
    <t>3</t>
  </si>
  <si>
    <t>Other (please specify)20</t>
  </si>
  <si>
    <t>Other (please specify)22</t>
  </si>
  <si>
    <t>Other (please specify)24</t>
  </si>
  <si>
    <t>Open-Ended Response25</t>
  </si>
  <si>
    <t>126</t>
  </si>
  <si>
    <t>227</t>
  </si>
  <si>
    <t>328</t>
  </si>
  <si>
    <t>General comments:30</t>
  </si>
  <si>
    <t>Feel free to comment on this response31</t>
  </si>
  <si>
    <t>Other (please specify)33</t>
  </si>
  <si>
    <t>General comments:43</t>
  </si>
  <si>
    <t>General comments:51</t>
  </si>
  <si>
    <t>My clients businesses would be more profitable if they did more soil testing than they do now52</t>
  </si>
  <si>
    <t>Uncertainty about how the season will turn out makes it hard to get value from soil testing results53</t>
  </si>
  <si>
    <t>Feel free to comment on this response54</t>
  </si>
  <si>
    <t>The difficulty in being able to represent the variability in a paddock55</t>
  </si>
  <si>
    <t>My clients businesses would be more profitable if they did more plant testing than they do now56</t>
  </si>
  <si>
    <t>Uncertainty about how the season will turn out makes it hard to get value from plant testing results57</t>
  </si>
  <si>
    <t>Feel free to comment on this response58</t>
  </si>
  <si>
    <t>Other (please specify)59</t>
  </si>
  <si>
    <t>Open-Ended Response60</t>
  </si>
  <si>
    <t>Open-Ended Response61</t>
  </si>
  <si>
    <t>Other (please specify)62</t>
  </si>
  <si>
    <t>Open-Ended Response63</t>
  </si>
  <si>
    <t>Open-Ended Response64</t>
  </si>
  <si>
    <t>Open-Ended Response65</t>
  </si>
  <si>
    <t>Open-Ended Response66</t>
  </si>
  <si>
    <t>Open-Ended Response67</t>
  </si>
  <si>
    <t>Open-Ended Response68</t>
  </si>
  <si>
    <t>Region</t>
  </si>
  <si>
    <t>Number</t>
  </si>
  <si>
    <t>%</t>
  </si>
  <si>
    <t>Area_From</t>
  </si>
  <si>
    <t>Area_To</t>
  </si>
  <si>
    <t>Range_Name</t>
  </si>
  <si>
    <t>* You can change the range boundaries in columns F&amp;G and the data</t>
  </si>
  <si>
    <t>will change to suit</t>
  </si>
  <si>
    <t>Q3: Of the land you manage with clients, what percentage would be the following crops, by area? (please enter a whole number without the % sign.  Every row needs a number, so if there is none grown, please enter 0.)</t>
  </si>
  <si>
    <t>Q3: Of the land you manage with clients, what percentage would be the following crops, by area?</t>
  </si>
  <si>
    <t>Cereals</t>
  </si>
  <si>
    <t>Pulses</t>
  </si>
  <si>
    <t>Crop</t>
  </si>
  <si>
    <t>Ave %</t>
  </si>
  <si>
    <t>Weighted Area</t>
  </si>
  <si>
    <t>Weighted %</t>
  </si>
  <si>
    <t>* 'Ave%' is the average of the responses. 'Weighted %' is the percentages</t>
  </si>
  <si>
    <t>of each response weighted against Area from Q2</t>
  </si>
  <si>
    <t>Q4: When thinking about your average client's annual variable costs, what percentage would fertilisers account for?</t>
  </si>
  <si>
    <t>Variable Costs</t>
  </si>
  <si>
    <t>Q5: What are the main nutrient deficiencies your clients encounter?</t>
  </si>
  <si>
    <t>Respondants</t>
  </si>
  <si>
    <t>Ave Ha/agro</t>
  </si>
  <si>
    <t>P N</t>
  </si>
  <si>
    <t>N S P Zn Cu Mn</t>
  </si>
  <si>
    <t xml:space="preserve">P </t>
  </si>
  <si>
    <t>N K B P Fe Mn Zn</t>
  </si>
  <si>
    <t>P N S</t>
  </si>
  <si>
    <t>P N S K</t>
  </si>
  <si>
    <t xml:space="preserve">N S </t>
  </si>
  <si>
    <t>Cu Mn Zn K</t>
  </si>
  <si>
    <t>N Zn Cu S</t>
  </si>
  <si>
    <t xml:space="preserve">N S P Zn </t>
  </si>
  <si>
    <t>N Cu Zn pH</t>
  </si>
  <si>
    <t>N Zn S P</t>
  </si>
  <si>
    <t>N P</t>
  </si>
  <si>
    <t>P Zn N</t>
  </si>
  <si>
    <t>N Zn</t>
  </si>
  <si>
    <t>S</t>
  </si>
  <si>
    <t>pH S Zn Cu N</t>
  </si>
  <si>
    <t>N Zn Mn pH</t>
  </si>
  <si>
    <t>P N pH</t>
  </si>
  <si>
    <t>S Zn Cu N pH</t>
  </si>
  <si>
    <t>Zn S N pH</t>
  </si>
  <si>
    <t>pH N S</t>
  </si>
  <si>
    <t>N P K Zn</t>
  </si>
  <si>
    <t>P Mg</t>
  </si>
  <si>
    <t>Zn Mg</t>
  </si>
  <si>
    <t>N Zn pH Cu Mn</t>
  </si>
  <si>
    <t>N P Mg</t>
  </si>
  <si>
    <t>N P S K Cu</t>
  </si>
  <si>
    <t>Ca pH</t>
  </si>
  <si>
    <t xml:space="preserve">Zn P N </t>
  </si>
  <si>
    <t xml:space="preserve">K </t>
  </si>
  <si>
    <t>Mg N S</t>
  </si>
  <si>
    <t>S N</t>
  </si>
  <si>
    <t xml:space="preserve">N P </t>
  </si>
  <si>
    <t xml:space="preserve">N </t>
  </si>
  <si>
    <t>pH P K</t>
  </si>
  <si>
    <t>N S Zn</t>
  </si>
  <si>
    <t>N P Cu Mn</t>
  </si>
  <si>
    <t xml:space="preserve">N Zn Mn P </t>
  </si>
  <si>
    <t>Mn Cu S N</t>
  </si>
  <si>
    <t>N P Mn</t>
  </si>
  <si>
    <t>S K Zn Cu P</t>
  </si>
  <si>
    <t>N S</t>
  </si>
  <si>
    <t>N pH</t>
  </si>
  <si>
    <t>P N S Zn</t>
  </si>
  <si>
    <t>N P Zn S Cu Mn</t>
  </si>
  <si>
    <t>N P Zn Mn Cu S</t>
  </si>
  <si>
    <t>N S P Zn</t>
  </si>
  <si>
    <t>N P K S</t>
  </si>
  <si>
    <t>Def_Nutrient_ID</t>
  </si>
  <si>
    <t>Zn</t>
  </si>
  <si>
    <t>Mn</t>
  </si>
  <si>
    <t>Mg</t>
  </si>
  <si>
    <t>Cu</t>
  </si>
  <si>
    <t>B</t>
  </si>
  <si>
    <t>Ca</t>
  </si>
  <si>
    <t>% answers with deficiency</t>
  </si>
  <si>
    <t>Total respondants</t>
  </si>
  <si>
    <t>*pH a nutrient???</t>
  </si>
  <si>
    <t>greater than 35%</t>
  </si>
  <si>
    <t>% of respondants</t>
  </si>
  <si>
    <t>In which agro-ecological region do you farm?</t>
  </si>
  <si>
    <t>What is your average total area cropped (hectares, including lease etc) over the last 3 seasons?</t>
  </si>
  <si>
    <t>Which of the following crops do you grow - percentage by area? (please enter a whole number without the % sign.  Every row needs a number, so if there is none grown, please enter 0. The total needs to equal 100.)</t>
  </si>
  <si>
    <t>Of your total annual variable costs, what percentage would fertilisers account for?</t>
  </si>
  <si>
    <t>What are the main nutrient deficiencies on your farm?</t>
  </si>
  <si>
    <t>Do you do soil and/or plant testing on your farm?</t>
  </si>
  <si>
    <t>Who makes the nutrient decisions on your farm?</t>
  </si>
  <si>
    <t>To what extent does your agronomist determine how much testing is done on your farm? (i.e. % of decision made by your agronomist)</t>
  </si>
  <si>
    <t>To what extent does your agronomist make recommendations based on the test results from your farm?</t>
  </si>
  <si>
    <t>What are your 3 main sources of information or advice for what nutrients you apply and at what rate? Indicate if this is different for N, P and other nutrients</t>
  </si>
  <si>
    <t>Explain your approach to soil testing P, N and other micro nutrients ...</t>
  </si>
  <si>
    <t>Which tests do you currently use for your soil N testing?</t>
  </si>
  <si>
    <t>Which tests do you use for your P tests?</t>
  </si>
  <si>
    <t>And, which tests do you use for your micronutrients?</t>
  </si>
  <si>
    <t>What are the top 3 reasons for soil testing on your farm ...</t>
  </si>
  <si>
    <t>On average, how much would you spend each year on soil testing (including sampling)?</t>
  </si>
  <si>
    <t>Compared to five years' ago, has the amount of soil testing you do changed?</t>
  </si>
  <si>
    <t>In five years' time, how much soil sampling do you expect to be doing?</t>
  </si>
  <si>
    <t>On average, how much would you spend per year on plant testing (including sampling)?</t>
  </si>
  <si>
    <t>Compared to five years' ago, has the amount of plant testing you do on your farm changed?</t>
  </si>
  <si>
    <t>In five years' time, how much plant sampling do you expect to be doing?</t>
  </si>
  <si>
    <t>Is the use of soil testing on your farm increasing your profitability?</t>
  </si>
  <si>
    <t>Response</t>
  </si>
  <si>
    <t>Cereals (wheat, barley, oats)</t>
  </si>
  <si>
    <t>What % of  your cropped land was soil tested in 2018?</t>
  </si>
  <si>
    <t>What % of your cropped land was tested for N in 2018?</t>
  </si>
  <si>
    <t>What % of your cropped land was tested for N to at least 60cm in 2018?</t>
  </si>
  <si>
    <t>What % of your cropped land was tested for P in 2018?</t>
  </si>
  <si>
    <t>How frequently are your paddocks test i.e. every 3 years, every 5 years ... other?</t>
  </si>
  <si>
    <t>How frequently are your paddocks test i.e. every 3 years, every 5 years ... other?</t>
  </si>
  <si>
    <t>My farm business would be more profitable if I did more soil testing than I do now</t>
  </si>
  <si>
    <t>I would recommend the use of regular soil testing to other local farmers</t>
  </si>
  <si>
    <t>The use of soil testing on my farm increases my profitability</t>
  </si>
  <si>
    <t>My farm business would be more profitable if I did more plant testing than I do now</t>
  </si>
  <si>
    <t>I would recommend the use of regular plant testing to other local farmers</t>
  </si>
  <si>
    <t>The use of plant testing on my farm increases my profitability</t>
  </si>
  <si>
    <t>Flowerdale</t>
  </si>
  <si>
    <t>Combination of agronomist and self</t>
  </si>
  <si>
    <t>Every five or so years, get a consultant in</t>
  </si>
  <si>
    <t>Visual and as above</t>
  </si>
  <si>
    <t>Every five or so years</t>
  </si>
  <si>
    <t>Improve soil health</t>
  </si>
  <si>
    <t>Help yields</t>
  </si>
  <si>
    <t>Do enough already</t>
  </si>
  <si>
    <t>Mainly when we see something wrong in the crop</t>
  </si>
  <si>
    <t>Fix problems if possible</t>
  </si>
  <si>
    <t>Improve crop health</t>
  </si>
  <si>
    <t>Prevent poor yields</t>
  </si>
  <si>
    <t>Do when needed</t>
  </si>
  <si>
    <t>Think it has because we have identified problems and lack of nutrients and sprayed accordingly</t>
  </si>
  <si>
    <t>Information about DAP, efficiency of use</t>
  </si>
  <si>
    <t>Information on efficiency of fertilisers</t>
  </si>
  <si>
    <t>Greg</t>
  </si>
  <si>
    <t>grmcdonald@internode.on.net</t>
  </si>
  <si>
    <t>Phosphorus, Sulfur, Nitrogen, Trace Elements</t>
  </si>
  <si>
    <t>Analysis time</t>
  </si>
  <si>
    <t>Provide kits as an incentive to do it.</t>
  </si>
  <si>
    <t>Receive good advice already from agronomist.</t>
  </si>
  <si>
    <t>Keep researching. If pushing soil and plant testing, consider sending out kits for a while to help people get underway</t>
  </si>
  <si>
    <t>Pink Lakes Pantry - Underbool</t>
  </si>
  <si>
    <t>Rosemary</t>
  </si>
  <si>
    <t>rtrej@gmail.com</t>
  </si>
  <si>
    <t>144.110.10.104</t>
  </si>
  <si>
    <t>x</t>
  </si>
  <si>
    <t>c</t>
  </si>
  <si>
    <t>Other</t>
  </si>
  <si>
    <t>y</t>
  </si>
  <si>
    <t>z</t>
  </si>
  <si>
    <t>$5,000 - $7,500</t>
  </si>
  <si>
    <t>r</t>
  </si>
  <si>
    <t>m</t>
  </si>
  <si>
    <t>b</t>
  </si>
  <si>
    <t>1200HA</t>
  </si>
  <si>
    <t>N, P, Zn</t>
  </si>
  <si>
    <t>&gt; 35%</t>
  </si>
  <si>
    <t>phosphorus, nitrogen, zinc, sulfur</t>
  </si>
  <si>
    <t>Agronomist</t>
  </si>
  <si>
    <t>Run a maintenance fertiliser program, testing is often random</t>
  </si>
  <si>
    <t>Deep n test on paddocks going into durum and canola</t>
  </si>
  <si>
    <t>Rarely conducted</t>
  </si>
  <si>
    <t>Deep N</t>
  </si>
  <si>
    <t>Very rarely used</t>
  </si>
  <si>
    <t>Soil Nutrition</t>
  </si>
  <si>
    <t>Maximisin production</t>
  </si>
  <si>
    <t>Soil Health</t>
  </si>
  <si>
    <t>Only if something is wrong, rarely used at all</t>
  </si>
  <si>
    <t>More information about timing of n applications and reliability of weather data</t>
  </si>
  <si>
    <t>More research on n and timing of applications versus reliability of rain forecasts</t>
  </si>
  <si>
    <t>Mallala Ag Bureau</t>
  </si>
  <si>
    <t>richkonz@twpo.com.au</t>
  </si>
  <si>
    <t>None</t>
  </si>
  <si>
    <t>We dictate when and where, usually paddocks are done on a 5 year rotation</t>
  </si>
  <si>
    <t xml:space="preserve">Agronomist </t>
  </si>
  <si>
    <t>benchmarking group</t>
  </si>
  <si>
    <t>researcher</t>
  </si>
  <si>
    <t xml:space="preserve">Do in Jan pre seeding </t>
  </si>
  <si>
    <t xml:space="preserve">Not doing deep N any more, do around every five years. Do when we need to see if we are on track or not, </t>
  </si>
  <si>
    <t>Have done in season tissue testing when we are suspicious of things, otherwise out of season in the soil test</t>
  </si>
  <si>
    <t>Only in standard soil tests, we dont do it in tissue tests in the plant. Not sure</t>
  </si>
  <si>
    <t xml:space="preserve">increase profit </t>
  </si>
  <si>
    <t xml:space="preserve">recognise deficiency </t>
  </si>
  <si>
    <t xml:space="preserve">long term tracking of soil health </t>
  </si>
  <si>
    <t>confident we know where we are at</t>
  </si>
  <si>
    <t xml:space="preserve">Only when we suspect a deficiency </t>
  </si>
  <si>
    <t xml:space="preserve">only when we suspect a deficiency </t>
  </si>
  <si>
    <t>Dont need to</t>
  </si>
  <si>
    <t>Very little as we do it so little</t>
  </si>
  <si>
    <t>Sampling cost</t>
  </si>
  <si>
    <t xml:space="preserve">Cost. </t>
  </si>
  <si>
    <t xml:space="preserve">ongoing research eg, for a long time research said we were applying the right amount - then research changed and it was obvious that we didnt have enough. </t>
  </si>
  <si>
    <t xml:space="preserve">fact sheets, worksops and agro </t>
  </si>
  <si>
    <t xml:space="preserve">I have a good gut feel on how my farm is running so havent bothered doing soil testing. I might do deep N testing in a few years. </t>
  </si>
  <si>
    <t>Just dont feel I need to do them.</t>
  </si>
  <si>
    <t xml:space="preserve">Just feel like I know my farm, I did a few af ew years back and it showed we were low so have just been experimenting and upping my inputs and am getting a better result. It's probably about time I did some more. my agronomist will do these and then help make the decisions. I have no idea who he uses. </t>
  </si>
  <si>
    <t xml:space="preserve">Nothing really, we are doing pretty well. </t>
  </si>
  <si>
    <t>no ideas</t>
  </si>
  <si>
    <t>Self</t>
  </si>
  <si>
    <t>yield maps</t>
  </si>
  <si>
    <t>farm history</t>
  </si>
  <si>
    <t>GRDC Updates</t>
  </si>
  <si>
    <t>Variable rate application based on yield maps, no testing as such</t>
  </si>
  <si>
    <t>none</t>
  </si>
  <si>
    <t xml:space="preserve">none </t>
  </si>
  <si>
    <t>Thinking about doing Deep N testing</t>
  </si>
  <si>
    <t xml:space="preserve">We do tissue testing at tillering to see if plants are lacking any micronutrients, </t>
  </si>
  <si>
    <t>Improve plant health</t>
  </si>
  <si>
    <t>More information and data about micronutrients, how much nitrogen can we put on in a dry year and see a response, what trace elements we lack in the district</t>
  </si>
  <si>
    <t>Grdc Updates</t>
  </si>
  <si>
    <t>No major revamp from the current approach is needed, slowly getting there, perhaps more research in low rainfall areas</t>
  </si>
  <si>
    <t>Jamestown/Peterborough Football Club</t>
  </si>
  <si>
    <t>Martin</t>
  </si>
  <si>
    <t>clarkbrosm@bigpond.com</t>
  </si>
  <si>
    <t xml:space="preserve">4,500 acres </t>
  </si>
  <si>
    <t xml:space="preserve">N, P, S, potential potassium </t>
  </si>
  <si>
    <t>Soil tests N.P</t>
  </si>
  <si>
    <t>Crop yield N,P</t>
  </si>
  <si>
    <t xml:space="preserve">Visual  </t>
  </si>
  <si>
    <t xml:space="preserve">every paddock has been tested, go back and retest each year </t>
  </si>
  <si>
    <t xml:space="preserve">For each dollar spent what could your return be, effect of high rainfall </t>
  </si>
  <si>
    <t xml:space="preserve">Repetitive trial work in our location, we remove high yield in high rain cropping zone. I don't think alot of GRDC funding gets spent because we're a small area. mORE EMPHASIS IN OUR EXACT REGION, IN VARIETIES, FERTILSIER USE, SOIL TESTING HELP GROW BETTER CROPS.  Funding spent in our area more concrete data. </t>
  </si>
  <si>
    <t xml:space="preserve">Derrinallum Cricket Club </t>
  </si>
  <si>
    <t>Rachel</t>
  </si>
  <si>
    <t xml:space="preserve">0428 531 729 </t>
  </si>
  <si>
    <t>3000ha</t>
  </si>
  <si>
    <t xml:space="preserve">N, P, Zinc, Manganese </t>
  </si>
  <si>
    <t>Product labels</t>
  </si>
  <si>
    <t>Agron omic advice</t>
  </si>
  <si>
    <t xml:space="preserve">Suppliers' information whether verbal </t>
  </si>
  <si>
    <t xml:space="preserve">Mainly soil testing, nutrient removal from yield maps </t>
  </si>
  <si>
    <t xml:space="preserve">Deep N testing nDVI data, visual assessment </t>
  </si>
  <si>
    <t xml:space="preserve">visual assessment, known paddock histories, tissue testing </t>
  </si>
  <si>
    <t xml:space="preserve">Manage input levels </t>
  </si>
  <si>
    <t>Maximise yield</t>
  </si>
  <si>
    <t xml:space="preserve">Manage input costs </t>
  </si>
  <si>
    <t xml:space="preserve">A little bit </t>
  </si>
  <si>
    <t xml:space="preserve">Trace elements zinc, manganese and copper </t>
  </si>
  <si>
    <t xml:space="preserve">Too slow </t>
  </si>
  <si>
    <t>Analysis cost</t>
  </si>
  <si>
    <t xml:space="preserve">Nitrogen actually having a reliable seasonal outlook, better access to N DVI data. </t>
  </si>
  <si>
    <t xml:space="preserve">Continuing research, giving out info they find </t>
  </si>
  <si>
    <t xml:space="preserve">Ports Football and Netball Club, Eyre Peninsula </t>
  </si>
  <si>
    <t xml:space="preserve">Caleb </t>
  </si>
  <si>
    <t>0407 232 136</t>
  </si>
  <si>
    <t>PH, lime application has helped</t>
  </si>
  <si>
    <t>100%</t>
  </si>
  <si>
    <t>Field Days.</t>
  </si>
  <si>
    <t>Once every two years to keep track.</t>
  </si>
  <si>
    <t>Not sure. Done by agronomist.</t>
  </si>
  <si>
    <t>Soil health.</t>
  </si>
  <si>
    <t>Fertiliser application decision making</t>
  </si>
  <si>
    <t>Whether to do follow up testing.</t>
  </si>
  <si>
    <t>Will probably do more, but depends on what results we get and what soil health is like.</t>
  </si>
  <si>
    <t>Some tissue testing later in season to see whether any extra fertiliser applications are needed.</t>
  </si>
  <si>
    <t>Fertiliser decision making.</t>
  </si>
  <si>
    <t>Save money.</t>
  </si>
  <si>
    <t>Increase yields.</t>
  </si>
  <si>
    <t>More speakers to advise about specific in-paddock scenarios at field days. More people on the ground, out and about.</t>
  </si>
  <si>
    <t>More info provided, more people on the ground.</t>
  </si>
  <si>
    <t>Freeling Ag Bureau</t>
  </si>
  <si>
    <t>Kevin</t>
  </si>
  <si>
    <t>karjschild@gmail.com</t>
  </si>
  <si>
    <t>8525 2299</t>
  </si>
  <si>
    <t xml:space="preserve">N trace elements </t>
  </si>
  <si>
    <t xml:space="preserve">Crtop health </t>
  </si>
  <si>
    <t xml:space="preserve">Historial data </t>
  </si>
  <si>
    <t xml:space="preserve">Historial rates </t>
  </si>
  <si>
    <t xml:space="preserve">Rotation of three years, paddock gets tested, keep a general idea of how everything's progressing, try do some wheat, some barley, some canola </t>
  </si>
  <si>
    <t xml:space="preserve">Educated guess, plant test to get gist whether on right track </t>
  </si>
  <si>
    <t xml:space="preserve">Unknown agronomist organises </t>
  </si>
  <si>
    <t>Other (please specify in the comment box below)</t>
  </si>
  <si>
    <t xml:space="preserve">Agronomist handles </t>
  </si>
  <si>
    <t xml:space="preserve">Ag handles </t>
  </si>
  <si>
    <t xml:space="preserve">ag handles </t>
  </si>
  <si>
    <t>Keep track of soil health</t>
  </si>
  <si>
    <t xml:space="preserve">Nutrient crossmargins </t>
  </si>
  <si>
    <t xml:space="preserve">Cut costs </t>
  </si>
  <si>
    <t xml:space="preserve">more a maintenance thing </t>
  </si>
  <si>
    <t xml:space="preserve">Agronomist handles, </t>
  </si>
  <si>
    <t xml:space="preserve">going down lines of increasing </t>
  </si>
  <si>
    <t xml:space="preserve">To check on right tracvk </t>
  </si>
  <si>
    <t xml:space="preserve">check on right track </t>
  </si>
  <si>
    <t xml:space="preserve">accurate information, i still think there's so many variables   hard to translate into practical decisions </t>
  </si>
  <si>
    <t xml:space="preserve">More data. Updated data </t>
  </si>
  <si>
    <t xml:space="preserve">Wimmera CFA </t>
  </si>
  <si>
    <t>Stew</t>
  </si>
  <si>
    <t xml:space="preserve">stewart.hamilton1@bigpond.com </t>
  </si>
  <si>
    <t>Sulphur, trace elements</t>
  </si>
  <si>
    <t>Depends on area. Different areas with drier conditions might benefit from more information about soils and plant deficiencies. Where we are, we still get decent crops even in tough years.</t>
  </si>
  <si>
    <t>Asking growers about testing and decision-making. Trial and error in the paddock.</t>
  </si>
  <si>
    <t>Upper North Farming Systems</t>
  </si>
  <si>
    <t>Neville</t>
  </si>
  <si>
    <t>nevilleandlibby1@hotmail.com</t>
  </si>
  <si>
    <t>0408 842 657</t>
  </si>
  <si>
    <t>Nitrogen and Sulphur</t>
  </si>
  <si>
    <t>GRDC manuals - greenseeker</t>
  </si>
  <si>
    <t>agronomist</t>
  </si>
  <si>
    <t>Phosphorus at the same time as Deep N testing, once a year, try to cover whole farm in five years</t>
  </si>
  <si>
    <t>Deep N testing, once a year, at same time as Phosphorus testing</t>
  </si>
  <si>
    <t>Very little to none</t>
  </si>
  <si>
    <t>None.</t>
  </si>
  <si>
    <t>Longevity of soil health.</t>
  </si>
  <si>
    <t>Yield improvements.</t>
  </si>
  <si>
    <t>Rotational decisions.</t>
  </si>
  <si>
    <t>Got to know what you're dealing with. Irregularity of seaon</t>
  </si>
  <si>
    <t>We don't.</t>
  </si>
  <si>
    <t>Understanding / interpreting results</t>
  </si>
  <si>
    <t>By the time the testing is done, it's too late to make decisions, particularly in the Mallee where our growing window is quite small and we don't have big, lush canopies.</t>
  </si>
  <si>
    <t>Results from plant testing are often gathered too late for decision making, so that is why we don't use it. Could be beneficial in future if you can use an in-field device and get on-the-spot results.</t>
  </si>
  <si>
    <t>In field-testing methods. Quicker information.</t>
  </si>
  <si>
    <t>Mallee Sustainable Farming</t>
  </si>
  <si>
    <t>By developing in-field testing methods.</t>
  </si>
  <si>
    <t>Diabetes SA</t>
  </si>
  <si>
    <t>andrewbiele@bigpond.com</t>
  </si>
  <si>
    <t>0439 927 782</t>
  </si>
  <si>
    <t>380hectares</t>
  </si>
  <si>
    <t xml:space="preserve">Ph, Cu, Zn, N  </t>
  </si>
  <si>
    <t>Soil testing results</t>
  </si>
  <si>
    <t xml:space="preserve">Past experience </t>
  </si>
  <si>
    <t xml:space="preserve">agronomist </t>
  </si>
  <si>
    <t xml:space="preserve">test every paddock every 3-4 years </t>
  </si>
  <si>
    <t xml:space="preserve">deep n, test every paddock 3-4 years </t>
  </si>
  <si>
    <t xml:space="preserve">deep N soil test, organic carbon, to check mineralisation rate. </t>
  </si>
  <si>
    <t>3-4 years. this year comparing a q</t>
  </si>
  <si>
    <t xml:space="preserve">improve yields </t>
  </si>
  <si>
    <t xml:space="preserve">deep N is only part of the picture, but can use gut feel works out as well. question how accurate the process really is. </t>
  </si>
  <si>
    <t xml:space="preserve">happy with level doing.  </t>
  </si>
  <si>
    <t xml:space="preserve">for a lot of people cost is a real barrier, and especially as intensifying program, when you do detailed soil mapping and grid based </t>
  </si>
  <si>
    <t xml:space="preserve">don't use. haven't done much. one of those things, get into year and don't get around to it. none of our agronomists been massive advocates </t>
  </si>
  <si>
    <t xml:space="preserve">looknig to do more of it </t>
  </si>
  <si>
    <t xml:space="preserve">on our farm dealing with major soil constraints, nutrition has taken a back seat as get basics right. as we tixck those boxes, then ramp up and intensify </t>
  </si>
  <si>
    <t xml:space="preserve">improved forecasts. </t>
  </si>
  <si>
    <t xml:space="preserve">continuing to invest in research for example, we are doing work on farm trying to understand calcium. we should be getting strong response curves to a number of paddock, we're doing trials not seeing responses. some work on response there why cant we access calcium </t>
  </si>
  <si>
    <t xml:space="preserve">Rokewood Football Club </t>
  </si>
  <si>
    <t xml:space="preserve">Andrew </t>
  </si>
  <si>
    <t>0458 312 589</t>
  </si>
  <si>
    <t xml:space="preserve">1500 acres </t>
  </si>
  <si>
    <t xml:space="preserve">N, P, Zn </t>
  </si>
  <si>
    <t xml:space="preserve">haven't had any time lately and things haven't been changing </t>
  </si>
  <si>
    <t xml:space="preserve">Used it once, not effective </t>
  </si>
  <si>
    <t xml:space="preserve">you got to plan that far ahead it isn't effective. </t>
  </si>
  <si>
    <t xml:space="preserve">Better forecasting </t>
  </si>
  <si>
    <t>By doing trialson specific soil issues.</t>
  </si>
  <si>
    <t xml:space="preserve">David </t>
  </si>
  <si>
    <t>0427 859 989</t>
  </si>
  <si>
    <t>How efficient N rates are near us</t>
  </si>
  <si>
    <t>Jamestown-Peterborough Football Club</t>
  </si>
  <si>
    <t>Matt</t>
  </si>
  <si>
    <t>N,</t>
  </si>
  <si>
    <t xml:space="preserve">Deep N testing results </t>
  </si>
  <si>
    <t>0-1O soil tsting results</t>
  </si>
  <si>
    <t xml:space="preserve">agro </t>
  </si>
  <si>
    <t xml:space="preserve">mainly test for N </t>
  </si>
  <si>
    <t xml:space="preserve">test same paddocks each year </t>
  </si>
  <si>
    <t xml:space="preserve">To check out chicken manure output </t>
  </si>
  <si>
    <t xml:space="preserve">long term sustainable ag </t>
  </si>
  <si>
    <t xml:space="preserve">because we put out large amount chicken manure,basically jsut getting a feel </t>
  </si>
  <si>
    <t xml:space="preserve">testing, yield mapping areas, pH </t>
  </si>
  <si>
    <t xml:space="preserve">have done on a need basis isf somethings wrong </t>
  </si>
  <si>
    <t xml:space="preserve">I think its depth of nutrition in the soil profile. layers of nutritionm and where it sits in the profile </t>
  </si>
  <si>
    <t xml:space="preserve">i think they need to be looking at layering of fertiliser. Liming is becoming an issue where that's sitting in our profile. taking that direction </t>
  </si>
  <si>
    <t xml:space="preserve">Hamley Bridge Football Club </t>
  </si>
  <si>
    <t xml:space="preserve">Adrian </t>
  </si>
  <si>
    <t>0427 973 024</t>
  </si>
  <si>
    <t xml:space="preserve">P, N, Zn, S </t>
  </si>
  <si>
    <t xml:space="preserve">Nutrient audit report </t>
  </si>
  <si>
    <t xml:space="preserve">Phosphorous replacement </t>
  </si>
  <si>
    <t xml:space="preserve">Deep N testing particularly when going into durum </t>
  </si>
  <si>
    <t xml:space="preserve">deep N every time there's durum, every 5 years </t>
  </si>
  <si>
    <t xml:space="preserve">every 5 </t>
  </si>
  <si>
    <t xml:space="preserve">Maintain soil fertility </t>
  </si>
  <si>
    <t xml:space="preserve">Profitability </t>
  </si>
  <si>
    <t xml:space="preserve">Don't do it. Competent with soil test. If we see an issue might do a tidssue test </t>
  </si>
  <si>
    <t xml:space="preserve">The best thing enable better nutrient management would be better weather forecast. Got Colwell tests, etc. most nutrients pretty easy but there's been research done on N nutrition for 100yrs or more and growers are still not clear on how much because of changing forecast each year. </t>
  </si>
  <si>
    <t xml:space="preserve">A better in-crop test to accurately test N levels which is easilt calibratable and applicable to diff regions crop types </t>
  </si>
  <si>
    <t xml:space="preserve">Mallalla CFS </t>
  </si>
  <si>
    <t>0417 830 406</t>
  </si>
  <si>
    <t xml:space="preserve">N, Zn </t>
  </si>
  <si>
    <t xml:space="preserve">Soil test results </t>
  </si>
  <si>
    <t xml:space="preserve">Deep N testing program </t>
  </si>
  <si>
    <t>50-100</t>
  </si>
  <si>
    <t>20-50</t>
  </si>
  <si>
    <t xml:space="preserve">TO know what's in the soil, to know what plant nutrition we need </t>
  </si>
  <si>
    <t xml:space="preserve">give a guide how we've improved </t>
  </si>
  <si>
    <t xml:space="preserve">haven't got a great variability in soil type so not sure more testing would help to huge extent </t>
  </si>
  <si>
    <t xml:space="preserve">only do a little bit of plant testing </t>
  </si>
  <si>
    <t xml:space="preserve">Haven't done in recent years </t>
  </si>
  <si>
    <t xml:space="preserve">not sure if effective </t>
  </si>
  <si>
    <t xml:space="preserve">need to see more trial data. What we're getting now, if we do this then there's a financial benefit. more info </t>
  </si>
  <si>
    <t xml:space="preserve">Any different results way of applying nutrients, other side of scale </t>
  </si>
  <si>
    <t>Youanmite CWA Hall</t>
  </si>
  <si>
    <t xml:space="preserve">Wayne </t>
  </si>
  <si>
    <t xml:space="preserve">0409 285 204 </t>
  </si>
  <si>
    <t>600ha</t>
  </si>
  <si>
    <t xml:space="preserve">N, Ph, Zn </t>
  </si>
  <si>
    <t xml:space="preserve">Paddock history </t>
  </si>
  <si>
    <t xml:space="preserve">Previous yield </t>
  </si>
  <si>
    <t xml:space="preserve">Test each three years </t>
  </si>
  <si>
    <t xml:space="preserve">Test each 3 years </t>
  </si>
  <si>
    <t xml:space="preserve">3 years. Unfamiliar with test names </t>
  </si>
  <si>
    <t xml:space="preserve">Know how much fertiliser to apply </t>
  </si>
  <si>
    <t xml:space="preserve">Get an idea of what's going on below ground in paddock </t>
  </si>
  <si>
    <t xml:space="preserve">feel like 3 years if sufficient and have a good understanding of what's going on </t>
  </si>
  <si>
    <t xml:space="preserve">as above w Nitrogen </t>
  </si>
  <si>
    <t>May employ deep N testing as believe this to provide more substantial result just haven't gotten around to it in recent years</t>
  </si>
  <si>
    <t>Don't use plant testing.</t>
  </si>
  <si>
    <t xml:space="preserve">Yes </t>
  </si>
  <si>
    <t xml:space="preserve">An easily understood guide to nutrient management done per region. </t>
  </si>
  <si>
    <t xml:space="preserve">Make A Wish </t>
  </si>
  <si>
    <t xml:space="preserve">Lachie </t>
  </si>
  <si>
    <t xml:space="preserve">N, P, Micronutrients </t>
  </si>
  <si>
    <t xml:space="preserve">Info from local farming group </t>
  </si>
  <si>
    <t xml:space="preserve">every 5 years </t>
  </si>
  <si>
    <t xml:space="preserve">done on rotational basis 20pc per year </t>
  </si>
  <si>
    <t xml:space="preserve">Check in on mineral levels </t>
  </si>
  <si>
    <t xml:space="preserve">Potentially reduce fertiliser expenditure </t>
  </si>
  <si>
    <t xml:space="preserve">doing deep N now as wasn't before </t>
  </si>
  <si>
    <t xml:space="preserve">don't use, don't find results effective and too influenced by external factors </t>
  </si>
  <si>
    <t xml:space="preserve">Nutrient information/ key levels put together simply/succinctly in an easy-to-read brochure </t>
  </si>
  <si>
    <t xml:space="preserve">Beyond Blue </t>
  </si>
  <si>
    <t xml:space="preserve">Justin </t>
  </si>
  <si>
    <t>More information on how to understand results of testing if done</t>
  </si>
  <si>
    <t>Keep doing local trials</t>
  </si>
  <si>
    <t>Lions Melrose</t>
  </si>
  <si>
    <t xml:space="preserve">trace elements Zn </t>
  </si>
  <si>
    <t>Research papers</t>
  </si>
  <si>
    <t xml:space="preserve">Local cropping group </t>
  </si>
  <si>
    <t>Local agronomist</t>
  </si>
  <si>
    <t xml:space="preserve">Deep N testing </t>
  </si>
  <si>
    <t xml:space="preserve">to work out what nutrients we have </t>
  </si>
  <si>
    <t xml:space="preserve">we do enough testing </t>
  </si>
  <si>
    <t xml:space="preserve">doing enough </t>
  </si>
  <si>
    <t xml:space="preserve">just a matter of what we're deficient in, whether we need to top up bit of boron etc </t>
  </si>
  <si>
    <t xml:space="preserve">checking on nutrient </t>
  </si>
  <si>
    <t xml:space="preserve">its just a clear indication if we do say N testing, what's available, what's available to that plant at any given time, we've incorporated pulses, understanding how much comes from, how much N carried over generated from previous years, not wasting money </t>
  </si>
  <si>
    <t xml:space="preserve">just make sure they've done research in high rainfall zone. typically our cereals go to domestic feed markets so reluctance to test there. be really nice to see some info come out for us down here, south east, adelaide. don't know where to pay levy to or how to pay it. nice to get info educating how to pay. </t>
  </si>
  <si>
    <t xml:space="preserve">Mackillop Farm Management Group </t>
  </si>
  <si>
    <t>0438 667 060</t>
  </si>
  <si>
    <t xml:space="preserve">P, N, Sulfur </t>
  </si>
  <si>
    <t xml:space="preserve">Soil rtests </t>
  </si>
  <si>
    <t xml:space="preserve">don't worry </t>
  </si>
  <si>
    <t xml:space="preserve">find out we're not overfeeding with nutrients </t>
  </si>
  <si>
    <t xml:space="preserve">identifying any bad pH </t>
  </si>
  <si>
    <t xml:space="preserve">doing right amount now once every three years 33 per cent fam </t>
  </si>
  <si>
    <t xml:space="preserve">more testying but more pH testing </t>
  </si>
  <si>
    <t xml:space="preserve">No tissue testing </t>
  </si>
  <si>
    <t xml:space="preserve">It'd be good with different crops to have a set of ideal nutrient requirements and you could check out latest btest see how it compares. info to help with analysis. people with high yielding crops, benchmark self </t>
  </si>
  <si>
    <t xml:space="preserve">a farmer can read in a pamphlet this particular thing works but until they do it. got on pH testing with a small trial.  amount of info is massive, translated to dashboard </t>
  </si>
  <si>
    <t xml:space="preserve">Freeling Agricultural Multi Purpose Centre </t>
  </si>
  <si>
    <t xml:space="preserve">Corbin </t>
  </si>
  <si>
    <t>0429 939 582</t>
  </si>
  <si>
    <t>Not really required</t>
  </si>
  <si>
    <t>Not really required, have used before in past for management and to keep an eye on things</t>
  </si>
  <si>
    <t>Keep myself and consultants informed on new information</t>
  </si>
  <si>
    <t>Alister</t>
  </si>
  <si>
    <t>0421 159 672</t>
  </si>
  <si>
    <t xml:space="preserve">200ha </t>
  </si>
  <si>
    <t xml:space="preserve">have cut back on testing as always coming back with same thing.  </t>
  </si>
  <si>
    <t xml:space="preserve">with my small farm cost is it </t>
  </si>
  <si>
    <t xml:space="preserve">think my agronomist would've made me aware. </t>
  </si>
  <si>
    <t xml:space="preserve">paper better than </t>
  </si>
  <si>
    <t xml:space="preserve">what they do gives me more confidence to spend money, dont think its going to change end thatm uch </t>
  </si>
  <si>
    <t xml:space="preserve">Lismore CFA </t>
  </si>
  <si>
    <t>0409 945 452</t>
  </si>
  <si>
    <t xml:space="preserve">1400ha </t>
  </si>
  <si>
    <t>N, pH</t>
  </si>
  <si>
    <t xml:space="preserve">Did years ago in response to something going wrong. Don't feel need to </t>
  </si>
  <si>
    <t xml:space="preserve">Ph,. N </t>
  </si>
  <si>
    <t xml:space="preserve">GRDC, nutrient removal guide </t>
  </si>
  <si>
    <t xml:space="preserve">usually test 2-3 paddocks </t>
  </si>
  <si>
    <t xml:space="preserve">deep N testing. At le4ast one paddock out of rotation, 3-4 a year coming off each crop type </t>
  </si>
  <si>
    <t xml:space="preserve">this year test on intensive scale 2ha grid, variable rate </t>
  </si>
  <si>
    <t xml:space="preserve">to make sure we're still on track </t>
  </si>
  <si>
    <t xml:space="preserve">hard to know where to draw the line. relatively uniform </t>
  </si>
  <si>
    <t xml:space="preserve">with deep N </t>
  </si>
  <si>
    <t xml:space="preserve">tissue = some </t>
  </si>
  <si>
    <t>seems to have problems zinc deficient, once we've covered with fertiliser dont seem to be running into problems but if i see signs we do</t>
  </si>
  <si>
    <t xml:space="preserve">N/A </t>
  </si>
  <si>
    <t xml:space="preserve">Woleseley Community and Recreation Club </t>
  </si>
  <si>
    <t xml:space="preserve">Simon </t>
  </si>
  <si>
    <t>0427 819 379</t>
  </si>
  <si>
    <t xml:space="preserve">i believe it could be more profitable but often by time results are back is too late to act </t>
  </si>
  <si>
    <t>feel I have a good understanding of my paddock history and nutrient levels, crops, through visual analysis</t>
  </si>
  <si>
    <t xml:space="preserve">how much nitrogen is too much </t>
  </si>
  <si>
    <t xml:space="preserve">trials. workshops to connect with other farmers. </t>
  </si>
  <si>
    <t xml:space="preserve">N, Lime </t>
  </si>
  <si>
    <t>gut field</t>
  </si>
  <si>
    <t>test result</t>
  </si>
  <si>
    <t xml:space="preserve">Deep N testing legume passocks every year durum bean stubbles, </t>
  </si>
  <si>
    <t xml:space="preserve">prepare soil for durum </t>
  </si>
  <si>
    <t xml:space="preserve">hopes to be retired </t>
  </si>
  <si>
    <t xml:space="preserve">only when ive been involved with group trials   i got lazy. if we dont have rain then dont bother </t>
  </si>
  <si>
    <t xml:space="preserve">tecchnology for durum specific other than wheat crop bareley. putting on too much urea. </t>
  </si>
  <si>
    <t xml:space="preserve">with modern farming and high use synthetic fertilsiers, we're dropping our pH in soil and soil turning from neutral to acidic. We're own worst enemies with our modern farming systems, huge issues. I think there needs ot be research done lime how much you put it, quality of lime, how many years before it starts to take effect, extremely expensive and wreck our soils, making mess of paddock. the health of our soils in a rainfall environment, is biggest issue for australian farmers </t>
  </si>
  <si>
    <t xml:space="preserve">Tarlee Tennis Club </t>
  </si>
  <si>
    <t xml:space="preserve">Mark </t>
  </si>
  <si>
    <t>0418 843 136</t>
  </si>
  <si>
    <t xml:space="preserve">N, acidic soil </t>
  </si>
  <si>
    <t xml:space="preserve">Past history </t>
  </si>
  <si>
    <t xml:space="preserve">test yearly </t>
  </si>
  <si>
    <t xml:space="preserve">no deep testing </t>
  </si>
  <si>
    <t xml:space="preserve">Check on acidity levels </t>
  </si>
  <si>
    <t xml:space="preserve">check on phorsphorous levels </t>
  </si>
  <si>
    <t xml:space="preserve">no any deficiencies </t>
  </si>
  <si>
    <t xml:space="preserve">always needs as much as can put on </t>
  </si>
  <si>
    <t xml:space="preserve">Sulfur </t>
  </si>
  <si>
    <t xml:space="preserve">think im where im at in terms to testing amount. </t>
  </si>
  <si>
    <t xml:space="preserve">not five years but def if go back 20 years! </t>
  </si>
  <si>
    <t xml:space="preserve">haven't got aorudn to testing or had advice from agro </t>
  </si>
  <si>
    <t>i think we have to attend field days, and seek advice from people who know who are specialists in areas soil agronomy</t>
  </si>
  <si>
    <t xml:space="preserve">i think what they're donig through saying what they're about and having field days or discussion days are essential. for them to keep in touch with grassroots </t>
  </si>
  <si>
    <t xml:space="preserve">Australian Cancer Research Foundation  </t>
  </si>
  <si>
    <t xml:space="preserve">Keith </t>
  </si>
  <si>
    <t>0407 365 727</t>
  </si>
  <si>
    <t>Paddock history</t>
  </si>
  <si>
    <t xml:space="preserve">deep soil testing, </t>
  </si>
  <si>
    <t xml:space="preserve">test every second year </t>
  </si>
  <si>
    <t xml:space="preserve">knowing exactly what we're up against what we have and dont have </t>
  </si>
  <si>
    <t xml:space="preserve">found we had plenty sulfur </t>
  </si>
  <si>
    <t xml:space="preserve">Corey </t>
  </si>
  <si>
    <t>0427 793 643</t>
  </si>
  <si>
    <t>514ha</t>
  </si>
  <si>
    <t xml:space="preserve">qwe got a pretty good handle </t>
  </si>
  <si>
    <t xml:space="preserve">need to know whats in their, historial knowledge, support from agronomist, paddock history </t>
  </si>
  <si>
    <t xml:space="preserve">e news </t>
  </si>
  <si>
    <t xml:space="preserve">enabling people to get their soil tests done under the levy arrangements.  a ROI by allowing providing samples for testing, to help generate data to determine to determine </t>
  </si>
  <si>
    <t>Farrel Flat Management Committee</t>
  </si>
  <si>
    <t xml:space="preserve">Deb </t>
  </si>
  <si>
    <t>0481 322 821</t>
  </si>
  <si>
    <t xml:space="preserve">600ha </t>
  </si>
  <si>
    <t xml:space="preserve">N, P, some trace element Zn </t>
  </si>
  <si>
    <t xml:space="preserve">Optimum levels of mineral input </t>
  </si>
  <si>
    <t xml:space="preserve">too hard to know which information is independent now </t>
  </si>
  <si>
    <t xml:space="preserve">Invest in tech that makes sampling easier and less time consuming. </t>
  </si>
  <si>
    <t>Nitrogen, P</t>
  </si>
  <si>
    <t>Work showing that testing can lead directly to better yields and yields that make up for cost of doing it</t>
  </si>
  <si>
    <t>Trials and field days</t>
  </si>
  <si>
    <t>Black Dog Institute</t>
  </si>
  <si>
    <t>400ha</t>
  </si>
  <si>
    <t>N, Ph, trace elements,</t>
  </si>
  <si>
    <t xml:space="preserve">i know what base level are </t>
  </si>
  <si>
    <t xml:space="preserve">in a drought financially anything left off gets left off. past history. </t>
  </si>
  <si>
    <t xml:space="preserve">Minnipa ag centre, machinery investment by GRDC. Continue to work on this. </t>
  </si>
  <si>
    <t xml:space="preserve">Arno Bay Sporting Complex </t>
  </si>
  <si>
    <t xml:space="preserve">Kevin </t>
  </si>
  <si>
    <t>0427 280119</t>
  </si>
  <si>
    <t xml:space="preserve">always say the same thing </t>
  </si>
  <si>
    <t xml:space="preserve">prob save money on nutrients if we did but go on historical data. every time you grow a crop can identify definiciencies through that . observation, and occasion runnign into definciencies. </t>
  </si>
  <si>
    <t xml:space="preserve">observation. </t>
  </si>
  <si>
    <t xml:space="preserve">cropping group </t>
  </si>
  <si>
    <t xml:space="preserve">the interpretation of soil test; a lot of time relying on someone who wants to sell you something with their interpretation. </t>
  </si>
  <si>
    <t xml:space="preserve">Irrigator Cropping Council </t>
  </si>
  <si>
    <t>0427 288 211</t>
  </si>
  <si>
    <t xml:space="preserve">550 hectares </t>
  </si>
  <si>
    <t xml:space="preserve">N, Ph </t>
  </si>
  <si>
    <t xml:space="preserve">supplier </t>
  </si>
  <si>
    <t xml:space="preserve">deep N testing </t>
  </si>
  <si>
    <t xml:space="preserve">dont know </t>
  </si>
  <si>
    <t xml:space="preserve">know what we have got and what we havent </t>
  </si>
  <si>
    <t xml:space="preserve">no reasom </t>
  </si>
  <si>
    <t xml:space="preserve">dont use </t>
  </si>
  <si>
    <t xml:space="preserve">what's in the soil adn what we're taking out </t>
  </si>
  <si>
    <t xml:space="preserve">different in fact we use chicken manure, urea as main fertiliser </t>
  </si>
  <si>
    <t xml:space="preserve">Kapunda Football Club </t>
  </si>
  <si>
    <t>0418 899 395</t>
  </si>
  <si>
    <t>3000 acres</t>
  </si>
  <si>
    <t xml:space="preserve">N, Ph, trace </t>
  </si>
  <si>
    <t xml:space="preserve">hard to get value anyway unless it rains </t>
  </si>
  <si>
    <t xml:space="preserve">just don't get around it. take a average of soil test from few years back </t>
  </si>
  <si>
    <t xml:space="preserve">guided by your agronomist, soil test tissue test tell you where going. </t>
  </si>
  <si>
    <t xml:space="preserve">the GRDC could cater better for the Mallee. donig a bit more research into north-west mallee soils. localised research and let people know </t>
  </si>
  <si>
    <t xml:space="preserve">Murrayville Early Learning Centre </t>
  </si>
  <si>
    <t xml:space="preserve">Ron </t>
  </si>
  <si>
    <t>0427 952 243</t>
  </si>
  <si>
    <t xml:space="preserve">N, Ph, Zn, Boron </t>
  </si>
  <si>
    <t>Past data</t>
  </si>
  <si>
    <t xml:space="preserve">aGRONOMIST </t>
  </si>
  <si>
    <t>KEEP UP MINERAL LEVELS</t>
  </si>
  <si>
    <t xml:space="preserve">inform fertiliser decision </t>
  </si>
  <si>
    <t xml:space="preserve">Phosphorous up optimum yields </t>
  </si>
  <si>
    <t xml:space="preserve">don't use it dont find beneficial </t>
  </si>
  <si>
    <t xml:space="preserve">time taken too much </t>
  </si>
  <si>
    <t xml:space="preserve">trying to improve soil and organic matter, rest of farming, continuously cropped so in a dsifferent direction to most agronomists. mining their soils, organic matter. </t>
  </si>
  <si>
    <t xml:space="preserve">IGNORE IT TOO HARD TO CHANGE TACT FROM CONVENTIONAL SYSTEMS TO ONE WHERE MICROBIOLOGY IS FOCUS. putting more money into subsoiling yet bugs will do that for them. </t>
  </si>
  <si>
    <t xml:space="preserve">micronutrients </t>
  </si>
  <si>
    <t xml:space="preserve">Lismore Derrinallum Football Netball Club </t>
  </si>
  <si>
    <t xml:space="preserve">Brian </t>
  </si>
  <si>
    <t>0428 858 717</t>
  </si>
  <si>
    <t xml:space="preserve">For us, we havent done it because we havent got the time to fix the problem or the cash flow </t>
  </si>
  <si>
    <t>chemical resistance would be bett3er</t>
  </si>
  <si>
    <t xml:space="preserve">soil testing, i think we've got info avaialble now its jsut a matter of acting on what we've got. we rely very heavily on our agronomist, as long as he's up to speed </t>
  </si>
  <si>
    <t xml:space="preserve">rising salinity problem. </t>
  </si>
  <si>
    <t xml:space="preserve">Mallalla Ag Bureau </t>
  </si>
  <si>
    <t xml:space="preserve">Locky Simpson </t>
  </si>
  <si>
    <t>0429 818 060</t>
  </si>
  <si>
    <t>5000ha</t>
  </si>
  <si>
    <t>soil test results</t>
  </si>
  <si>
    <t xml:space="preserve">historic data </t>
  </si>
  <si>
    <t xml:space="preserve">pre season test </t>
  </si>
  <si>
    <t xml:space="preserve">do not do deep N these days </t>
  </si>
  <si>
    <t>check nutrient levels</t>
  </si>
  <si>
    <t xml:space="preserve">should do deep N testing next year onwards </t>
  </si>
  <si>
    <t xml:space="preserve">Currently don't do it due to time restraints </t>
  </si>
  <si>
    <t xml:space="preserve">more direction for soil sampling and analysis </t>
  </si>
  <si>
    <t>Barry</t>
  </si>
  <si>
    <t>900ha</t>
  </si>
  <si>
    <t>localised research outcomes</t>
  </si>
  <si>
    <t xml:space="preserve">localised research </t>
  </si>
  <si>
    <t xml:space="preserve">Ben </t>
  </si>
  <si>
    <t xml:space="preserve">1500ha </t>
  </si>
  <si>
    <t>Data</t>
  </si>
  <si>
    <t>Research</t>
  </si>
  <si>
    <t xml:space="preserve">Reduce fertiliser amounts used </t>
  </si>
  <si>
    <t xml:space="preserve">Make better decisions </t>
  </si>
  <si>
    <t xml:space="preserve">Not using </t>
  </si>
  <si>
    <t xml:space="preserve">Optimal rates for fertiliser </t>
  </si>
  <si>
    <t>N, Zinc</t>
  </si>
  <si>
    <t>Data showing efficiency of nutrients like Nitrogen up to certain levels</t>
  </si>
  <si>
    <t>Regional information, keep doing trials</t>
  </si>
  <si>
    <t>Rural Aid</t>
  </si>
  <si>
    <t>John</t>
  </si>
  <si>
    <t xml:space="preserve">1200ha </t>
  </si>
  <si>
    <t xml:space="preserve">More understanding of nutrient management in high rainfall areas </t>
  </si>
  <si>
    <t xml:space="preserve">determining nutrient levels accurately </t>
  </si>
  <si>
    <t xml:space="preserve">seasonal forecasts </t>
  </si>
  <si>
    <t xml:space="preserve">1700ha </t>
  </si>
  <si>
    <t xml:space="preserve">we are slack. think things are fine when they're not </t>
  </si>
  <si>
    <t xml:space="preserve">we don'ty vary too much in soil type, stuck in same habits </t>
  </si>
  <si>
    <t xml:space="preserve">Yield benefit </t>
  </si>
  <si>
    <t xml:space="preserve">timing of application information, to detemine if wasting   </t>
  </si>
  <si>
    <t xml:space="preserve">The Freeling Recreation Park </t>
  </si>
  <si>
    <t xml:space="preserve">Sam Carmichael </t>
  </si>
  <si>
    <t>ctcarmi@nuskope.com.au</t>
  </si>
  <si>
    <t xml:space="preserve">0429 825 901 </t>
  </si>
  <si>
    <t>Phosphorus, Copper, Manganese</t>
  </si>
  <si>
    <t>Past applications</t>
  </si>
  <si>
    <t>Observations</t>
  </si>
  <si>
    <t>Often have deficiency, get testing done every few years to keep eye on levels</t>
  </si>
  <si>
    <t>Done at same time as P</t>
  </si>
  <si>
    <t>Same time as P and N</t>
  </si>
  <si>
    <t>Every few years</t>
  </si>
  <si>
    <t>Not sure if done at same time as P and N</t>
  </si>
  <si>
    <t>Check on soils</t>
  </si>
  <si>
    <t>Get better yields and performance</t>
  </si>
  <si>
    <t>See difference between paddocks</t>
  </si>
  <si>
    <t>Don't</t>
  </si>
  <si>
    <t>Get a fair amount already through field days and GRDC.</t>
  </si>
  <si>
    <t>Keep doing research</t>
  </si>
  <si>
    <t>RFDS - suggested</t>
  </si>
  <si>
    <t>Nitrogen, Zinc</t>
  </si>
  <si>
    <t>Rotations</t>
  </si>
  <si>
    <t>Do it at the same time as N testing</t>
  </si>
  <si>
    <t>Once a year, including Deep N testing</t>
  </si>
  <si>
    <t>Look at Zinc, also get other nutrients tested that comes with N testing</t>
  </si>
  <si>
    <t>Once a year</t>
  </si>
  <si>
    <t>Thinks it's Colwell P</t>
  </si>
  <si>
    <t>Increase yields ultimately</t>
  </si>
  <si>
    <t>Help make fert decisions</t>
  </si>
  <si>
    <t>Check on soil health</t>
  </si>
  <si>
    <t>Do enough as it is</t>
  </si>
  <si>
    <t>Don't unless something obviously wrong</t>
  </si>
  <si>
    <t>Trials around the local area. Soils can vary a lot. Guides on how cost effective N application is and to what point</t>
  </si>
  <si>
    <t>More local trials as above</t>
  </si>
  <si>
    <t>Birchip Cropping Group</t>
  </si>
  <si>
    <t xml:space="preserve">500 ha </t>
  </si>
  <si>
    <t xml:space="preserve">information on how to use test results to make decisions </t>
  </si>
  <si>
    <t xml:space="preserve">Continue with trials and new research that applies to our area </t>
  </si>
  <si>
    <t xml:space="preserve">1250 ha </t>
  </si>
  <si>
    <t xml:space="preserve">History </t>
  </si>
  <si>
    <t xml:space="preserve">Fertiliser company info </t>
  </si>
  <si>
    <t xml:space="preserve">test to check levels </t>
  </si>
  <si>
    <t xml:space="preserve">combination N and deep N testing </t>
  </si>
  <si>
    <t xml:space="preserve">Don't test </t>
  </si>
  <si>
    <t>5 years or when a problem arises</t>
  </si>
  <si>
    <t xml:space="preserve">5 years or when problem arises </t>
  </si>
  <si>
    <t xml:space="preserve">Make sure I'm putting correct nutrients on </t>
  </si>
  <si>
    <t xml:space="preserve">Help inform on-farm decisions </t>
  </si>
  <si>
    <t xml:space="preserve">don't currently use plant testing, but in the past to diagnose problem, confirm whether our actions have been beneficial </t>
  </si>
  <si>
    <t xml:space="preserve">more localised trials in areas with different rainfall levels </t>
  </si>
  <si>
    <t>7700ha</t>
  </si>
  <si>
    <t xml:space="preserve">Nitrogen, PH </t>
  </si>
  <si>
    <t xml:space="preserve">Agronomist input </t>
  </si>
  <si>
    <t>Soil test to see what P levels are like, aim for 40 Colwell</t>
  </si>
  <si>
    <t xml:space="preserve">0-10cm only guide - should Deep N </t>
  </si>
  <si>
    <t xml:space="preserve">Guide only - confirm with tissue test </t>
  </si>
  <si>
    <t xml:space="preserve">Every 5 years when going into canola or vetch </t>
  </si>
  <si>
    <t xml:space="preserve">Checking PH and AL for liming </t>
  </si>
  <si>
    <t xml:space="preserve">Checking sodium percentage for gypsum </t>
  </si>
  <si>
    <t xml:space="preserve">Checking soil P levels </t>
  </si>
  <si>
    <t xml:space="preserve">Tend to match match applied N to predicted crop yield, assuming not too much coming from soil. </t>
  </si>
  <si>
    <t xml:space="preserve">Haven't tested for 3 or so years </t>
  </si>
  <si>
    <t xml:space="preserve">Easy to understand soil tests </t>
  </si>
  <si>
    <t xml:space="preserve">More local trials on nutrition </t>
  </si>
  <si>
    <t xml:space="preserve">Runnymede Junior Football Club </t>
  </si>
  <si>
    <t xml:space="preserve">Clint </t>
  </si>
  <si>
    <t xml:space="preserve">barry@jenharuill.com.au </t>
  </si>
  <si>
    <t xml:space="preserve">0428 506 026 </t>
  </si>
  <si>
    <t xml:space="preserve">1800 ha </t>
  </si>
  <si>
    <t xml:space="preserve">N,P, S </t>
  </si>
  <si>
    <t xml:space="preserve">Written publications </t>
  </si>
  <si>
    <t xml:space="preserve">Online advice </t>
  </si>
  <si>
    <t xml:space="preserve">Agronomist  </t>
  </si>
  <si>
    <t xml:space="preserve">I probably dont do enough 10-12 paddocks every year </t>
  </si>
  <si>
    <t xml:space="preserve">Keep track of Ph </t>
  </si>
  <si>
    <t xml:space="preserve">a bit more info abnout cost savings or increasing of putting on. ths year being a case in point, some repaired a lot and some not much. pH mapping in paddocks.  </t>
  </si>
  <si>
    <t xml:space="preserve">1100 ha </t>
  </si>
  <si>
    <t xml:space="preserve">N, K, </t>
  </si>
  <si>
    <t xml:space="preserve">gut feel </t>
  </si>
  <si>
    <t xml:space="preserve">agronomist recommendation </t>
  </si>
  <si>
    <t xml:space="preserve">Annual soil test </t>
  </si>
  <si>
    <t xml:space="preserve">handful of paddocks each year </t>
  </si>
  <si>
    <t>Nutrient budgeting</t>
  </si>
  <si>
    <t xml:space="preserve">Economic budgeting </t>
  </si>
  <si>
    <t xml:space="preserve">Maximising yield </t>
  </si>
  <si>
    <t xml:space="preserve">we test paddocks going to canola nearly every 3 years </t>
  </si>
  <si>
    <t xml:space="preserve">weve got a handle on the trend </t>
  </si>
  <si>
    <t xml:space="preserve">dont do alot </t>
  </si>
  <si>
    <t xml:space="preserve">diagnostic tool confirm identify problems </t>
  </si>
  <si>
    <t xml:space="preserve">more as a diagnostic tool </t>
  </si>
  <si>
    <t xml:space="preserve">if we could lock in the final yield, if we were guaranteed a yield, itd make things alot earier </t>
  </si>
  <si>
    <t xml:space="preserve">i think a lto of info there jsut a matter of using it </t>
  </si>
  <si>
    <t xml:space="preserve">Gippsland branch Southern Farming Systems Group </t>
  </si>
  <si>
    <t xml:space="preserve">Rowan </t>
  </si>
  <si>
    <t>0427 924 435</t>
  </si>
  <si>
    <t xml:space="preserve">trace element </t>
  </si>
  <si>
    <t xml:space="preserve">FERTILISER COMPANY REPS </t>
  </si>
  <si>
    <t xml:space="preserve">Internet erwsearch </t>
  </si>
  <si>
    <t xml:space="preserve">limited dontdo alot of it and dont do more </t>
  </si>
  <si>
    <t xml:space="preserve">soil test where ive got issue trying to solve a problem </t>
  </si>
  <si>
    <t xml:space="preserve">only to solve specific issues </t>
  </si>
  <si>
    <t xml:space="preserve">lots of research, just a matter or me being motivated. more area specific tools that we can use; </t>
  </si>
  <si>
    <t>Brett</t>
  </si>
  <si>
    <t xml:space="preserve">4200 ha </t>
  </si>
  <si>
    <t xml:space="preserve">h2o, S </t>
  </si>
  <si>
    <t xml:space="preserve">Self </t>
  </si>
  <si>
    <t xml:space="preserve">Latest fade </t>
  </si>
  <si>
    <t xml:space="preserve">Don't soil test </t>
  </si>
  <si>
    <t xml:space="preserve">After crop emergence on paddock that I wish to follow and compare with historical data </t>
  </si>
  <si>
    <t xml:space="preserve">More accurate than soil testing </t>
  </si>
  <si>
    <t xml:space="preserve">Accurate/ quick diagnose of problems </t>
  </si>
  <si>
    <t xml:space="preserve">More fun </t>
  </si>
  <si>
    <t xml:space="preserve">I only plant test </t>
  </si>
  <si>
    <t xml:space="preserve">Agros </t>
  </si>
  <si>
    <t xml:space="preserve">Only way to get better returns is to get a decent price for what we produce. Fertiliser trials have been done forever. Yes increased P often means increased plant growth in LRZ it may not mean increased yield: bigger losses </t>
  </si>
  <si>
    <t xml:space="preserve">I have too much variation in general soil testing to find it useful. We will use it to check for soil constraints in problem areas. </t>
  </si>
  <si>
    <t>Kimba Pony Club</t>
  </si>
  <si>
    <t xml:space="preserve">Trevor </t>
  </si>
  <si>
    <t>kerri.trev@bigpond.com</t>
  </si>
  <si>
    <t xml:space="preserve">N,P,Zn </t>
  </si>
  <si>
    <t xml:space="preserve">localised trial data in different rainfall zones </t>
  </si>
  <si>
    <t>3300 ha</t>
  </si>
  <si>
    <t xml:space="preserve">My dad manages the farm and does not believe in testing. </t>
  </si>
  <si>
    <t xml:space="preserve">I'm not the key decision maker on the farm </t>
  </si>
  <si>
    <t>If I was to start doing soil testing it would be very handy to see what the information is</t>
  </si>
  <si>
    <t xml:space="preserve">I would like to trial soil testing to see what information I gather from it. </t>
  </si>
  <si>
    <t>3200ha</t>
  </si>
  <si>
    <t>N, P, K, S</t>
  </si>
  <si>
    <t xml:space="preserve">Accurate soil information for application at planting   Fast, simple plant data in crop management </t>
  </si>
  <si>
    <t xml:space="preserve">Help get back involved in testing </t>
  </si>
  <si>
    <t>Nitrogen on sand, zinc responses always seen</t>
  </si>
  <si>
    <t>Soil tests</t>
  </si>
  <si>
    <t>Farmer soil type knowledge</t>
  </si>
  <si>
    <t>Moisture</t>
  </si>
  <si>
    <t xml:space="preserve">Have an idea from testing, apply what crop needs </t>
  </si>
  <si>
    <t xml:space="preserve">Sands are always low, flats generally high </t>
  </si>
  <si>
    <t xml:space="preserve">If low, these can be applied through liquid of fertiliser, try to apply some where possible to avoid all tying up </t>
  </si>
  <si>
    <t xml:space="preserve">4 years </t>
  </si>
  <si>
    <t xml:space="preserve">3-4 years </t>
  </si>
  <si>
    <t xml:space="preserve">To maximise inputs </t>
  </si>
  <si>
    <t xml:space="preserve">To identify deficiencies </t>
  </si>
  <si>
    <t xml:space="preserve">To save where possible </t>
  </si>
  <si>
    <t xml:space="preserve">to identify deficiencies in current crop </t>
  </si>
  <si>
    <t xml:space="preserve">for crop health </t>
  </si>
  <si>
    <t xml:space="preserve">to identify deficiencies </t>
  </si>
  <si>
    <t xml:space="preserve">another source of nutritional data </t>
  </si>
  <si>
    <t xml:space="preserve">It has the potential to. </t>
  </si>
  <si>
    <t xml:space="preserve">what nutrients do in plants </t>
  </si>
  <si>
    <t xml:space="preserve">farmer soil type knowledge </t>
  </si>
  <si>
    <t xml:space="preserve">moisture </t>
  </si>
  <si>
    <t xml:space="preserve">If low these can be applied through liquid fertiliser, try to apply some where possible to avoid all tying up. </t>
  </si>
  <si>
    <t>3-4 years</t>
  </si>
  <si>
    <t xml:space="preserve">5000 ha </t>
  </si>
  <si>
    <t xml:space="preserve">research results </t>
  </si>
  <si>
    <t xml:space="preserve">localised results </t>
  </si>
  <si>
    <t>Sulfur, Phosphorus</t>
  </si>
  <si>
    <t>Publications</t>
  </si>
  <si>
    <t>6 representative sample points across paddock 0-10cm</t>
  </si>
  <si>
    <t>6 representative sample points across paddock 0-10cm, 10-60cm</t>
  </si>
  <si>
    <t>Planning for inputs</t>
  </si>
  <si>
    <t>Budget constraints</t>
  </si>
  <si>
    <t>Research data</t>
  </si>
  <si>
    <t>Information on how to transfer data to practical inputs</t>
  </si>
  <si>
    <t>Have a system in place for farmers to utilise for breaking down all the information into easy to follow directions on how to turn data into practical inputs</t>
  </si>
  <si>
    <t>Phosphorus, Nitrogen, Zinc, Manganese, Copper, Potassium</t>
  </si>
  <si>
    <t>Crop performance</t>
  </si>
  <si>
    <t>Not currently using</t>
  </si>
  <si>
    <t>Deep N on advice of agronomist</t>
  </si>
  <si>
    <t>Tissue testing</t>
  </si>
  <si>
    <t>On advice from paid agronomist</t>
  </si>
  <si>
    <t>Nitrogen will be season dependent and we are largely medic based pastures</t>
  </si>
  <si>
    <t>Phosphorus and nitrogen</t>
  </si>
  <si>
    <t>Would if needed</t>
  </si>
  <si>
    <t>I don't think so but we have no bias to soil testing or not soil testing</t>
  </si>
  <si>
    <t>Extension from researchers. Farm trials and sticky beak days</t>
  </si>
  <si>
    <t>P, S, K</t>
  </si>
  <si>
    <t>EP Farming Systems Publication</t>
  </si>
  <si>
    <t>3 different transects based on soil type, tested annually</t>
  </si>
  <si>
    <t>As above, deep N every 3 years</t>
  </si>
  <si>
    <t>Are tested.</t>
  </si>
  <si>
    <t>Annually</t>
  </si>
  <si>
    <t>Annually. Not sure what type, done by APAL</t>
  </si>
  <si>
    <t>APAL</t>
  </si>
  <si>
    <t>Better yields</t>
  </si>
  <si>
    <t>More even yields</t>
  </si>
  <si>
    <t>Make money</t>
  </si>
  <si>
    <t>Taken during the growing season. GS30+ to assist with crop health.</t>
  </si>
  <si>
    <t>To check if seeping inputs have been worthwhile</t>
  </si>
  <si>
    <t>To check if any extra inputs required</t>
  </si>
  <si>
    <t>More knowledge</t>
  </si>
  <si>
    <t>Put the results into an easy to read table or app on phone or Ipad</t>
  </si>
  <si>
    <t>Phosphorus, Nitrogen, Manganese, Zinc, Copper</t>
  </si>
  <si>
    <t>Own observation and knowledge</t>
  </si>
  <si>
    <t>Non existent - action for tests is unclear</t>
  </si>
  <si>
    <t>Some deep soil N, grain protein, observation</t>
  </si>
  <si>
    <t>Based on experience</t>
  </si>
  <si>
    <t>Infrequently. Usually on a new property</t>
  </si>
  <si>
    <t>Very infrequently</t>
  </si>
  <si>
    <t>Never</t>
  </si>
  <si>
    <t>Every 5 years or so</t>
  </si>
  <si>
    <t>Validate fertiliser decisions</t>
  </si>
  <si>
    <t>Inform fertiliser decisions</t>
  </si>
  <si>
    <t>Monitor nutrient levels</t>
  </si>
  <si>
    <t>Have not been able to translate results into yield or rate change</t>
  </si>
  <si>
    <t>How to effectively use results is unclear.</t>
  </si>
  <si>
    <t>Don't know. Will depend on trial results</t>
  </si>
  <si>
    <t>To check micronutrient levels</t>
  </si>
  <si>
    <t>Avoid yield loss</t>
  </si>
  <si>
    <t>Tend to base decisions on past experience which has been informed by tests and crop performance</t>
  </si>
  <si>
    <t>Not convinced it is, but probably has informed my decision making</t>
  </si>
  <si>
    <t>Clear cut trial results</t>
  </si>
  <si>
    <t>Tailor the research to local regions. Support projects out of Minnipa Agricultural Centre.</t>
  </si>
  <si>
    <t>andrew.polk@bigpond.com</t>
  </si>
  <si>
    <t>Nitrogen, Phosphorus, Copper</t>
  </si>
  <si>
    <t>Yield data for P</t>
  </si>
  <si>
    <t>Soil tests for P</t>
  </si>
  <si>
    <t>PH maps for N and lime</t>
  </si>
  <si>
    <t>Yield maps - test in high and low-yielding zones</t>
  </si>
  <si>
    <t>Every 10 years for the last 30 years</t>
  </si>
  <si>
    <t>Once in its lifetime</t>
  </si>
  <si>
    <t>Decrease costs</t>
  </si>
  <si>
    <t>$10,000 - $12,500</t>
  </si>
  <si>
    <t>Lots more PH testing</t>
  </si>
  <si>
    <t>Blanket N generally effective in our area</t>
  </si>
  <si>
    <t>Projects like this, which use real world fertiliser applications in broadacre cropping systems to determine gross margins on soil tests/fertiliser use per hectare</t>
  </si>
  <si>
    <t xml:space="preserve">As we do not soil test it would be good to see our soil condition and look at methods to improve it where needed </t>
  </si>
  <si>
    <t>Nitrogen</t>
  </si>
  <si>
    <t>Stored soil moisture</t>
  </si>
  <si>
    <t>Crop condition</t>
  </si>
  <si>
    <t>Grain prices and fertiliser prices</t>
  </si>
  <si>
    <t>Set transects in zones. Done every 5 years or so</t>
  </si>
  <si>
    <t>When I'm not confident of residual Nitrogen</t>
  </si>
  <si>
    <t>Only if I think I have enough from failed seasons</t>
  </si>
  <si>
    <t>Less than 5 years</t>
  </si>
  <si>
    <t>5 years or more</t>
  </si>
  <si>
    <t>Poor crop performance</t>
  </si>
  <si>
    <t>Peace of mind</t>
  </si>
  <si>
    <t>I know that I'm always short on N</t>
  </si>
  <si>
    <t>Rainfall often dictates yield</t>
  </si>
  <si>
    <t>For N management</t>
  </si>
  <si>
    <t>Plant crop health</t>
  </si>
  <si>
    <t xml:space="preserve">Micronutrient deficiencies </t>
  </si>
  <si>
    <t>Trial strips</t>
  </si>
  <si>
    <t>Better long range weather forecasts</t>
  </si>
  <si>
    <t>Nitrogen, Sulfur, Phosphorus</t>
  </si>
  <si>
    <t>P - Crop type, rotation and soil test</t>
  </si>
  <si>
    <t>N - Soil water and soil test</t>
  </si>
  <si>
    <t>Z - Crop type, rotation and soil test</t>
  </si>
  <si>
    <t>Identify base level. Crop replacement</t>
  </si>
  <si>
    <t>Soil moisture. Target yield.</t>
  </si>
  <si>
    <t>Zinc - Low levels foliar. Base levels ok, seed treatment only</t>
  </si>
  <si>
    <t>Before cereals and canola only</t>
  </si>
  <si>
    <t>3 to 5 years</t>
  </si>
  <si>
    <t>Understand base levels</t>
  </si>
  <si>
    <t>A tool to help fertilise crop to potential yield/gross margin</t>
  </si>
  <si>
    <t>Help with application rate with URL</t>
  </si>
  <si>
    <t>Trials in local area</t>
  </si>
  <si>
    <t xml:space="preserve">Product analysis </t>
  </si>
  <si>
    <t xml:space="preserve">Yield potential </t>
  </si>
  <si>
    <t xml:space="preserve">Deep core by agronomists </t>
  </si>
  <si>
    <t xml:space="preserve">as above </t>
  </si>
  <si>
    <t xml:space="preserve">Every paddock that is going into cereal or canola gets tested </t>
  </si>
  <si>
    <t xml:space="preserve">Every paddock that goes into cereal or canola gets tested </t>
  </si>
  <si>
    <t>to know what you need to apply in order to get your desired yield</t>
  </si>
  <si>
    <t xml:space="preserve">to set up variable rates at seeding </t>
  </si>
  <si>
    <t xml:space="preserve">N &amp; P available, moisture profile, yield desire </t>
  </si>
  <si>
    <t xml:space="preserve">On micro nutrients and tissue testing </t>
  </si>
  <si>
    <t xml:space="preserve">Accurate soil info for application at planting.   Fast, simple plant data for in crop management </t>
  </si>
  <si>
    <t>9500 ha</t>
  </si>
  <si>
    <t xml:space="preserve">Dollar </t>
  </si>
  <si>
    <t xml:space="preserve">Soil tested, but results aren't indicative of what's needed </t>
  </si>
  <si>
    <t>Soil tested through agronomist</t>
  </si>
  <si>
    <t>Knowing what to apply</t>
  </si>
  <si>
    <t xml:space="preserve">agronomist's advice </t>
  </si>
  <si>
    <t xml:space="preserve">Through Minipa Ag Centre trials and agronomist </t>
  </si>
  <si>
    <t>Trials</t>
  </si>
  <si>
    <t xml:space="preserve">Looking for deficiencies </t>
  </si>
  <si>
    <t xml:space="preserve">get the right balance on fertiliser </t>
  </si>
  <si>
    <t xml:space="preserve">Wirrulla Football Club </t>
  </si>
  <si>
    <t>Andre Eylward</t>
  </si>
  <si>
    <t>aneylward@iinet.net.au</t>
  </si>
  <si>
    <t>1000ha</t>
  </si>
  <si>
    <t>Finds limiting factor</t>
  </si>
  <si>
    <t xml:space="preserve">Ensure not over or under fertilising </t>
  </si>
  <si>
    <t xml:space="preserve">don't use plant testing </t>
  </si>
  <si>
    <t>Balliang CFA</t>
  </si>
  <si>
    <t>Chris</t>
  </si>
  <si>
    <t>chrishale@sharkeyfarm.com</t>
  </si>
  <si>
    <t>0417 134 600</t>
  </si>
  <si>
    <t>Don't know if we could get results at right time to change fert decisions</t>
  </si>
  <si>
    <t>Real time scanning and real-time information on deficiencies</t>
  </si>
  <si>
    <t>Lots of local trials. Soils can vary a lot over a farm or paddock</t>
  </si>
  <si>
    <t xml:space="preserve">Any </t>
  </si>
  <si>
    <t>NW Tasmania</t>
  </si>
  <si>
    <t>Topography</t>
  </si>
  <si>
    <t>Do grid testing for phosphorus, calcium, magnesium and potash. Cover about a third of the farm each year.</t>
  </si>
  <si>
    <t>2 samples taken per hectare, Olsen-Bray test covers magnesium, potash and calcium. Used to take cores, now do grids and find it easier to understand data and identify deficiencies</t>
  </si>
  <si>
    <t>To reduce fertiliser costs</t>
  </si>
  <si>
    <t xml:space="preserve">To make decisions on variable rate spreading </t>
  </si>
  <si>
    <t>Not a concern where we are</t>
  </si>
  <si>
    <t>Think we do enough</t>
  </si>
  <si>
    <t>Slightly more and method has changed</t>
  </si>
  <si>
    <t>Don't use it because soil testing is adequate.</t>
  </si>
  <si>
    <t>All our testing has been recorded on paper. A computer or online program to track soil test history would be great.</t>
  </si>
  <si>
    <t>Programs to record soil test history in more easy to use way + make recommendations based off history.</t>
  </si>
  <si>
    <t>Michael</t>
  </si>
  <si>
    <t xml:space="preserve">we aren't set up for Nitrogen testing </t>
  </si>
  <si>
    <t xml:space="preserve">x  </t>
  </si>
  <si>
    <t>N Deep N</t>
  </si>
  <si>
    <t xml:space="preserve">N Rainfall / Yield Potential </t>
  </si>
  <si>
    <t xml:space="preserve">P Agronomist reco </t>
  </si>
  <si>
    <t xml:space="preserve">Deep N in representative Pd </t>
  </si>
  <si>
    <t xml:space="preserve">Most paddocks going into cereals </t>
  </si>
  <si>
    <t xml:space="preserve">deep N sulphur 5-10  3 years  </t>
  </si>
  <si>
    <t>Help with Nitrogen - Reccomendations</t>
  </si>
  <si>
    <t xml:space="preserve">Help with sulphur - reccomendations </t>
  </si>
  <si>
    <t xml:space="preserve">Mainly using deep N </t>
  </si>
  <si>
    <t xml:space="preserve">yearly when required </t>
  </si>
  <si>
    <t xml:space="preserve">Problem in PD </t>
  </si>
  <si>
    <t xml:space="preserve">Low yield area </t>
  </si>
  <si>
    <t xml:space="preserve">Yes mainly Nitrogen use </t>
  </si>
  <si>
    <t>Weather forecasts</t>
  </si>
  <si>
    <t xml:space="preserve">Further research with profitability of testing </t>
  </si>
  <si>
    <t xml:space="preserve">CMS Crows Football Club </t>
  </si>
  <si>
    <t>atlister@bigpond.com</t>
  </si>
  <si>
    <t>N, P, S</t>
  </si>
  <si>
    <t xml:space="preserve">grain protein levels </t>
  </si>
  <si>
    <t xml:space="preserve">we soil test every 5 years or so to monitor levels </t>
  </si>
  <si>
    <t xml:space="preserve">soil test a couple of paddocks each year, work off yield maps </t>
  </si>
  <si>
    <t>using NPUI and yield maps we sample 2 spots to identify differences when needed (0-10cm)</t>
  </si>
  <si>
    <t xml:space="preserve">0-10cm: 5-8 years   0-80cm: 10 years </t>
  </si>
  <si>
    <t xml:space="preserve">0-10cm 5-8 years </t>
  </si>
  <si>
    <t xml:space="preserve">0-10 cm 5-8 years </t>
  </si>
  <si>
    <t xml:space="preserve">pH - whole field mapping each 5 years 0-10cm, 5-8 years </t>
  </si>
  <si>
    <t>to monitor that we aren't mining over soil</t>
  </si>
  <si>
    <t xml:space="preserve">find limitations </t>
  </si>
  <si>
    <t xml:space="preserve">as needed to identify problems </t>
  </si>
  <si>
    <t>problem connection</t>
  </si>
  <si>
    <t xml:space="preserve">ground truth </t>
  </si>
  <si>
    <t xml:space="preserve">yes, as we monitor the levels to make sure we don't drop our levels </t>
  </si>
  <si>
    <t xml:space="preserve">subsoil constraints , how to test whole field for pH at depth </t>
  </si>
  <si>
    <t xml:space="preserve">Hart </t>
  </si>
  <si>
    <t xml:space="preserve">Getting better about managing the variability within a paddock </t>
  </si>
  <si>
    <t xml:space="preserve">moisture levels and soil, water holding capacity are critical </t>
  </si>
  <si>
    <t>Spalding Swimming Pool</t>
  </si>
  <si>
    <t>Damien</t>
  </si>
  <si>
    <t>damien@sommervillepartners.com.au</t>
  </si>
  <si>
    <t>60,000</t>
  </si>
  <si>
    <t xml:space="preserve">Phos, S, N, Zn </t>
  </si>
  <si>
    <t xml:space="preserve">Agronimist </t>
  </si>
  <si>
    <t xml:space="preserve">GRDC update </t>
  </si>
  <si>
    <t xml:space="preserve">Fert companies </t>
  </si>
  <si>
    <t xml:space="preserve">Trying to zone manage our nitrogen inputs, measuring protein analyser on our harvester, even out protein, hardest thing to do </t>
  </si>
  <si>
    <t xml:space="preserve">do who farm every 3 years </t>
  </si>
  <si>
    <t xml:space="preserve">Try and grow best we can </t>
  </si>
  <si>
    <t xml:space="preserve">keep nutrient levels up </t>
  </si>
  <si>
    <t xml:space="preserve">A little but not alot </t>
  </si>
  <si>
    <t xml:space="preserve">soil mineralisation. </t>
  </si>
  <si>
    <t xml:space="preserve">GRDC- drive nitrogen, why nitrogen dies, calcultate better than what we're doing. </t>
  </si>
  <si>
    <t>zinc, copper, sulphur</t>
  </si>
  <si>
    <t>other farmers</t>
  </si>
  <si>
    <t>Once a year, also use grid mapping approach</t>
  </si>
  <si>
    <t>10 per 30 hectare paddock</t>
  </si>
  <si>
    <t>Identifying nutrient deficiencies</t>
  </si>
  <si>
    <t>Soil health</t>
  </si>
  <si>
    <t>Don't do any</t>
  </si>
  <si>
    <t>Plant testing, variables in discolourations and what that means make it hard to determine. More info regarding deficiencies and symptoms</t>
  </si>
  <si>
    <t>More trials on deep ripping to get nutrients down further. More localised trials.</t>
  </si>
  <si>
    <t>CFS</t>
  </si>
  <si>
    <t>moddelgrove935@gmail.com</t>
  </si>
  <si>
    <t>p, z, n</t>
  </si>
  <si>
    <t>Conduct more localised trials. We have very specific soil types.</t>
  </si>
  <si>
    <t>Conduct more localised trials</t>
  </si>
  <si>
    <t xml:space="preserve">The return on investment in soil and plant tests is not clear. Will think about plant testing in future </t>
  </si>
  <si>
    <t>Mallala Tennis Club</t>
  </si>
  <si>
    <t>Derek</t>
  </si>
  <si>
    <t>derek.pgg@gmail.com</t>
  </si>
  <si>
    <t>manganese, copper, zinc</t>
  </si>
  <si>
    <t>Do more work with agronomists. GRDC are doing well.</t>
  </si>
  <si>
    <t>They are doing a good job.</t>
  </si>
  <si>
    <t>Mark</t>
  </si>
  <si>
    <t xml:space="preserve">n, </t>
  </si>
  <si>
    <t>Deep and shallow tests once a year when N testing is done</t>
  </si>
  <si>
    <t>Tests done once a year in summer</t>
  </si>
  <si>
    <t>Only do testing when a problem presents, very very rare</t>
  </si>
  <si>
    <t>Only when we have a problem. Very rare.</t>
  </si>
  <si>
    <t>top dressing</t>
  </si>
  <si>
    <t>fertiliser decisions</t>
  </si>
  <si>
    <t>no barriers</t>
  </si>
  <si>
    <t>Not used</t>
  </si>
  <si>
    <t>Soil testing is adequate</t>
  </si>
  <si>
    <t>Get adequate information from agronomist</t>
  </si>
  <si>
    <t>Not off the top of my head.</t>
  </si>
  <si>
    <t>Ultima Football Club</t>
  </si>
  <si>
    <t>Adam</t>
  </si>
  <si>
    <t>ultimas@bigpond.com</t>
  </si>
  <si>
    <t xml:space="preserve">250 HECTARES </t>
  </si>
  <si>
    <t xml:space="preserve">Everything. A lot fo nutrient removal P, N low </t>
  </si>
  <si>
    <t xml:space="preserve">Tissue testing </t>
  </si>
  <si>
    <t xml:space="preserve">GRDC </t>
  </si>
  <si>
    <t xml:space="preserve">Don't deep test cause of clay like ground </t>
  </si>
  <si>
    <t xml:space="preserve">Total for what is locked up in soil one year in three.   </t>
  </si>
  <si>
    <t xml:space="preserve">Make sure im putting nutrients out Im putting out the right stuff </t>
  </si>
  <si>
    <t xml:space="preserve">Also Im putting it out at right rates. Tailor starter fertilisers to what deficiencies are. Double shoot machine to separate seed and fertilisers. </t>
  </si>
  <si>
    <t xml:space="preserve">do alot </t>
  </si>
  <si>
    <t xml:space="preserve">Do alot of sampling </t>
  </si>
  <si>
    <t>$7,500 - $10,000</t>
  </si>
  <si>
    <t xml:space="preserve">tissue testing to back up soil results </t>
  </si>
  <si>
    <t xml:space="preserve">do a lot </t>
  </si>
  <si>
    <t>freom my perspective, in a high rainfall zone disease control. we've never really pushed the boundaries with nutrition, something as a company we're looknig at, in terms of saying 'what are we actually achieving and why arent we achieving what we could be?' Looknig at that upper end of the spectrum; push the system a little bit hard</t>
  </si>
  <si>
    <t xml:space="preserve">Joanna Hall - Naracoorte </t>
  </si>
  <si>
    <t xml:space="preserve">0409 710 535 </t>
  </si>
  <si>
    <t>p, s, n</t>
  </si>
  <si>
    <t>GRDC Publications</t>
  </si>
  <si>
    <t>SAGIT Publications and trials</t>
  </si>
  <si>
    <t>Done at the same time as Deep N testing, done once a year</t>
  </si>
  <si>
    <t>Deep N tests once a year</t>
  </si>
  <si>
    <t xml:space="preserve">Micronutrients are good, may get bonus data from Deep N testing </t>
  </si>
  <si>
    <t>Deep N once a year, one sample every 20 hectares</t>
  </si>
  <si>
    <t>No potassium</t>
  </si>
  <si>
    <t>Unsure what tests but rarely done so negligible</t>
  </si>
  <si>
    <t>Reduce costs</t>
  </si>
  <si>
    <t>Very rarely used. Only if there's a problem</t>
  </si>
  <si>
    <t>Soil testing we do is adequate</t>
  </si>
  <si>
    <t>Data needed covered by soil testing we do</t>
  </si>
  <si>
    <t xml:space="preserve">a standardised book on soil data, and potentially an app where you can put in data for calculations on inputs </t>
  </si>
  <si>
    <t>Making tools more streamlined, more information and tools to calculate what nutrients need to be replaced</t>
  </si>
  <si>
    <t>Brinkworth/Koolunga cricket club</t>
  </si>
  <si>
    <t>magpieview@outlook.com</t>
  </si>
  <si>
    <t>0408 464 795</t>
  </si>
  <si>
    <t xml:space="preserve">1000 acres </t>
  </si>
  <si>
    <t xml:space="preserve">Time, and cost main factors </t>
  </si>
  <si>
    <t xml:space="preserve">we go by how the season is going, and how the crops react. by eye. my knowledge </t>
  </si>
  <si>
    <t>the more information we get the easier it i</t>
  </si>
  <si>
    <t xml:space="preserve">Moonta Lions Club </t>
  </si>
  <si>
    <t xml:space="preserve">Scott </t>
  </si>
  <si>
    <t xml:space="preserve">400 ha </t>
  </si>
  <si>
    <t xml:space="preserve">Maganese, Copper, </t>
  </si>
  <si>
    <t xml:space="preserve">Check with other farmers around us </t>
  </si>
  <si>
    <t>...</t>
  </si>
  <si>
    <t xml:space="preserve">Always put on regardless cause of traditional habits </t>
  </si>
  <si>
    <t xml:space="preserve">Knew Zinc was an issue and Copper was an issue so getting deformed wheat heads </t>
  </si>
  <si>
    <t xml:space="preserve">Barley tissues test in 2015, Nitrate Nitrogen test in 2012 </t>
  </si>
  <si>
    <t xml:space="preserve">The crops weren't growing and neighbours were growing </t>
  </si>
  <si>
    <t xml:space="preserve">Dad was never into soil testing so that rubbed on us but something wen't wrong </t>
  </si>
  <si>
    <t xml:space="preserve">Neighbours were gonig well because tested </t>
  </si>
  <si>
    <t xml:space="preserve">not since 2013 </t>
  </si>
  <si>
    <t xml:space="preserve">Issues with wheatheads </t>
  </si>
  <si>
    <t xml:space="preserve">None, got to get off my arse and do it. </t>
  </si>
  <si>
    <t xml:space="preserve">Fertilsier is one tht gets dearer and dearer. gone are they days when you can whack on too much </t>
  </si>
  <si>
    <t xml:space="preserve">SSAA Moonta Gun Club </t>
  </si>
  <si>
    <t>Resp_Group</t>
  </si>
  <si>
    <t>Grower</t>
  </si>
  <si>
    <t>Agronomist Question</t>
  </si>
  <si>
    <t>Table Question</t>
  </si>
  <si>
    <t>Grower Question</t>
  </si>
  <si>
    <t>Q6: Do you do/recommend soil and/or plant testing?</t>
  </si>
  <si>
    <t>Q8: Of your clients, how many of them rely entirely on you to make the nutrient decisions?</t>
  </si>
  <si>
    <t>Other?</t>
  </si>
  <si>
    <t>Other (grower only)</t>
  </si>
  <si>
    <t>The use of soil testing on my farm increases my profitability (Grower only Q)</t>
  </si>
  <si>
    <t>The use of plant testing on my farm increases my profitability(Grower Only Q)</t>
  </si>
  <si>
    <t>Is the use of soil testing on your farm increasing your profitability? N(Grower Only Q)</t>
  </si>
  <si>
    <t>'greater than 35%</t>
  </si>
  <si>
    <t>P S N</t>
  </si>
  <si>
    <t>C</t>
  </si>
  <si>
    <t>N P Zn</t>
  </si>
  <si>
    <t>P N Zn S</t>
  </si>
  <si>
    <t>N P S K</t>
  </si>
  <si>
    <t>N P Zn Mn</t>
  </si>
  <si>
    <t>pH Cu Zn N</t>
  </si>
  <si>
    <t>N pH Zn</t>
  </si>
  <si>
    <t>pH N</t>
  </si>
  <si>
    <t>N pH Zn B</t>
  </si>
  <si>
    <t>P Cu Mn</t>
  </si>
  <si>
    <t>N P S</t>
  </si>
  <si>
    <t>N K</t>
  </si>
  <si>
    <t>S P</t>
  </si>
  <si>
    <t>P N Zn Mn Cu K</t>
  </si>
  <si>
    <t>P S K</t>
  </si>
  <si>
    <t>P N Mn Zn Cu</t>
  </si>
  <si>
    <t>N P Cu</t>
  </si>
  <si>
    <t>N S P</t>
  </si>
  <si>
    <t>P S N Zn</t>
  </si>
  <si>
    <t>Zn Cu S</t>
  </si>
  <si>
    <t>Mn Cu Zn</t>
  </si>
  <si>
    <t>Mn Cu</t>
  </si>
  <si>
    <t>Trace Elements</t>
  </si>
  <si>
    <t>* 'Trace Elements' means no individual element was specified</t>
  </si>
  <si>
    <t>P S N T</t>
  </si>
  <si>
    <t>Zn T</t>
  </si>
  <si>
    <t>N P Zn T</t>
  </si>
  <si>
    <t>N pH T</t>
  </si>
  <si>
    <t xml:space="preserve">T </t>
  </si>
  <si>
    <t>Ave Ha</t>
  </si>
  <si>
    <t>Responses</t>
  </si>
  <si>
    <t>Answer Options</t>
  </si>
  <si>
    <t>Q8: Dependency of clients on the agronomist to make nutrient decisions?</t>
  </si>
  <si>
    <t>Entirely</t>
  </si>
  <si>
    <t>Somewhat</t>
  </si>
  <si>
    <t>Not dependent</t>
  </si>
  <si>
    <t>Q9: To what extent are you responsible for determining how much testing is done on your clients' farms?</t>
  </si>
  <si>
    <t>Q10: To what extent do the test results influence your recommendations?</t>
  </si>
  <si>
    <t>Q 10 Response</t>
  </si>
  <si>
    <t>Q9 Response</t>
  </si>
  <si>
    <t>Q9: "Other" responses</t>
  </si>
  <si>
    <t>Q10: "Other" responses</t>
  </si>
  <si>
    <t>Farm history/experience</t>
  </si>
  <si>
    <t>Yield maps/Data</t>
  </si>
  <si>
    <t>Local Trials</t>
  </si>
  <si>
    <t>Yield modelling/estimates</t>
  </si>
  <si>
    <t>Industry data, research or agronomy tools</t>
  </si>
  <si>
    <t>Client expectations/targets</t>
  </si>
  <si>
    <t>Other farmers</t>
  </si>
  <si>
    <t>Supplier info</t>
  </si>
  <si>
    <t>Local farming groups &amp; events</t>
  </si>
  <si>
    <t>Seasonal economic environment</t>
  </si>
  <si>
    <t>Source_1_ID</t>
  </si>
  <si>
    <t>Source_2_ID</t>
  </si>
  <si>
    <t>Source_3_ID</t>
  </si>
  <si>
    <t>Q11: What are your 3 main sources of information or advice for what nutrients you apply and at what rate? Indicate if this is different for N, P and other nutrients</t>
  </si>
  <si>
    <t>Q11: What are your 3 main sources of information or advice for what nutrients you recommend and at what rate? Indicate if this is different for N, P and other nutrients</t>
  </si>
  <si>
    <t>Q11 Response</t>
  </si>
  <si>
    <t>Q11 Response_%</t>
  </si>
  <si>
    <t>Q12: Explain your approach to soil testing P, N and other micro nutrients ...</t>
  </si>
  <si>
    <t>Q12: Explain your approach to soil testing P, N and other micronutrients ...</t>
  </si>
  <si>
    <t>Source</t>
  </si>
  <si>
    <t>Approach</t>
  </si>
  <si>
    <t>P_%</t>
  </si>
  <si>
    <t>N_%</t>
  </si>
  <si>
    <t>Micronutrients_%</t>
  </si>
  <si>
    <t>Q13: Can you please provide some specific information on ..</t>
  </si>
  <si>
    <t>%_Range</t>
  </si>
  <si>
    <t>Q13: What % of your clients in 2018 soil tested for…</t>
  </si>
  <si>
    <t>General soil test</t>
  </si>
  <si>
    <t>N topsoil</t>
  </si>
  <si>
    <t>N below 60cm</t>
  </si>
  <si>
    <t>P topsoil</t>
  </si>
  <si>
    <t>Q6: Do you do soil and/or plant testing?</t>
  </si>
  <si>
    <t>No. Respondants</t>
  </si>
  <si>
    <t>Q9: To what extent are you responsible for determining how much testing is done on your farm?</t>
  </si>
  <si>
    <t>Q7: Who makes the nurtient decisions on your farm (grower only)</t>
  </si>
  <si>
    <t>Q10: To what extent does your agronomist make recommendations based on the test results from your farm?</t>
  </si>
  <si>
    <t>Q7: Who makes the nutrient decisions on your farm?</t>
  </si>
  <si>
    <t>Decision Maker</t>
  </si>
  <si>
    <t>No._Respondants</t>
  </si>
  <si>
    <t>%_Respondants</t>
  </si>
  <si>
    <t>Q13: What % of  your cropped land was soil tested in 2018?</t>
  </si>
  <si>
    <t>Q13 "Other" responses</t>
  </si>
  <si>
    <t>Q14: Which tests do you currently use for your soil N testing?</t>
  </si>
  <si>
    <t>Q14: Which tests do you currently use for soil N testing?</t>
  </si>
  <si>
    <t>Q14 (free text): How frequently are paddocks tested i.e. every 3 years, every 5 years ... other?</t>
  </si>
  <si>
    <t>3-4 years, depends on soil moisture. Total N is probably a better idea of what's going on.</t>
  </si>
  <si>
    <t>Q15: Which tests do you use for your P tests?</t>
  </si>
  <si>
    <t>Q15: Which tests do you use for P tests?</t>
  </si>
  <si>
    <t>Q15 (free text): How frequently are paddocks tested i.e. every 3 years, every 5 years ... other?</t>
  </si>
  <si>
    <t xml:space="preserve">looking at DGT to see what interpretations we can take to grower. difficulty in the interpretation &amp; understanding what mechanism drives numbers </t>
  </si>
  <si>
    <t>Q16: What tests do you use for Potassium testing ...</t>
  </si>
  <si>
    <t>Q16 (free text): How frequently are paddocks tested i.e. every 3 years, every 5 years ... other?</t>
  </si>
  <si>
    <t>when i do a deep N. I think it's important to know what's happening particularly with hay. We have huge amounts of Potassium but it's important to get a baseline</t>
  </si>
  <si>
    <t>Q17: And, which tests do you use for your micronutrients?</t>
  </si>
  <si>
    <t>Q17: And, which tests do you use for micronutrients?</t>
  </si>
  <si>
    <t>Q18: What are the top 3 reasons for soil testing on your farm ...</t>
  </si>
  <si>
    <t>Q18: What are the top 3 reasons for soil testing on your clients farms ...</t>
  </si>
  <si>
    <t>Q17 (free text): How frequently are paddocks tested i.e. every 3 years, every 5 years ... other?</t>
  </si>
  <si>
    <t>Samples per Pdk</t>
  </si>
  <si>
    <t>Test Type</t>
  </si>
  <si>
    <t>N (ALL tests): Ave Samples/Pdk</t>
  </si>
  <si>
    <t>P (ALL tests): Ave Samples/Pdk</t>
  </si>
  <si>
    <t>Q15: For each test chosen, what sampling density is used?</t>
  </si>
  <si>
    <t>greater than 30</t>
  </si>
  <si>
    <t>less than 10%</t>
  </si>
  <si>
    <t>Q14: For each test chosen, what sampling density is used?</t>
  </si>
  <si>
    <t>Q16: For each test chosen, what sampling density is used?</t>
  </si>
  <si>
    <t>K (ALL tests): Ave Samples/Pdk</t>
  </si>
  <si>
    <t>Q17: For each test chosen, what sampling density is used?</t>
  </si>
  <si>
    <t>Reason</t>
  </si>
  <si>
    <t>Q19: Please indicate why you don't do more SOIL Nitrogen testing</t>
  </si>
  <si>
    <t>No. Responses</t>
  </si>
  <si>
    <t>% Responses</t>
  </si>
  <si>
    <t>Q20: Please indicate why you don't do more SOIL Phosphorous testing</t>
  </si>
  <si>
    <t>The cost of soil samplingP</t>
  </si>
  <si>
    <t>The time required for soil samplingP</t>
  </si>
  <si>
    <t>The cost of soil testing lab analysisP</t>
  </si>
  <si>
    <t>The difficulty in being able to represent the variability in a paddockP</t>
  </si>
  <si>
    <t>The level of accuracy of soil testing lab analysisP</t>
  </si>
  <si>
    <t>The ability to translate soil test results into a profitable fertiliser decision for my paddockP</t>
  </si>
  <si>
    <t>Not being able to get soil test results at the right time for decision makingP</t>
  </si>
  <si>
    <t>Q19 General Comments</t>
  </si>
  <si>
    <t>Q20 General Comments</t>
  </si>
  <si>
    <t>General comments:P</t>
  </si>
  <si>
    <t>Q21: Please indicate if you agree/disagree with the following statements in relation to SOIL testing</t>
  </si>
  <si>
    <t>Statement</t>
  </si>
  <si>
    <t>Strongly Agree</t>
  </si>
  <si>
    <t>Q19 "General Comments"</t>
  </si>
  <si>
    <t>Q20 "General Comments"</t>
  </si>
  <si>
    <t>Q21: "Feel free to comment…"</t>
  </si>
  <si>
    <t>Q22: On average, how much would you spend each year on soil testing (including sampling)?</t>
  </si>
  <si>
    <t>Q22: On average, how much would your clients spend each year on soil testing (including sampling)?</t>
  </si>
  <si>
    <t>$12,500 - $15,000</t>
  </si>
  <si>
    <t>Soil testing annual spend</t>
  </si>
  <si>
    <t>Annual Spend Range</t>
  </si>
  <si>
    <t>% Respondants</t>
  </si>
  <si>
    <t>Q22: "Other…"</t>
  </si>
  <si>
    <t>Q23: Compared to five years' ago, has the amount of soil testing you do changed?</t>
  </si>
  <si>
    <t>Q23: Compared to five years' ago, has the amount of soil testing you do / recommend changed?</t>
  </si>
  <si>
    <t>5 year change in testing</t>
  </si>
  <si>
    <t>Q23: "Other…"</t>
  </si>
  <si>
    <t>Q24: In five years' time, how much soil sampling do you expect to be doing?</t>
  </si>
  <si>
    <t>Q24: In five years' time, how much soil sampling do you expect to be doing / recommending?</t>
  </si>
  <si>
    <t>5 year future testing plan</t>
  </si>
  <si>
    <t>Future change in testing</t>
  </si>
  <si>
    <t>Q24: "Other…"</t>
  </si>
  <si>
    <t>Q25: Please list the main 3 reasons you use plant testing data?</t>
  </si>
  <si>
    <t>Q26: Please indicate why you don't do more PLANT testing</t>
  </si>
  <si>
    <t>Q26: General Comments…</t>
  </si>
  <si>
    <t>The cost of sampling_Plant</t>
  </si>
  <si>
    <t>The time required for sampling_Plant</t>
  </si>
  <si>
    <t>The cost of lab analysis_Plant</t>
  </si>
  <si>
    <t>The difficulty in being able to represent the variability in a paddock_Plant</t>
  </si>
  <si>
    <t>The level of accuracy of lab analysis_Plant</t>
  </si>
  <si>
    <t>The ability to translate test results into a profitable decision_Plant</t>
  </si>
  <si>
    <t>Not being able to get test results at the right time for decision making_Plant</t>
  </si>
  <si>
    <t>Q27: Please indicate if you agree/disagree with the following statements in relation to PLANT testing</t>
  </si>
  <si>
    <t>Q27: Feel free to comment on this response</t>
  </si>
  <si>
    <t>My businesses would be more profitable if they did more plant testing than they do now</t>
  </si>
  <si>
    <t>Q28: On average, how much would you spend per year on plant testing (including sampling)?</t>
  </si>
  <si>
    <t>Q28: On average, how much would your clients spend per year on plant testing (including sampling)?</t>
  </si>
  <si>
    <t>Q29: Compared to five years' ago, has the amount of plant testing you do on your farm changed?</t>
  </si>
  <si>
    <t>Q29: Compared to five years' ago, has the amount of plant testing you do / recommend changed?</t>
  </si>
  <si>
    <t>Q30: In five years' time, how much plant sampling do you expect to be doing?</t>
  </si>
  <si>
    <t>Q30: In five years' time, how much plant sampling do you expect to be doing / recommending?</t>
  </si>
  <si>
    <t>Q28: "Other…"</t>
  </si>
  <si>
    <t>Average annual spend - Plant testing</t>
  </si>
  <si>
    <t>There were no responses</t>
  </si>
  <si>
    <t>5 years ago_Plant</t>
  </si>
  <si>
    <t>5 years' time_Plant</t>
  </si>
  <si>
    <t>Q31: Is the use of soil testing on your farm increasing your profitability? N(Grower Only Q)</t>
  </si>
  <si>
    <t>Q32: Please indicate why you don't do SOIL Nitrogen testing</t>
  </si>
  <si>
    <t>The cost of soil sampling_PL</t>
  </si>
  <si>
    <t>The time required for soil sampling_PL</t>
  </si>
  <si>
    <t>The cost of soil testing lab analysis_PL</t>
  </si>
  <si>
    <t>The difficulty in being able to represent the variability in a paddock_PL</t>
  </si>
  <si>
    <t>The level of accuracy of soil testing lab analysis_PL</t>
  </si>
  <si>
    <t>The ability to translate soil test results into a profitable fertiliser decision for my paddock_PL</t>
  </si>
  <si>
    <t>Not being able to get soil test results at the right time for decision making_PL</t>
  </si>
  <si>
    <t>There were no responses by agronomists for this question</t>
  </si>
  <si>
    <t>Q33: Please indicate why you don't do more SOIL Phosphorous testing</t>
  </si>
  <si>
    <t>The cost of soil sampling_PLP</t>
  </si>
  <si>
    <t>The time required for soil sampling_PLP</t>
  </si>
  <si>
    <t>The cost of soil testing lab analysis_PLP</t>
  </si>
  <si>
    <t>The difficulty in being able to represent the variability in a paddock_PLP</t>
  </si>
  <si>
    <t>The level of accuracy of soil testing lab analysis_PLP</t>
  </si>
  <si>
    <t>The ability to translate soil test results into a profitable fertiliser decision for my paddock_PLP</t>
  </si>
  <si>
    <t>Not being able to get soil test results at the right time for decision making_PLP</t>
  </si>
  <si>
    <r>
      <t xml:space="preserve">Q32: Please indicate why you don't do </t>
    </r>
    <r>
      <rPr>
        <sz val="10"/>
        <color rgb="FFFF0000"/>
        <rFont val="Calibri"/>
        <family val="2"/>
        <scheme val="minor"/>
      </rPr>
      <t>ANY</t>
    </r>
    <r>
      <rPr>
        <sz val="10"/>
        <color theme="1"/>
        <rFont val="Calibri"/>
        <family val="2"/>
        <scheme val="minor"/>
      </rPr>
      <t xml:space="preserve"> SOIL Nitrogen testing</t>
    </r>
  </si>
  <si>
    <t>I don't understand this question. Isn't it the same as a previous question??</t>
  </si>
  <si>
    <t>QX: Where and how would you like to receive information regarding crop nutrition?</t>
  </si>
  <si>
    <t>QX: Other…</t>
  </si>
  <si>
    <t>1.In which agro-ecological region do you farm?</t>
  </si>
  <si>
    <t>number</t>
  </si>
  <si>
    <t>2. What is your average total area cropped (hectares, including lease etc) over the last 3 seasons?</t>
  </si>
  <si>
    <t>comment</t>
  </si>
  <si>
    <t>4.Of your total annual variable costs, what percentage would fertilisers account for?</t>
  </si>
  <si>
    <t>5.What are the main nutrient deficiencies on your farm?</t>
  </si>
  <si>
    <t>6.Do you do soil and/or plant testing on your farm?</t>
  </si>
  <si>
    <t>7.Who makes the nutrient decisions on your farm?</t>
  </si>
  <si>
    <t>8.To what extent does your agronomist determine how much testing is done on your farm? (i.e. % of decision made by your agronomist)</t>
  </si>
  <si>
    <t>From_script_grower</t>
  </si>
  <si>
    <t>1.1 Other area listed</t>
  </si>
  <si>
    <t>3.Which of the following crops do you grow - percentage by area? Cerals</t>
  </si>
  <si>
    <t>canola</t>
  </si>
  <si>
    <t>pasture</t>
  </si>
  <si>
    <t>hay</t>
  </si>
  <si>
    <t>fallow</t>
  </si>
  <si>
    <t>pulses</t>
  </si>
  <si>
    <t>other</t>
  </si>
  <si>
    <t>9.To what extent does your agronomist make recommendations based on the test results from your farm?</t>
  </si>
  <si>
    <t xml:space="preserve">10.What are your 3 main sources of information or advice for what nutrients you apply and at what rate? Indicate if this is different for N, P and other nutrients Source 1 </t>
  </si>
  <si>
    <t>11.Explain your approach to soil testing P, N and other micro nutrients …P</t>
  </si>
  <si>
    <t>11.Explain your approach to soil testing P, N and other micro nutrients …N</t>
  </si>
  <si>
    <t>11.Explain your approach to soil testing P, N and other micro nutrients …Mirconutrients</t>
  </si>
  <si>
    <t>12.Can you please provide some specific information on .. What % of  your cropped land was soil tested in 2018?</t>
  </si>
  <si>
    <t>12.Can you please provide some specific information on .. What % of your cropped land was tested for N in 2018?</t>
  </si>
  <si>
    <t>12.Can you please provide some specific information on .. What % of your cropped land was tested for N to at least 60cm in 2018?</t>
  </si>
  <si>
    <t>12.Can you please provide some specific information on .. What % of your cropped land was tested for P in 2018?</t>
  </si>
  <si>
    <t>12.Can you please provide some specific information on .. Other (please specify</t>
  </si>
  <si>
    <t xml:space="preserve">13.Which tests do you currently use for your soil N testing? (please circle) </t>
  </si>
  <si>
    <t>14.1.1</t>
  </si>
  <si>
    <t>14.1.2</t>
  </si>
  <si>
    <t>14.2.1</t>
  </si>
  <si>
    <t>14.2.2</t>
  </si>
  <si>
    <t>14.2.3</t>
  </si>
  <si>
    <t>14.3.1</t>
  </si>
  <si>
    <t>14.3.2</t>
  </si>
  <si>
    <t>14.3.3</t>
  </si>
  <si>
    <t>15.1.1</t>
  </si>
  <si>
    <t>15.1.2</t>
  </si>
  <si>
    <t>14.1.3</t>
  </si>
  <si>
    <t>15.1.3</t>
  </si>
  <si>
    <t>15.2.1</t>
  </si>
  <si>
    <t>15.2.2</t>
  </si>
  <si>
    <t>15.2.3</t>
  </si>
  <si>
    <t>15.3.1</t>
  </si>
  <si>
    <t>15.3.2</t>
  </si>
  <si>
    <t>15.3.3</t>
  </si>
  <si>
    <t>15.4.1</t>
  </si>
  <si>
    <t>15.4.2</t>
  </si>
  <si>
    <t>15.4.3</t>
  </si>
  <si>
    <t>15.5.1</t>
  </si>
  <si>
    <t>15.5.2</t>
  </si>
  <si>
    <t>15.5.3</t>
  </si>
  <si>
    <t>16.1.1</t>
  </si>
  <si>
    <t>16.1.2</t>
  </si>
  <si>
    <t>16.1.3</t>
  </si>
  <si>
    <t>16.2.1</t>
  </si>
  <si>
    <t>16.2.2</t>
  </si>
  <si>
    <t>16.2.3</t>
  </si>
  <si>
    <t>16.3.1</t>
  </si>
  <si>
    <t>16.3.2</t>
  </si>
  <si>
    <t>16.3.3</t>
  </si>
  <si>
    <t>17.1.1</t>
  </si>
  <si>
    <t>17.1.2</t>
  </si>
  <si>
    <t>17.1.3</t>
  </si>
  <si>
    <t>17.2.1</t>
  </si>
  <si>
    <t>17.2.2</t>
  </si>
  <si>
    <t>17.2.3</t>
  </si>
  <si>
    <t>17.3.1</t>
  </si>
  <si>
    <t>17.3.2</t>
  </si>
  <si>
    <t>17.3.3</t>
  </si>
  <si>
    <t>17.4.1</t>
  </si>
  <si>
    <t>17.4.2</t>
  </si>
  <si>
    <t>17.4.3</t>
  </si>
  <si>
    <t>17.5.1</t>
  </si>
  <si>
    <t>17.5.2</t>
  </si>
  <si>
    <t>17.5.3</t>
  </si>
  <si>
    <t>17.6.1</t>
  </si>
  <si>
    <t>17.6.2</t>
  </si>
  <si>
    <t>17.6.3</t>
  </si>
  <si>
    <t>17.7.1</t>
  </si>
  <si>
    <t>17.7.2</t>
  </si>
  <si>
    <t>17.7.3</t>
  </si>
  <si>
    <t>17.8.1</t>
  </si>
  <si>
    <t>17.8.2</t>
  </si>
  <si>
    <t>17.8.3</t>
  </si>
  <si>
    <t>17.What are the top 3 reasons for soil testing on your farm …1</t>
  </si>
  <si>
    <t>17.What are the top 3 reasons for soil testing on your farm …2</t>
  </si>
  <si>
    <t>17.What are the top 3 reasons for soil testing on your farm …3</t>
  </si>
  <si>
    <t>18. Please indicate why you don't do more  SOIL Nitrogen testing (select all those that apply) ….</t>
  </si>
  <si>
    <t>19.Please indicate why you don't do more SOIL Phosphorous testing (select all those that apply) ….</t>
  </si>
  <si>
    <t>20.Please indicate if you agree/disagree with the following statements in relation to  SOIL testing</t>
  </si>
  <si>
    <t>21.On average, how much would you spend each year on soil testing (including sampling)?</t>
  </si>
  <si>
    <t>22.Compared to five years' ago, has the amount of soil testing you do changed? (please circle)</t>
  </si>
  <si>
    <t>23.In five years' time, how much soil sampling do you expect to be doing ? (please circle)</t>
  </si>
  <si>
    <t>24.How do you currently use plant testing?</t>
  </si>
  <si>
    <t>25.Please list the main 3 reasons you use plant testing data?</t>
  </si>
  <si>
    <t>26. Please indicate why you don't do more PLANT  testing (select all that apply)</t>
  </si>
  <si>
    <t>27.Please indicate if you agree/disagree with the following statements in relation to  PLANT testing</t>
  </si>
  <si>
    <t>28.On average, how much would you spend per year on  plant testing (including sampling)?</t>
  </si>
  <si>
    <t>29.Compared to five years' ago, has the amount of plant testing you do on your farm changed?</t>
  </si>
  <si>
    <t>30.In five years' time, how much plant sampling do you expect to be doing?</t>
  </si>
  <si>
    <t>31. Is the use of soil testing on your farm increasing your profitability?</t>
  </si>
  <si>
    <t>Please indicate why you don't do SOIL Nitrogen testing PAGE 9 NOT undertaken soil or plant testing in 2018</t>
  </si>
  <si>
    <t>Please indicate why you don't do more SOIL Phosphorous testing PAGE 9  NOT undertaken soil or plant testing in 2018</t>
  </si>
  <si>
    <t>Please indicate if you agree/disagree with the following statements in relation to SOIL testing</t>
  </si>
  <si>
    <t>Please indicate why you don't do any PLANT testing</t>
  </si>
  <si>
    <t>Please indicate if you agree/disagree with the following statements in relation to  PLANT testing</t>
  </si>
  <si>
    <t>What are the barriers to you undertaking ...?</t>
  </si>
  <si>
    <t>38.Please feel free to add any other comments or suggestions</t>
  </si>
  <si>
    <t>What information do you require to make better informed decisions regarding nutrient management? Page 6</t>
  </si>
  <si>
    <t>Jax_headings</t>
  </si>
  <si>
    <t>Q_1</t>
  </si>
  <si>
    <t>Q_1.1</t>
  </si>
  <si>
    <t>Q_2</t>
  </si>
  <si>
    <t>Q_3.1</t>
  </si>
  <si>
    <t>Q_3.2</t>
  </si>
  <si>
    <t>Q_3.3</t>
  </si>
  <si>
    <t>Q_3.4</t>
  </si>
  <si>
    <t>Q_3.5</t>
  </si>
  <si>
    <t>Q_3.6</t>
  </si>
  <si>
    <t>Q_4</t>
  </si>
  <si>
    <t>Q_5.1</t>
  </si>
  <si>
    <t>Q_5.2</t>
  </si>
  <si>
    <t>Q_6</t>
  </si>
  <si>
    <t>Q_7</t>
  </si>
  <si>
    <t>Q_8.1</t>
  </si>
  <si>
    <t>Q_8.2</t>
  </si>
  <si>
    <t>Q_9.1</t>
  </si>
  <si>
    <t>Q_9.2</t>
  </si>
  <si>
    <t>Q_10.1</t>
  </si>
  <si>
    <t>Q_10.2</t>
  </si>
  <si>
    <t>Q_11.1</t>
  </si>
  <si>
    <t>Q_11.2</t>
  </si>
  <si>
    <t>Q_11.3</t>
  </si>
  <si>
    <t>Q_11.4</t>
  </si>
  <si>
    <t>Q_11.5</t>
  </si>
  <si>
    <t>Q_11.6</t>
  </si>
  <si>
    <t>Q_12.1</t>
  </si>
  <si>
    <t>Q_12.2</t>
  </si>
  <si>
    <t>Q_12.3</t>
  </si>
  <si>
    <t>Q_13.1</t>
  </si>
  <si>
    <t>Q_13.2</t>
  </si>
  <si>
    <t>Q_13.3</t>
  </si>
  <si>
    <t>Q_13.4</t>
  </si>
  <si>
    <t>Q_13.5</t>
  </si>
  <si>
    <t>Q_14.1.1</t>
  </si>
  <si>
    <t>Q_14.1.2</t>
  </si>
  <si>
    <t>Q_14.1.3</t>
  </si>
  <si>
    <t>Q_14.2.1</t>
  </si>
  <si>
    <t>Q_14.2.2</t>
  </si>
  <si>
    <t>Q_14.2.3</t>
  </si>
  <si>
    <t>Q_14.3.1</t>
  </si>
  <si>
    <t>Q_14.3.2</t>
  </si>
  <si>
    <t>Q_14.3.3</t>
  </si>
  <si>
    <t>Q_14.4</t>
  </si>
  <si>
    <t>Q_15.1.1</t>
  </si>
  <si>
    <t>Q_15.1.2</t>
  </si>
  <si>
    <t>Q_15.1.3</t>
  </si>
  <si>
    <t>Q_15.2.1</t>
  </si>
  <si>
    <t>Q_15.2.2</t>
  </si>
  <si>
    <t>Q_15.2.3</t>
  </si>
  <si>
    <t>Q_15.3.1</t>
  </si>
  <si>
    <t>Q_15.3.2</t>
  </si>
  <si>
    <t>Q_15.3.3</t>
  </si>
  <si>
    <t>Q_15.4.1</t>
  </si>
  <si>
    <t>Q_15.4.2</t>
  </si>
  <si>
    <t>Q_15.4.3</t>
  </si>
  <si>
    <t>Q_15.5.1</t>
  </si>
  <si>
    <t>Q_15.5.2</t>
  </si>
  <si>
    <t>Q_15.5.3</t>
  </si>
  <si>
    <t>Q_15.6</t>
  </si>
  <si>
    <t>Q_16.1.1</t>
  </si>
  <si>
    <t>Q_16.1.2</t>
  </si>
  <si>
    <t>Q_16.1.3</t>
  </si>
  <si>
    <t>Q_16.2.1</t>
  </si>
  <si>
    <t>Q_16.2.2</t>
  </si>
  <si>
    <t>Q_16.2.3</t>
  </si>
  <si>
    <t>Q_16.3.1</t>
  </si>
  <si>
    <t>Q_16.3.2</t>
  </si>
  <si>
    <t>Q_16.3.3</t>
  </si>
  <si>
    <t>Q_16.4</t>
  </si>
  <si>
    <t>Q_17.1.1</t>
  </si>
  <si>
    <t>Q_17.1.2</t>
  </si>
  <si>
    <t>Q_17.1.3</t>
  </si>
  <si>
    <t>Q_17.2.1</t>
  </si>
  <si>
    <t>Q_17.2.2</t>
  </si>
  <si>
    <t>Q_17.2.3</t>
  </si>
  <si>
    <t>Q_17.3.1</t>
  </si>
  <si>
    <t>Q_17.3.2</t>
  </si>
  <si>
    <t>Q_17.3.3</t>
  </si>
  <si>
    <t>Q_17.4.1</t>
  </si>
  <si>
    <t>Q_17.4.2</t>
  </si>
  <si>
    <t>Q_17.4.3</t>
  </si>
  <si>
    <t>Q_17.5.1</t>
  </si>
  <si>
    <t>Q_17.5.2</t>
  </si>
  <si>
    <t>Q_17.5.3</t>
  </si>
  <si>
    <t>Q_17.6.1</t>
  </si>
  <si>
    <t>Q_17.6.2</t>
  </si>
  <si>
    <t>Q_17.6.3</t>
  </si>
  <si>
    <t>Q_17.7.1</t>
  </si>
  <si>
    <t>Q_17.7.2</t>
  </si>
  <si>
    <t>Q_17.7.3</t>
  </si>
  <si>
    <t>Q_17.8.1</t>
  </si>
  <si>
    <t>Q_17.8.2</t>
  </si>
  <si>
    <t>Q_17.8.3</t>
  </si>
  <si>
    <t>Q_17.9</t>
  </si>
  <si>
    <t>Q_18.1</t>
  </si>
  <si>
    <t>Q_18.2</t>
  </si>
  <si>
    <t>Q_18.3</t>
  </si>
  <si>
    <t>Q_19.1</t>
  </si>
  <si>
    <t>Q_19.2</t>
  </si>
  <si>
    <t>Q_19.3</t>
  </si>
  <si>
    <t>Q_19.4</t>
  </si>
  <si>
    <t>Q_19.5</t>
  </si>
  <si>
    <t>Q_19.6</t>
  </si>
  <si>
    <t>Q_19.7</t>
  </si>
  <si>
    <t>Q_19.8</t>
  </si>
  <si>
    <t>Q_20.1</t>
  </si>
  <si>
    <t>Q_20.2</t>
  </si>
  <si>
    <t>Q_20.3</t>
  </si>
  <si>
    <t>Q_20.4</t>
  </si>
  <si>
    <t>Q_20.5</t>
  </si>
  <si>
    <t>Q_20.6</t>
  </si>
  <si>
    <t>Q_20.7</t>
  </si>
  <si>
    <t>Q_20.8</t>
  </si>
  <si>
    <t>Q_21.1</t>
  </si>
  <si>
    <t>Q_21.2</t>
  </si>
  <si>
    <t>Q_21.3</t>
  </si>
  <si>
    <t>Q_21.4</t>
  </si>
  <si>
    <t>Q_21.5</t>
  </si>
  <si>
    <t>Q_22.1</t>
  </si>
  <si>
    <t>Q_22.2</t>
  </si>
  <si>
    <t>Q_23.1</t>
  </si>
  <si>
    <t>Q_23.2</t>
  </si>
  <si>
    <t>Q_24.1</t>
  </si>
  <si>
    <t>Q_25</t>
  </si>
  <si>
    <t>Q_26.1</t>
  </si>
  <si>
    <t>Q_26.2</t>
  </si>
  <si>
    <t>Q_26.3</t>
  </si>
  <si>
    <t>Q_26.4</t>
  </si>
  <si>
    <t>Q_27.1</t>
  </si>
  <si>
    <t>Q_27.2</t>
  </si>
  <si>
    <t>Q_27.3</t>
  </si>
  <si>
    <t>Q_27.4</t>
  </si>
  <si>
    <t>Q_27.5</t>
  </si>
  <si>
    <t>Q_27.6</t>
  </si>
  <si>
    <t>Q_27.7</t>
  </si>
  <si>
    <t>Q_27.8</t>
  </si>
  <si>
    <t>Q_28.1</t>
  </si>
  <si>
    <t>Q_28.2</t>
  </si>
  <si>
    <t>Q_28.3</t>
  </si>
  <si>
    <t>Q_28.4</t>
  </si>
  <si>
    <t>Q_28.5</t>
  </si>
  <si>
    <t>Q_29.1</t>
  </si>
  <si>
    <t>Q_29.2</t>
  </si>
  <si>
    <t>Q_30</t>
  </si>
  <si>
    <t>Q_31</t>
  </si>
  <si>
    <t>Q_32</t>
  </si>
  <si>
    <t>Q_33.1</t>
  </si>
  <si>
    <t>Q_33.2</t>
  </si>
  <si>
    <t>Q_33.3</t>
  </si>
  <si>
    <t>Q_33.4</t>
  </si>
  <si>
    <t>Q_33.5</t>
  </si>
  <si>
    <t>Q_33.6</t>
  </si>
  <si>
    <t>Q_33.7</t>
  </si>
  <si>
    <t>Q_33.8</t>
  </si>
  <si>
    <t>Q_34.1</t>
  </si>
  <si>
    <t>Q_34.2</t>
  </si>
  <si>
    <t>Q_34.3</t>
  </si>
  <si>
    <t>Q_34.4</t>
  </si>
  <si>
    <t>Q_34.5</t>
  </si>
  <si>
    <t>Q_34.6</t>
  </si>
  <si>
    <t>Q_34.7</t>
  </si>
  <si>
    <t>Q_34.8</t>
  </si>
  <si>
    <t>Q_35.1</t>
  </si>
  <si>
    <t>Q_35.2</t>
  </si>
  <si>
    <t>Q_36</t>
  </si>
  <si>
    <t>Q_36.1</t>
  </si>
  <si>
    <t>Q_36.2</t>
  </si>
  <si>
    <t>Q_36.3</t>
  </si>
  <si>
    <t>Q_36.4</t>
  </si>
  <si>
    <t>Q_36.5</t>
  </si>
  <si>
    <t>Q_36.6</t>
  </si>
  <si>
    <t>Q_36.7</t>
  </si>
  <si>
    <t>Q_36.8</t>
  </si>
  <si>
    <t>Q_37.1</t>
  </si>
  <si>
    <t>Q_37.2</t>
  </si>
  <si>
    <t>Q_38</t>
  </si>
  <si>
    <t>Q_38.1</t>
  </si>
  <si>
    <t>Q_38.2</t>
  </si>
  <si>
    <t>Q_38.3</t>
  </si>
  <si>
    <t>Q_38.4</t>
  </si>
  <si>
    <t>Q_38.5</t>
  </si>
  <si>
    <t>Q_38.6</t>
  </si>
  <si>
    <t>Q_39.1</t>
  </si>
  <si>
    <t>Q_39.2</t>
  </si>
  <si>
    <t>Q_39.3</t>
  </si>
  <si>
    <t>Q_39.4</t>
  </si>
  <si>
    <t>Q_39.5</t>
  </si>
  <si>
    <t>Q_39.6</t>
  </si>
  <si>
    <t>Q_40.1</t>
  </si>
  <si>
    <t>Q_40.2</t>
  </si>
  <si>
    <t>Q_41</t>
  </si>
  <si>
    <t>Q_42</t>
  </si>
  <si>
    <t>Q_42.1</t>
  </si>
  <si>
    <t>Q_42.2</t>
  </si>
  <si>
    <t>Q_42.3</t>
  </si>
  <si>
    <t>Q_42.4</t>
  </si>
  <si>
    <t>Q_42.5</t>
  </si>
  <si>
    <t>Q_42.6</t>
  </si>
  <si>
    <t>Q_42.7</t>
  </si>
  <si>
    <t>Q_42.8</t>
  </si>
  <si>
    <t>Q_42.9</t>
  </si>
  <si>
    <t>Q_43</t>
  </si>
  <si>
    <t>Q_43.1</t>
  </si>
  <si>
    <t>Q_43.2</t>
  </si>
  <si>
    <t>Q_43.3</t>
  </si>
  <si>
    <t>Q_44</t>
  </si>
  <si>
    <t>Q_45</t>
  </si>
  <si>
    <t>Q_8.3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</si>
</sst>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yyyy\-mm\-dd\ h:mm:ss"/>
    <numFmt numFmtId="165" formatCode="_-* #,##0_-;\-* #,##0_-;_-* &quot;-&quot;??_-;_-@_-"/>
  </numFmts>
  <fonts count="22" x14ac:knownFonts="1">
    <font>
      <sz val="11"/>
      <color theme="1"/>
      <name val="Calibri"/>
      <family val="2"/>
      <scheme val="minor"/>
    </font>
    <font>
      <sz val="11"/>
      <color rgb="FF333333"/>
      <name val="Arial"/>
    </font>
    <font>
      <sz val="11"/>
      <color theme="1"/>
      <name val="Calibri"/>
      <family val="2"/>
      <scheme val="minor"/>
    </font>
    <font>
      <sz val="10"/>
      <color rgb="FFFF0000"/>
      <name val="Calibri"/>
      <family val="2"/>
      <scheme val="minor"/>
    </font>
    <font>
      <sz val="11"/>
      <color rgb="FF333333"/>
      <name val="Arial"/>
      <family val="2"/>
    </font>
    <font>
      <b/>
      <sz val="11"/>
      <color theme="1"/>
      <name val="Calibri"/>
      <family val="2"/>
      <scheme val="minor"/>
    </font>
    <font>
      <sz val="11"/>
      <color theme="1"/>
      <name val="Calibri"/>
      <family val="2"/>
    </font>
    <font>
      <sz val="8"/>
      <name val="Calibri"/>
      <family val="2"/>
      <scheme val="minor"/>
    </font>
    <font>
      <sz val="10"/>
      <color rgb="FF333333"/>
      <name val="Arial"/>
      <family val="2"/>
    </font>
    <font>
      <b/>
      <sz val="10"/>
      <color theme="1"/>
      <name val="Arial"/>
      <family val="2"/>
    </font>
    <font>
      <sz val="10"/>
      <color theme="1"/>
      <name val="Arial"/>
      <family val="2"/>
    </font>
    <font>
      <sz val="10"/>
      <color theme="1"/>
      <name val="Calibri"/>
      <family val="2"/>
      <scheme val="minor"/>
    </font>
    <font>
      <b/>
      <sz val="10"/>
      <color theme="1"/>
      <name val="Calibri"/>
      <family val="2"/>
      <scheme val="minor"/>
    </font>
    <font>
      <b/>
      <sz val="11"/>
      <color theme="0"/>
      <name val="Calibri"/>
      <family val="2"/>
      <scheme val="minor"/>
    </font>
    <font>
      <sz val="9"/>
      <color theme="1"/>
      <name val="Calibri"/>
      <family val="2"/>
      <scheme val="minor"/>
    </font>
    <font>
      <b/>
      <sz val="9"/>
      <color theme="1"/>
      <name val="Calibri"/>
      <family val="2"/>
      <scheme val="minor"/>
    </font>
    <font>
      <sz val="11"/>
      <color rgb="FF333333"/>
      <name val="Calibri"/>
      <family val="2"/>
      <scheme val="minor"/>
    </font>
    <font>
      <sz val="9"/>
      <color rgb="FF333333"/>
      <name val="Arial"/>
      <family val="2"/>
    </font>
    <font>
      <sz val="10"/>
      <color rgb="FF333333"/>
      <name val="Calibri"/>
      <family val="2"/>
      <scheme val="minor"/>
    </font>
    <font>
      <b/>
      <sz val="11"/>
      <color rgb="FF333333"/>
      <name val="Arial"/>
      <family val="2"/>
    </font>
    <font>
      <b/>
      <sz val="11"/>
      <color theme="1"/>
      <name val="Arial"/>
      <family val="2"/>
    </font>
    <font>
      <sz val="11"/>
      <color theme="1"/>
      <name val="Arial"/>
      <family val="2"/>
    </font>
  </fonts>
  <fills count="16">
    <fill>
      <patternFill patternType="none"/>
    </fill>
    <fill>
      <patternFill patternType="gray125"/>
    </fill>
    <fill>
      <patternFill patternType="solid">
        <fgColor rgb="FFEAEAE8"/>
        <bgColor rgb="FFEAEAE8"/>
      </patternFill>
    </fill>
    <fill>
      <patternFill patternType="solid">
        <fgColor theme="5"/>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79998168889431442"/>
        <bgColor rgb="FFEAEAE8"/>
      </patternFill>
    </fill>
    <fill>
      <patternFill patternType="solid">
        <fgColor theme="7" tint="0.79998168889431442"/>
        <bgColor indexed="64"/>
      </patternFill>
    </fill>
    <fill>
      <patternFill patternType="solid">
        <fgColor theme="7" tint="0.79998168889431442"/>
        <bgColor rgb="FFEAEAE8"/>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s>
  <borders count="23">
    <border>
      <left/>
      <right/>
      <top/>
      <bottom/>
      <diagonal/>
    </border>
    <border>
      <left style="thin">
        <color rgb="FFA6A6A6"/>
      </left>
      <right style="thin">
        <color rgb="FFA6A6A6"/>
      </right>
      <top style="thin">
        <color rgb="FFA6A6A6"/>
      </top>
      <bottom style="thin">
        <color rgb="FFA6A6A6"/>
      </bottom>
      <diagonal/>
    </border>
    <border>
      <left style="thin">
        <color rgb="FFA6A6A6"/>
      </left>
      <right style="thin">
        <color rgb="FFA6A6A6"/>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rgb="FFA6A6A6"/>
      </right>
      <top/>
      <bottom style="thin">
        <color rgb="FFA6A6A6"/>
      </bottom>
      <diagonal/>
    </border>
    <border>
      <left style="thin">
        <color rgb="FFA6A6A6"/>
      </left>
      <right style="thin">
        <color rgb="FFA6A6A6"/>
      </right>
      <top/>
      <bottom style="thin">
        <color rgb="FFA6A6A6"/>
      </bottom>
      <diagonal/>
    </border>
    <border>
      <left/>
      <right style="thin">
        <color rgb="FFA6A6A6"/>
      </right>
      <top style="medium">
        <color indexed="64"/>
      </top>
      <bottom style="thin">
        <color rgb="FFA6A6A6"/>
      </bottom>
      <diagonal/>
    </border>
    <border>
      <left/>
      <right/>
      <top style="medium">
        <color indexed="64"/>
      </top>
      <bottom/>
      <diagonal/>
    </border>
    <border>
      <left style="thin">
        <color rgb="FFA6A6A6"/>
      </left>
      <right style="thin">
        <color rgb="FFA6A6A6"/>
      </right>
      <top style="medium">
        <color indexed="64"/>
      </top>
      <bottom style="thin">
        <color rgb="FFA6A6A6"/>
      </bottom>
      <diagonal/>
    </border>
    <border>
      <left/>
      <right style="thin">
        <color rgb="FFA6A6A6"/>
      </right>
      <top style="thin">
        <color rgb="FFA6A6A6"/>
      </top>
      <bottom style="medium">
        <color indexed="64"/>
      </bottom>
      <diagonal/>
    </border>
    <border>
      <left style="thin">
        <color rgb="FFA6A6A6"/>
      </left>
      <right style="thin">
        <color rgb="FFA6A6A6"/>
      </right>
      <top style="thin">
        <color rgb="FFA6A6A6"/>
      </top>
      <bottom style="medium">
        <color indexed="64"/>
      </bottom>
      <diagonal/>
    </border>
    <border>
      <left style="thin">
        <color rgb="FFA6A6A6"/>
      </left>
      <right style="medium">
        <color indexed="64"/>
      </right>
      <top style="thin">
        <color rgb="FFA6A6A6"/>
      </top>
      <bottom style="medium">
        <color indexed="64"/>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style="thin">
        <color theme="0"/>
      </right>
      <top style="thick">
        <color theme="0"/>
      </top>
      <bottom style="thin">
        <color theme="0"/>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17">
    <xf numFmtId="0" fontId="0" fillId="0" borderId="0" xfId="0"/>
    <xf numFmtId="0" fontId="1" fillId="2" borderId="1" xfId="0" applyFont="1" applyFill="1" applyBorder="1"/>
    <xf numFmtId="164" fontId="0" fillId="0" borderId="0" xfId="0" applyNumberFormat="1"/>
    <xf numFmtId="0" fontId="0" fillId="0" borderId="0" xfId="0" applyAlignment="1">
      <alignment horizontal="center"/>
    </xf>
    <xf numFmtId="9" fontId="0" fillId="0" borderId="0" xfId="1" applyFont="1" applyAlignment="1">
      <alignment horizontal="center"/>
    </xf>
    <xf numFmtId="0" fontId="3" fillId="0" borderId="0" xfId="0" applyFont="1"/>
    <xf numFmtId="3" fontId="0" fillId="0" borderId="0" xfId="0" applyNumberFormat="1" applyAlignment="1">
      <alignment horizontal="center"/>
    </xf>
    <xf numFmtId="165" fontId="0" fillId="0" borderId="0" xfId="2" applyNumberFormat="1" applyFont="1" applyAlignment="1">
      <alignment horizontal="center"/>
    </xf>
    <xf numFmtId="0" fontId="0" fillId="0" borderId="0" xfId="0" quotePrefix="1"/>
    <xf numFmtId="0" fontId="0" fillId="3" borderId="0" xfId="0" applyFill="1" applyAlignment="1">
      <alignment horizontal="center"/>
    </xf>
    <xf numFmtId="0" fontId="6" fillId="0" borderId="0" xfId="0" applyFont="1"/>
    <xf numFmtId="164" fontId="6" fillId="0" borderId="0" xfId="0" applyNumberFormat="1" applyFont="1"/>
    <xf numFmtId="0" fontId="0" fillId="4" borderId="0" xfId="0" applyFill="1"/>
    <xf numFmtId="0" fontId="8" fillId="7" borderId="8" xfId="0" applyFont="1" applyFill="1" applyBorder="1"/>
    <xf numFmtId="0" fontId="8" fillId="7" borderId="10" xfId="0" applyFont="1" applyFill="1" applyBorder="1"/>
    <xf numFmtId="0" fontId="8" fillId="9" borderId="11" xfId="0" applyFont="1" applyFill="1" applyBorder="1"/>
    <xf numFmtId="0" fontId="8" fillId="9" borderId="12" xfId="0" applyFont="1" applyFill="1" applyBorder="1"/>
    <xf numFmtId="0" fontId="8" fillId="9" borderId="13" xfId="0" applyFont="1" applyFill="1" applyBorder="1"/>
    <xf numFmtId="0" fontId="9" fillId="6" borderId="4" xfId="0" applyFont="1" applyFill="1" applyBorder="1"/>
    <xf numFmtId="0" fontId="10" fillId="6" borderId="9" xfId="0" applyFont="1" applyFill="1" applyBorder="1"/>
    <xf numFmtId="0" fontId="10" fillId="0" borderId="0" xfId="0" applyFont="1"/>
    <xf numFmtId="0" fontId="9" fillId="8" borderId="5" xfId="0" applyFont="1" applyFill="1" applyBorder="1"/>
    <xf numFmtId="0" fontId="10" fillId="8" borderId="3" xfId="0" applyFont="1" applyFill="1" applyBorder="1"/>
    <xf numFmtId="0" fontId="8" fillId="0" borderId="12" xfId="0" applyFont="1" applyFill="1" applyBorder="1"/>
    <xf numFmtId="0" fontId="0" fillId="10" borderId="0" xfId="0" applyFill="1"/>
    <xf numFmtId="0" fontId="5" fillId="11" borderId="0" xfId="0" applyFont="1" applyFill="1"/>
    <xf numFmtId="0" fontId="0" fillId="11" borderId="0" xfId="0" applyFill="1"/>
    <xf numFmtId="0" fontId="5" fillId="12" borderId="0" xfId="0" applyFont="1" applyFill="1"/>
    <xf numFmtId="0" fontId="0" fillId="12" borderId="0" xfId="0" applyFill="1"/>
    <xf numFmtId="0" fontId="0" fillId="0" borderId="0" xfId="0" quotePrefix="1" applyAlignment="1">
      <alignment horizontal="center"/>
    </xf>
    <xf numFmtId="0" fontId="0" fillId="3" borderId="0" xfId="0" applyFill="1"/>
    <xf numFmtId="0" fontId="0" fillId="0" borderId="0" xfId="0" applyAlignment="1">
      <alignment horizontal="left"/>
    </xf>
    <xf numFmtId="17" fontId="0" fillId="0" borderId="0" xfId="0" applyNumberFormat="1"/>
    <xf numFmtId="0" fontId="11" fillId="0" borderId="0" xfId="0" applyFont="1"/>
    <xf numFmtId="0" fontId="12" fillId="0" borderId="0" xfId="0" applyFont="1"/>
    <xf numFmtId="0" fontId="11" fillId="0" borderId="0" xfId="0" applyFont="1" applyAlignment="1">
      <alignment wrapText="1"/>
    </xf>
    <xf numFmtId="0" fontId="11" fillId="0" borderId="0" xfId="0" applyFont="1" applyAlignment="1">
      <alignment wrapText="1"/>
    </xf>
    <xf numFmtId="16" fontId="0" fillId="0" borderId="0" xfId="0" quotePrefix="1" applyNumberFormat="1" applyAlignment="1">
      <alignment horizontal="left"/>
    </xf>
    <xf numFmtId="0" fontId="0" fillId="0" borderId="0" xfId="0" quotePrefix="1" applyAlignment="1">
      <alignment horizontal="left"/>
    </xf>
    <xf numFmtId="0" fontId="0" fillId="11" borderId="0" xfId="0" applyFill="1" applyAlignment="1">
      <alignment horizontal="center"/>
    </xf>
    <xf numFmtId="0" fontId="0" fillId="12" borderId="0" xfId="0" applyFill="1" applyAlignment="1">
      <alignment horizontal="center"/>
    </xf>
    <xf numFmtId="0" fontId="13" fillId="15" borderId="0" xfId="0" applyFont="1" applyFill="1" applyBorder="1"/>
    <xf numFmtId="0" fontId="13" fillId="15" borderId="15" xfId="0" applyFont="1" applyFill="1" applyBorder="1" applyAlignment="1">
      <alignment horizontal="center"/>
    </xf>
    <xf numFmtId="0" fontId="0" fillId="13" borderId="16" xfId="0" applyFont="1" applyFill="1" applyBorder="1"/>
    <xf numFmtId="0" fontId="0" fillId="13" borderId="17" xfId="0" applyFont="1" applyFill="1" applyBorder="1" applyAlignment="1">
      <alignment horizontal="center"/>
    </xf>
    <xf numFmtId="17" fontId="0" fillId="14" borderId="18" xfId="0" applyNumberFormat="1" applyFont="1" applyFill="1" applyBorder="1"/>
    <xf numFmtId="0" fontId="0" fillId="14" borderId="14" xfId="0" applyFont="1" applyFill="1" applyBorder="1" applyAlignment="1">
      <alignment horizontal="center"/>
    </xf>
    <xf numFmtId="0" fontId="0" fillId="13" borderId="18" xfId="0" applyFont="1" applyFill="1" applyBorder="1"/>
    <xf numFmtId="0" fontId="0" fillId="13" borderId="14" xfId="0" applyFont="1" applyFill="1" applyBorder="1" applyAlignment="1">
      <alignment horizontal="center"/>
    </xf>
    <xf numFmtId="0" fontId="0" fillId="14" borderId="18" xfId="0" applyFont="1" applyFill="1" applyBorder="1"/>
    <xf numFmtId="17" fontId="0" fillId="14" borderId="14" xfId="0" applyNumberFormat="1" applyFont="1" applyFill="1" applyBorder="1" applyAlignment="1">
      <alignment horizontal="center"/>
    </xf>
    <xf numFmtId="9" fontId="0" fillId="13" borderId="17" xfId="1" applyFont="1" applyFill="1" applyBorder="1" applyAlignment="1">
      <alignment horizontal="center"/>
    </xf>
    <xf numFmtId="9" fontId="0" fillId="14" borderId="14" xfId="1" applyFont="1" applyFill="1" applyBorder="1" applyAlignment="1">
      <alignment horizontal="center"/>
    </xf>
    <xf numFmtId="9" fontId="0" fillId="13" borderId="14" xfId="1" applyFont="1" applyFill="1" applyBorder="1" applyAlignment="1">
      <alignment horizontal="center"/>
    </xf>
    <xf numFmtId="0" fontId="13" fillId="15" borderId="19" xfId="0" applyFont="1" applyFill="1" applyBorder="1"/>
    <xf numFmtId="0" fontId="0" fillId="13" borderId="20" xfId="0" applyFont="1" applyFill="1" applyBorder="1"/>
    <xf numFmtId="0" fontId="0" fillId="14" borderId="20" xfId="0" applyFont="1" applyFill="1" applyBorder="1"/>
    <xf numFmtId="0" fontId="14" fillId="0" borderId="0" xfId="0" applyFont="1"/>
    <xf numFmtId="0" fontId="15" fillId="0" borderId="0" xfId="0" applyFont="1"/>
    <xf numFmtId="0" fontId="11" fillId="0" borderId="0" xfId="0" applyFont="1"/>
    <xf numFmtId="9" fontId="0" fillId="13" borderId="17" xfId="1" applyNumberFormat="1" applyFont="1" applyFill="1" applyBorder="1" applyAlignment="1">
      <alignment horizontal="center"/>
    </xf>
    <xf numFmtId="16" fontId="0" fillId="14" borderId="18" xfId="0" applyNumberFormat="1" applyFont="1" applyFill="1" applyBorder="1"/>
    <xf numFmtId="9" fontId="0" fillId="14" borderId="14" xfId="1" applyNumberFormat="1" applyFont="1" applyFill="1" applyBorder="1" applyAlignment="1">
      <alignment horizontal="center"/>
    </xf>
    <xf numFmtId="17" fontId="0" fillId="13" borderId="18" xfId="0" applyNumberFormat="1" applyFont="1" applyFill="1" applyBorder="1"/>
    <xf numFmtId="9" fontId="0" fillId="13" borderId="14" xfId="1" applyNumberFormat="1" applyFont="1" applyFill="1" applyBorder="1" applyAlignment="1">
      <alignment horizontal="center"/>
    </xf>
    <xf numFmtId="0" fontId="13" fillId="15" borderId="0" xfId="0" applyFont="1" applyFill="1" applyBorder="1" applyAlignment="1">
      <alignment horizontal="center"/>
    </xf>
    <xf numFmtId="9" fontId="0" fillId="13" borderId="16" xfId="1" applyNumberFormat="1" applyFont="1" applyFill="1" applyBorder="1" applyAlignment="1">
      <alignment horizontal="center"/>
    </xf>
    <xf numFmtId="9" fontId="0" fillId="14" borderId="18" xfId="1" applyNumberFormat="1" applyFont="1" applyFill="1" applyBorder="1" applyAlignment="1">
      <alignment horizontal="center"/>
    </xf>
    <xf numFmtId="9" fontId="0" fillId="13" borderId="18" xfId="1" applyNumberFormat="1" applyFont="1" applyFill="1" applyBorder="1" applyAlignment="1">
      <alignment horizontal="center"/>
    </xf>
    <xf numFmtId="9" fontId="0" fillId="13" borderId="0" xfId="1" applyNumberFormat="1" applyFont="1" applyFill="1" applyBorder="1" applyAlignment="1">
      <alignment horizontal="center"/>
    </xf>
    <xf numFmtId="9" fontId="0" fillId="14" borderId="0" xfId="1" applyNumberFormat="1" applyFont="1" applyFill="1" applyBorder="1" applyAlignment="1">
      <alignment horizontal="center"/>
    </xf>
    <xf numFmtId="0" fontId="13" fillId="0" borderId="0" xfId="0" applyFont="1" applyFill="1" applyBorder="1" applyAlignment="1">
      <alignment horizontal="center"/>
    </xf>
    <xf numFmtId="9" fontId="0" fillId="0" borderId="0" xfId="1" applyNumberFormat="1" applyFont="1" applyFill="1" applyBorder="1" applyAlignment="1">
      <alignment horizontal="center"/>
    </xf>
    <xf numFmtId="0" fontId="0" fillId="0" borderId="0" xfId="0" applyFill="1" applyBorder="1"/>
    <xf numFmtId="0" fontId="0" fillId="13" borderId="22" xfId="0" applyFont="1" applyFill="1" applyBorder="1"/>
    <xf numFmtId="16" fontId="0" fillId="14" borderId="20" xfId="0" applyNumberFormat="1" applyFont="1" applyFill="1" applyBorder="1"/>
    <xf numFmtId="17" fontId="0" fillId="13" borderId="20" xfId="0" applyNumberFormat="1" applyFont="1" applyFill="1" applyBorder="1"/>
    <xf numFmtId="0" fontId="11" fillId="0" borderId="0" xfId="0" applyFont="1" applyAlignment="1"/>
    <xf numFmtId="9" fontId="0" fillId="0" borderId="0" xfId="1" applyNumberFormat="1" applyFont="1" applyFill="1" applyAlignment="1">
      <alignment horizontal="center"/>
    </xf>
    <xf numFmtId="0" fontId="13" fillId="0" borderId="0" xfId="0" applyFont="1" applyFill="1" applyBorder="1" applyAlignment="1">
      <alignment horizontal="left"/>
    </xf>
    <xf numFmtId="9" fontId="0" fillId="0" borderId="0" xfId="1" applyNumberFormat="1" applyFont="1" applyFill="1" applyBorder="1" applyAlignment="1">
      <alignment horizontal="left"/>
    </xf>
    <xf numFmtId="9" fontId="0" fillId="0" borderId="0" xfId="1" applyNumberFormat="1" applyFont="1" applyFill="1" applyAlignment="1">
      <alignment horizontal="left"/>
    </xf>
    <xf numFmtId="9" fontId="0" fillId="0" borderId="15" xfId="1" applyNumberFormat="1" applyFont="1" applyFill="1" applyBorder="1" applyAlignment="1">
      <alignment horizontal="center"/>
    </xf>
    <xf numFmtId="0" fontId="0" fillId="13" borderId="21" xfId="0" quotePrefix="1" applyFont="1" applyFill="1" applyBorder="1"/>
    <xf numFmtId="0" fontId="11" fillId="12" borderId="0" xfId="0" applyFont="1" applyFill="1"/>
    <xf numFmtId="0" fontId="0" fillId="0" borderId="0" xfId="0" applyNumberFormat="1" applyAlignment="1">
      <alignment horizontal="center"/>
    </xf>
    <xf numFmtId="0" fontId="4" fillId="2" borderId="1" xfId="0" applyFont="1" applyFill="1" applyBorder="1"/>
    <xf numFmtId="0" fontId="16" fillId="0" borderId="0" xfId="0" applyFont="1" applyFill="1" applyBorder="1"/>
    <xf numFmtId="0" fontId="0" fillId="0" borderId="0" xfId="0" applyFont="1" applyFill="1" applyBorder="1" applyAlignment="1">
      <alignment horizontal="center"/>
    </xf>
    <xf numFmtId="0" fontId="17" fillId="0" borderId="0" xfId="0" applyFont="1" applyFill="1" applyBorder="1"/>
    <xf numFmtId="0" fontId="18" fillId="0" borderId="0" xfId="0" applyFont="1" applyFill="1" applyBorder="1"/>
    <xf numFmtId="0" fontId="5" fillId="5" borderId="0" xfId="0" applyFont="1" applyFill="1" applyBorder="1" applyAlignment="1">
      <alignment vertical="top" wrapText="1"/>
    </xf>
    <xf numFmtId="0" fontId="0" fillId="0" borderId="0" xfId="0" applyAlignment="1">
      <alignment vertical="top" wrapText="1"/>
    </xf>
    <xf numFmtId="0" fontId="4" fillId="2" borderId="0" xfId="0" applyFont="1" applyFill="1" applyBorder="1" applyAlignment="1">
      <alignment vertical="top" wrapText="1"/>
    </xf>
    <xf numFmtId="0" fontId="20" fillId="6" borderId="0" xfId="0" applyFont="1" applyFill="1" applyBorder="1" applyAlignment="1">
      <alignment vertical="top" wrapText="1"/>
    </xf>
    <xf numFmtId="0" fontId="20" fillId="8" borderId="0" xfId="0" applyFont="1" applyFill="1" applyBorder="1" applyAlignment="1">
      <alignment vertical="top" wrapText="1"/>
    </xf>
    <xf numFmtId="0" fontId="0" fillId="0" borderId="0" xfId="0" applyFont="1" applyAlignment="1">
      <alignment vertical="top" wrapText="1"/>
    </xf>
    <xf numFmtId="0" fontId="0" fillId="0" borderId="0" xfId="0" applyFont="1"/>
    <xf numFmtId="0" fontId="4" fillId="7" borderId="0" xfId="0" applyFont="1" applyFill="1" applyBorder="1" applyAlignment="1">
      <alignment vertical="top" wrapText="1"/>
    </xf>
    <xf numFmtId="0" fontId="4" fillId="9" borderId="0" xfId="0" applyFont="1" applyFill="1" applyBorder="1" applyAlignment="1">
      <alignment vertical="top" wrapText="1"/>
    </xf>
    <xf numFmtId="0" fontId="21" fillId="6" borderId="0" xfId="0" applyFont="1" applyFill="1" applyBorder="1" applyAlignment="1">
      <alignment vertical="top" wrapText="1"/>
    </xf>
    <xf numFmtId="0" fontId="21" fillId="8" borderId="0" xfId="0" applyFont="1" applyFill="1" applyBorder="1" applyAlignment="1">
      <alignment vertical="top" wrapText="1"/>
    </xf>
    <xf numFmtId="0" fontId="4" fillId="0" borderId="0" xfId="0" applyFont="1" applyFill="1" applyBorder="1" applyAlignment="1">
      <alignment vertical="top" wrapText="1"/>
    </xf>
    <xf numFmtId="0" fontId="0" fillId="10" borderId="0" xfId="0" applyFont="1" applyFill="1" applyAlignment="1">
      <alignment vertical="top" wrapText="1"/>
    </xf>
    <xf numFmtId="0" fontId="21" fillId="0" borderId="0" xfId="0" applyFont="1" applyBorder="1" applyAlignment="1">
      <alignment vertical="top" wrapText="1"/>
    </xf>
    <xf numFmtId="0" fontId="0" fillId="0" borderId="0" xfId="0" applyFont="1" applyBorder="1" applyAlignment="1">
      <alignment vertical="top" wrapText="1"/>
    </xf>
    <xf numFmtId="0" fontId="1" fillId="2" borderId="6" xfId="0" applyFont="1" applyFill="1" applyBorder="1" applyAlignment="1">
      <alignment vertical="top" wrapText="1"/>
    </xf>
    <xf numFmtId="0" fontId="1" fillId="2" borderId="7" xfId="0" applyFont="1" applyFill="1" applyBorder="1" applyAlignment="1">
      <alignment vertical="top" wrapText="1"/>
    </xf>
    <xf numFmtId="0" fontId="1" fillId="2" borderId="2" xfId="0" applyFont="1" applyFill="1" applyBorder="1" applyAlignment="1">
      <alignment vertical="top" wrapText="1"/>
    </xf>
    <xf numFmtId="0" fontId="4" fillId="2" borderId="7" xfId="0" applyFont="1" applyFill="1" applyBorder="1" applyAlignment="1">
      <alignment vertical="top" wrapText="1"/>
    </xf>
    <xf numFmtId="0" fontId="0" fillId="0" borderId="0" xfId="0" applyFont="1" applyBorder="1"/>
    <xf numFmtId="0" fontId="19" fillId="9" borderId="0" xfId="0" applyFont="1" applyFill="1" applyBorder="1" applyAlignment="1">
      <alignment vertical="top" wrapText="1"/>
    </xf>
    <xf numFmtId="0" fontId="19" fillId="2" borderId="0" xfId="0" applyFont="1" applyFill="1" applyBorder="1" applyAlignment="1">
      <alignment vertical="top" wrapText="1"/>
    </xf>
    <xf numFmtId="0" fontId="11" fillId="0" borderId="0" xfId="0" applyFont="1"/>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cellXfs>
  <cellStyles count="3">
    <cellStyle name="Comma" xfId="2" builtinId="3"/>
    <cellStyle name="Normal" xfId="0" builtinId="0"/>
    <cellStyle name="Percent" xfId="1" builtinId="5"/>
  </cellStyles>
  <dxfs count="264">
    <dxf>
      <numFmt numFmtId="164" formatCode="yyyy\-mm\-dd\ h:mm:ss"/>
    </dxf>
    <dxf>
      <numFmt numFmtId="164" formatCode="yyyy\-mm\-dd\ h:mm:ss"/>
    </dxf>
    <dxf>
      <border outline="0">
        <top style="thin">
          <color rgb="FFA6A6A6"/>
        </top>
        <bottom style="medium">
          <color indexed="64"/>
        </bottom>
      </border>
    </dxf>
    <dxf>
      <font>
        <b val="0"/>
        <i val="0"/>
        <strike val="0"/>
        <condense val="0"/>
        <extend val="0"/>
        <outline val="0"/>
        <shadow val="0"/>
        <u val="none"/>
        <vertAlign val="baseline"/>
        <sz val="11"/>
        <color rgb="FF333333"/>
        <name val="Arial"/>
        <scheme val="none"/>
      </font>
      <fill>
        <patternFill patternType="solid">
          <fgColor rgb="FFEAEAE8"/>
          <bgColor rgb="FFEAEAE8"/>
        </patternFill>
      </fill>
      <alignment horizontal="general" vertical="top" textRotation="0" wrapText="1" indent="0" justifyLastLine="0" shrinkToFit="0" readingOrder="0"/>
      <border diagonalUp="0" diagonalDown="0" outline="0">
        <left style="thin">
          <color rgb="FFA6A6A6"/>
        </left>
        <right style="thin">
          <color rgb="FFA6A6A6"/>
        </right>
        <top/>
        <bottom/>
      </border>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rgb="FF333333"/>
        <name val="Calibri"/>
        <family val="2"/>
        <scheme val="minor"/>
      </font>
      <fill>
        <patternFill patternType="none">
          <fgColor indexed="64"/>
          <bgColor indexed="65"/>
        </patternFill>
      </fill>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rgb="FF333333"/>
        <name val="Calibri"/>
        <family val="2"/>
        <scheme val="minor"/>
      </font>
      <fill>
        <patternFill patternType="none">
          <fgColor indexed="64"/>
          <bgColor indexed="65"/>
        </patternFill>
      </fill>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333333"/>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333333"/>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rgb="FF333333"/>
        <name val="Calibri"/>
        <family val="2"/>
        <scheme val="minor"/>
      </font>
      <fill>
        <patternFill patternType="none">
          <fgColor indexed="64"/>
          <bgColor indexed="65"/>
        </patternFill>
      </fill>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rgb="FF333333"/>
        <name val="Calibri"/>
        <family val="2"/>
        <scheme val="minor"/>
      </font>
      <fill>
        <patternFill patternType="none">
          <fgColor indexed="64"/>
          <bgColor indexed="65"/>
        </patternFill>
      </fill>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auto="1"/>
        </patternFill>
      </fill>
      <alignment horizontal="center" vertical="bottom" textRotation="0" wrapText="0" indent="0" justifyLastLine="0" shrinkToFit="0" readingOrder="0"/>
      <border diagonalUp="0" diagonalDown="0">
        <left style="thin">
          <color theme="0"/>
        </left>
        <right/>
        <top style="thin">
          <color theme="0"/>
        </top>
        <bottom/>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auto="1"/>
        </patternFill>
      </fill>
      <alignment horizontal="center" vertical="bottom" textRotation="0" wrapText="0" indent="0" justifyLastLine="0" shrinkToFit="0" readingOrder="0"/>
      <border diagonalUp="0" diagonalDown="0">
        <left style="thin">
          <color theme="0"/>
        </left>
        <right/>
        <top style="thin">
          <color theme="0"/>
        </top>
        <bottom/>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auto="1"/>
        </patternFill>
      </fill>
      <alignment horizontal="center" vertical="bottom" textRotation="0" wrapText="0" indent="0" justifyLastLine="0" shrinkToFit="0" readingOrder="0"/>
      <border diagonalUp="0" diagonalDown="0">
        <left style="thin">
          <color theme="0"/>
        </left>
        <right/>
        <top style="thin">
          <color theme="0"/>
        </top>
        <bottom/>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auto="1"/>
        </patternFill>
      </fill>
      <alignment horizontal="center" vertical="bottom" textRotation="0" wrapText="0" indent="0" justifyLastLine="0" shrinkToFit="0" readingOrder="0"/>
      <border diagonalUp="0" diagonalDown="0">
        <left style="thin">
          <color theme="0"/>
        </left>
        <right/>
        <top style="thin">
          <color theme="0"/>
        </top>
        <bottom/>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59999389629810485"/>
          <bgColor theme="4"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0"/>
        </top>
        <bottom/>
      </border>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0"/>
        </left>
        <right style="thin">
          <color theme="0"/>
        </right>
        <top style="thin">
          <color theme="0"/>
        </top>
        <bottom/>
      </border>
    </dxf>
    <dxf>
      <border outline="0">
        <right style="thin">
          <color theme="0"/>
        </right>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border diagonalUp="0" diagonalDown="0" outline="0">
        <left style="thin">
          <color theme="0"/>
        </left>
        <right style="thin">
          <color theme="0"/>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numFmt numFmtId="0" formatCode="General"/>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5" formatCode="_-* #,##0_-;\-* #,##0_-;_-*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5" formatCode="_-* #,##0_-;\-* #,##0_-;_-*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color theme="0"/>
      </font>
    </dxf>
    <dxf>
      <font>
        <color theme="0"/>
      </font>
    </dxf>
    <dxf>
      <font>
        <color theme="0"/>
      </font>
    </dxf>
  </dxfs>
  <tableStyles count="0" defaultTableStyle="TableStyleMedium9" defaultPivotStyle="PivotStyleLight16"/>
  <colors>
    <mruColors>
      <color rgb="FFEAEAEA"/>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8002B0-C1D3-4E84-98E2-C285F29CB7B5}" name="Tbl_Q1" displayName="Tbl_Q1" ref="A3:D13" totalsRowShown="0">
  <tableColumns count="4">
    <tableColumn id="1" xr3:uid="{0B87BC2C-6E88-49CD-A643-51E181D7B5C0}" name="Region"/>
    <tableColumn id="2" xr3:uid="{4D2DA191-3B56-4151-AACB-DF1377F6B04F}" name="Respondants" dataDxfId="260">
      <calculatedColumnFormula>COUNTIFS(Tbl_Responses[Q1: region],Results!$A4,Tbl_Responses[Resp_Group],Agronomist)</calculatedColumnFormula>
    </tableColumn>
    <tableColumn id="3" xr3:uid="{7F759EB1-B0EF-46C9-9235-7FF74C295C20}" name="%" dataDxfId="259" dataCellStyle="Percent">
      <calculatedColumnFormula>B4/SUM(Tbl_Q1[Respondants])</calculatedColumnFormula>
    </tableColumn>
    <tableColumn id="4" xr3:uid="{B72B2158-6B47-4A70-9EEF-6A8EA79C63E8}" name="Ave Ha/agro" dataDxfId="258" dataCellStyle="Comma">
      <calculatedColumnFormula>AVERAGEIFS(Tbl_Responses[Q2: Cropped Area],Tbl_Responses[Q1: region],Tbl_Q1[[#This Row],[Region]],Tbl_Responses[[Resp_Group]:[Resp_Group]],Agronomist)</calculatedColumnFormula>
    </tableColumn>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DB0DDF1-9619-454F-8E61-93059133C403}" name="Tbl_Q513" displayName="Tbl_Q513" ref="AG47:AS58" totalsRowShown="0" dataDxfId="213" dataCellStyle="Percent">
  <tableColumns count="13">
    <tableColumn id="1" xr3:uid="{E2424E50-DCFB-4314-9DBA-CF2F1CE71CF5}" name="% answers with deficiency"/>
    <tableColumn id="2" xr3:uid="{632F499C-8755-402B-B84D-D05AF3BAB00A}" name="N" dataDxfId="212" dataCellStyle="Percent">
      <calculatedColumnFormula>COUNTIFS(Tbl_Responses[[Def_Nutrient_ID]:[Def_Nutrient_ID]],"*N*",Tbl_Responses[[Q1: region]:[Q1: region]],$AG48)/COUNTIFS(Tbl_Responses[[Def_Nutrient_ID]:[Def_Nutrient_ID]],"&lt;&gt;"&amp;"",Tbl_Responses[[Q1: region]:[Q1: region]],$AG48)</calculatedColumnFormula>
    </tableColumn>
    <tableColumn id="3" xr3:uid="{75831A8D-C240-4230-8CFA-F4CFE0775877}" name="P" dataDxfId="211" dataCellStyle="Percent">
      <calculatedColumnFormula>COUNTIFS(Tbl_Responses[[Def_Nutrient_ID]:[Def_Nutrient_ID]],"*P*",Tbl_Responses[[Q1: region]:[Q1: region]],$AG48)/COUNTIFS(Tbl_Responses[[Def_Nutrient_ID]:[Def_Nutrient_ID]],"&lt;&gt;"&amp;"",Tbl_Responses[[Q1: region]:[Q1: region]],$AG48)</calculatedColumnFormula>
    </tableColumn>
    <tableColumn id="4" xr3:uid="{20BC82C8-FF9A-42E9-A6A4-9F9552F66375}" name="K" dataDxfId="210" dataCellStyle="Percent">
      <calculatedColumnFormula>COUNTIFS(Tbl_Responses[[Def_Nutrient_ID]:[Def_Nutrient_ID]],"*K*",Tbl_Responses[[Q1: region]:[Q1: region]],$AG48)/COUNTIFS(Tbl_Responses[[Def_Nutrient_ID]:[Def_Nutrient_ID]],"&lt;&gt;"&amp;"",Tbl_Responses[[Q1: region]:[Q1: region]],$AG48)</calculatedColumnFormula>
    </tableColumn>
    <tableColumn id="5" xr3:uid="{0BD42F85-7927-4795-BCC3-026DF31D85F2}" name="S" dataDxfId="209" dataCellStyle="Percent">
      <calculatedColumnFormula>COUNTIFS(Tbl_Responses[[Def_Nutrient_ID]:[Def_Nutrient_ID]],"*S*",Tbl_Responses[[Q1: region]:[Q1: region]],$AG48)/COUNTIFS(Tbl_Responses[[Def_Nutrient_ID]:[Def_Nutrient_ID]],"&lt;&gt;"&amp;"",Tbl_Responses[[Q1: region]:[Q1: region]],$AG48)</calculatedColumnFormula>
    </tableColumn>
    <tableColumn id="6" xr3:uid="{543B3A04-31E7-4F1B-AABE-35A9AD4C0F28}" name="Zn" dataDxfId="208" dataCellStyle="Percent">
      <calculatedColumnFormula>COUNTIFS(Tbl_Responses[[Def_Nutrient_ID]:[Def_Nutrient_ID]],"*Zn*",Tbl_Responses[[Q1: region]:[Q1: region]],$AG48)/COUNTIFS(Tbl_Responses[[Def_Nutrient_ID]:[Def_Nutrient_ID]],"&lt;&gt;"&amp;"",Tbl_Responses[[Q1: region]:[Q1: region]],$AG48)</calculatedColumnFormula>
    </tableColumn>
    <tableColumn id="7" xr3:uid="{1DEB37EC-3F43-4B38-8038-425E7897F822}" name="Mn" dataDxfId="207" dataCellStyle="Percent">
      <calculatedColumnFormula>COUNTIFS(Tbl_Responses[[Def_Nutrient_ID]:[Def_Nutrient_ID]],"*Mn*",Tbl_Responses[[Q1: region]:[Q1: region]],$AG48)/COUNTIFS(Tbl_Responses[[Def_Nutrient_ID]:[Def_Nutrient_ID]],"&lt;&gt;"&amp;"",Tbl_Responses[[Q1: region]:[Q1: region]],$AG48)</calculatedColumnFormula>
    </tableColumn>
    <tableColumn id="8" xr3:uid="{2BD22B59-F43B-4C18-9379-17A9D351CB4A}" name="Mg" dataDxfId="206" dataCellStyle="Percent">
      <calculatedColumnFormula>COUNTIFS(Tbl_Responses[[Def_Nutrient_ID]:[Def_Nutrient_ID]],"*Mg*",Tbl_Responses[[Q1: region]:[Q1: region]],$AG48)/COUNTIFS(Tbl_Responses[[Def_Nutrient_ID]:[Def_Nutrient_ID]],"&lt;&gt;"&amp;"",Tbl_Responses[[Q1: region]:[Q1: region]],$AG48)</calculatedColumnFormula>
    </tableColumn>
    <tableColumn id="9" xr3:uid="{2280288E-690B-40D0-B1F1-F9D51398964B}" name="Cu" dataDxfId="205" dataCellStyle="Percent">
      <calculatedColumnFormula>COUNTIFS(Tbl_Responses[[Def_Nutrient_ID]:[Def_Nutrient_ID]],"*Cu*",Tbl_Responses[[Q1: region]:[Q1: region]],$AG48)/COUNTIFS(Tbl_Responses[[Def_Nutrient_ID]:[Def_Nutrient_ID]],"&lt;&gt;"&amp;"",Tbl_Responses[[Q1: region]:[Q1: region]],$AG48)</calculatedColumnFormula>
    </tableColumn>
    <tableColumn id="10" xr3:uid="{1F191CA2-7987-4AF1-B1D8-2EFF875E0F85}" name="B" dataDxfId="204" dataCellStyle="Percent">
      <calculatedColumnFormula>COUNTIFS(Tbl_Responses[[Def_Nutrient_ID]:[Def_Nutrient_ID]],"*B*",Tbl_Responses[[Q1: region]:[Q1: region]],$AG48)/COUNTIFS(Tbl_Responses[[Def_Nutrient_ID]:[Def_Nutrient_ID]],"&lt;&gt;"&amp;"",Tbl_Responses[[Q1: region]:[Q1: region]],$AG48)</calculatedColumnFormula>
    </tableColumn>
    <tableColumn id="11" xr3:uid="{4D6A0EDB-B3F3-4D46-B164-EC66EA165D98}" name="Ca" dataDxfId="203" dataCellStyle="Percent">
      <calculatedColumnFormula>COUNTIFS(Tbl_Responses[[Def_Nutrient_ID]:[Def_Nutrient_ID]],"*Ca*",Tbl_Responses[[Q1: region]:[Q1: region]],$AG48)/COUNTIFS(Tbl_Responses[[Def_Nutrient_ID]:[Def_Nutrient_ID]],"&lt;&gt;"&amp;"",Tbl_Responses[[Q1: region]:[Q1: region]],$AG48)</calculatedColumnFormula>
    </tableColumn>
    <tableColumn id="12" xr3:uid="{5FCE9AE2-6B82-43B9-908E-72F195F5D9AB}" name="pH" dataDxfId="202" dataCellStyle="Percent">
      <calculatedColumnFormula>COUNTIFS(Tbl_Responses[[Def_Nutrient_ID]:[Def_Nutrient_ID]],"*pH*",Tbl_Responses[[Q1: region]:[Q1: region]],$AG48)/COUNTIFS(Tbl_Responses[[Def_Nutrient_ID]:[Def_Nutrient_ID]],"&lt;&gt;"&amp;"",Tbl_Responses[[Q1: region]:[Q1: region]],$AG48)</calculatedColumnFormula>
    </tableColumn>
    <tableColumn id="13" xr3:uid="{45DD2A71-5300-415B-B565-1FD0F251A9C4}" name="Trace Elements" dataDxfId="201" dataCellStyle="Percent"/>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6E30B1C-9EAF-473C-89B4-F2C75CC2F878}" name="Tbl_Q6" displayName="Tbl_Q6" ref="AV3:AY14" totalsRowShown="0">
  <tableColumns count="4">
    <tableColumn id="1" xr3:uid="{9A12EC23-69D4-4E0B-AC22-54AC278115D3}" name="Responses"/>
    <tableColumn id="2" xr3:uid="{6B0F2426-1923-4EAC-9D8A-BC9009B8B35E}" name="Yes" dataDxfId="200">
      <calculatedColumnFormula>COUNTIFS(Tbl_Responses[[Q6: Do you do/recommend soil and/or plant testing?]:[Q6: Do you do/recommend soil and/or plant testing?]],"Yes",Tbl_Responses[[Resp_Group]:[Resp_Group]],Agronomist)/COUNTIFS(Tbl_Responses[[Q6: Do you do/recommend soil and/or plant testing?]:[Q6: Do you do/recommend soil and/or plant testing?]],"&lt;&gt;"&amp;"",Tbl_Responses[[Resp_Group]:[Resp_Group]],Agronomist)</calculatedColumnFormula>
    </tableColumn>
    <tableColumn id="3" xr3:uid="{BC401B20-CFAA-427F-B39A-F22F4C2F385C}" name="No" dataDxfId="199">
      <calculatedColumnFormula>COUNTIFS(Tbl_Responses[[Q6: Do you do/recommend soil and/or plant testing?]:[Q6: Do you do/recommend soil and/or plant testing?]],"No",Tbl_Responses[[Resp_Group]:[Resp_Group]],Agronomist)/COUNTIFS(Tbl_Responses[[Q6: Do you do/recommend soil and/or plant testing?]:[Q6: Do you do/recommend soil and/or plant testing?]],"&lt;&gt;"&amp;"",Tbl_Responses[[Resp_Group]:[Resp_Group]],Agronomist)</calculatedColumnFormula>
    </tableColumn>
    <tableColumn id="4" xr3:uid="{80999C73-4FCD-4FC5-83EB-EC8DD2D86D48}" name="No. Respondants" dataDxfId="198"/>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FB7274-E196-4C17-B338-0A4A56753111}" name="Tbl_Q8" displayName="Tbl_Q8" ref="BA3:BF9" totalsRowShown="0">
  <tableColumns count="6">
    <tableColumn id="1" xr3:uid="{A8A53159-FA03-4C2D-9542-5C0FD493A13A}" name="Answer Options"/>
    <tableColumn id="2" xr3:uid="{E24325D6-564F-470F-B55F-C0E2CE9AC8A3}" name="Entirely" dataDxfId="197">
      <calculatedColumnFormula>COUNTIFS(Tbl_Responses[Q8: Of your clients, how many of them rely entirely on you to make the nutrient decisions?],$BA4,Tbl_Responses[[Resp_Group]:[Resp_Group]],Agronomist)</calculatedColumnFormula>
    </tableColumn>
    <tableColumn id="3" xr3:uid="{C467F1F3-1B69-47DE-B7EB-54274CB41B8B}" name="Somewhat" dataDxfId="196">
      <calculatedColumnFormula>COUNTIFS(Tbl_Responses[Response4],$BA4,Tbl_Responses[[Resp_Group]:[Resp_Group]],Agronomist)</calculatedColumnFormula>
    </tableColumn>
    <tableColumn id="4" xr3:uid="{C1817236-63B7-45FE-A89D-7FF1564D664F}" name="Not dependent" dataDxfId="195">
      <calculatedColumnFormula>COUNTIFS(Tbl_Responses[Response5],$BA4,Tbl_Responses[[Resp_Group]:[Resp_Group]],Agronomist)</calculatedColumnFormula>
    </tableColumn>
    <tableColumn id="5" xr3:uid="{8E71C332-93B2-4669-B562-D5136164D4E2}" name="Q9 Response" dataDxfId="194">
      <calculatedColumnFormula>COUNTIFS(Tbl_Responses[Response6],$BA4,Tbl_Responses[[Resp_Group]:[Resp_Group]],Agronomist)</calculatedColumnFormula>
    </tableColumn>
    <tableColumn id="6" xr3:uid="{A467A712-AC5A-49F8-B2B8-8CB9CBECC976}" name="Q 10 Response" dataDxfId="193">
      <calculatedColumnFormula>COUNTIFS(Tbl_Responses[Response7],$BA4,Tbl_Responses[[Resp_Group]:[Resp_Group]],Agronomist)</calculatedColumnFormula>
    </tableColumn>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D529ACA-9C99-4E63-A05F-04C342FD52C9}" name="Tbl_Q11" displayName="Tbl_Q11" ref="BH3:BJ17" totalsRowShown="0">
  <tableColumns count="3">
    <tableColumn id="1" xr3:uid="{B9CEA077-9450-4FAF-99FF-7DD640B6E264}" name="Source"/>
    <tableColumn id="2" xr3:uid="{DB943D90-BE98-4FC9-847F-8C47688AE0E4}" name="Q11 Response" dataDxfId="192">
      <calculatedColumnFormula>COUNTIFS(Tbl_Responses[Source_1_ID],$BH4,Tbl_Responses[[Resp_Group]:[Resp_Group]],Agronomist)+COUNTIFS(Tbl_Responses[Source_2_ID],$BH4,Tbl_Responses[[Resp_Group]:[Resp_Group]],Agronomist)+COUNTIFS(Tbl_Responses[Source_3_ID],$BH4,Tbl_Responses[[Resp_Group]:[Resp_Group]],Agronomist)</calculatedColumnFormula>
    </tableColumn>
    <tableColumn id="3" xr3:uid="{E108C9EB-528B-4FD3-BEA6-253989254D4F}" name="Q11 Response_%" dataDxfId="191" dataCellStyle="Percent">
      <calculatedColumnFormula>Tbl_Q11[[#This Row],[Q11 Response]]/SUM(Tbl_Q11[Q11 Response])</calculatedColumnFormula>
    </tableColum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17968D-B502-4C5A-8F54-24C1A9A90404}" name="Tbl_Q12" displayName="Tbl_Q12" ref="BL3:BO17" totalsRowShown="0">
  <autoFilter ref="BL3:BO17" xr:uid="{BDF873E0-70FC-4BD4-8B1B-B1A9057091CF}"/>
  <tableColumns count="4">
    <tableColumn id="1" xr3:uid="{630D339F-459F-48A7-90FB-1B049E1EE606}" name="Approach"/>
    <tableColumn id="2" xr3:uid="{3AF0DAC3-FE6B-4DA2-87A8-61ED632E08B8}" name="P_%"/>
    <tableColumn id="3" xr3:uid="{D6CAAE7D-B4A8-4C8B-B144-F3CCBB5DBBD5}" name="N_%"/>
    <tableColumn id="4" xr3:uid="{66B1704C-F838-4909-B290-FD6ACE4FC8CE}" name="Micronutrients_%"/>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391F97B-58E4-4AD4-939B-9E6CEF4920BA}" name="Tbl_Q13" displayName="Tbl_Q13" ref="BQ3:BU9" totalsRowShown="0" headerRowDxfId="190" dataDxfId="189">
  <tableColumns count="5">
    <tableColumn id="1" xr3:uid="{52A86855-1E9B-4577-A4C5-9AC7050795C6}" name="%_Range" dataDxfId="188"/>
    <tableColumn id="2" xr3:uid="{7A7F362D-81E2-4ACF-ADAF-61B3CBFCD8CE}" name="General soil test" dataDxfId="187" dataCellStyle="Percent">
      <calculatedColumnFormula>COUNTIFS(Tbl_Responses[What % of your clients soil tested in 2018?],$BQ4,Tbl_Responses[[Resp_Group]:[Resp_Group]],Agronomist)/COUNTIFS(Tbl_Responses[What % of your clients soil tested in 2018?],"&gt;""",Tbl_Responses[[Resp_Group]:[Resp_Group]],Agronomist)</calculatedColumnFormula>
    </tableColumn>
    <tableColumn id="3" xr3:uid="{9EB002B9-7EFE-43D1-91DD-DC37F7E30DBE}" name="N topsoil" dataDxfId="186">
      <calculatedColumnFormula>COUNTIFS(Tbl_Responses[What % of your clients tested for N in 2018?],$BQ4,Tbl_Responses[[Resp_Group]:[Resp_Group]],Agronomist)/COUNTIFS(Tbl_Responses[What % of your clients tested for N in 2018?],"&gt;""",Tbl_Responses[[Resp_Group]:[Resp_Group]],Agronomist)</calculatedColumnFormula>
    </tableColumn>
    <tableColumn id="4" xr3:uid="{4BF5950C-8C38-4C11-AA21-5B5D8B476085}" name="N below 60cm" dataDxfId="185">
      <calculatedColumnFormula>COUNTIFS(Tbl_Responses[What % of your clients tested for N to at least 60cm in 2018?],$BQ4,Tbl_Responses[[Resp_Group]:[Resp_Group]],Agronomist)/COUNTIFS(Tbl_Responses[What % of your clients tested for N to at least 60cm in 2018?],"&gt;""",Tbl_Responses[[Resp_Group]:[Resp_Group]],Agronomist)</calculatedColumnFormula>
    </tableColumn>
    <tableColumn id="5" xr3:uid="{EC1102C8-5114-452F-8D9C-1455DB5F1311}" name="P topsoil" dataDxfId="184">
      <calculatedColumnFormula>COUNTIFS(Tbl_Responses[What % of your clients tested for P in 2018?],$BQ4,Tbl_Responses[[Resp_Group]:[Resp_Group]],Agronomist)/COUNTIFS(Tbl_Responses[What % of your clients tested for P in 2018?],"&gt;""",Tbl_Responses[[Resp_Group]:[Resp_Group]],Agronomist)</calculatedColumnFormula>
    </tableColumn>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64A8337-FEC3-449C-BD7A-2BBC9C5BEB46}" name="Tbl_Q618" displayName="Tbl_Q618" ref="AV47:AY58" totalsRowShown="0">
  <tableColumns count="4">
    <tableColumn id="1" xr3:uid="{B4177E87-F204-475B-B183-962C441554C4}" name="Responses"/>
    <tableColumn id="2" xr3:uid="{638E160B-2F71-4EE4-88F5-7680FB2F49CB}" name="Yes" dataDxfId="183">
      <calculatedColumnFormula>COUNTIFS(Tbl_Responses[[Q6: Do you do/recommend soil and/or plant testing?]:[Q6: Do you do/recommend soil and/or plant testing?]],"Yes",Tbl_Responses[[Resp_Group]:[Resp_Group]],Agronomist)/COUNTIFS(Tbl_Responses[[Q6: Do you do/recommend soil and/or plant testing?]:[Q6: Do you do/recommend soil and/or plant testing?]],"&lt;&gt;"&amp;"",Tbl_Responses[[Resp_Group]:[Resp_Group]],Agronomist)</calculatedColumnFormula>
    </tableColumn>
    <tableColumn id="3" xr3:uid="{43F9209C-545E-428C-BD47-4E25FF068AB5}" name="No" dataDxfId="182">
      <calculatedColumnFormula>COUNTIFS(Tbl_Responses[[Q6: Do you do/recommend soil and/or plant testing?]:[Q6: Do you do/recommend soil and/or plant testing?]],"No",Tbl_Responses[[Resp_Group]:[Resp_Group]],Agronomist)/COUNTIFS(Tbl_Responses[[Q6: Do you do/recommend soil and/or plant testing?]:[Q6: Do you do/recommend soil and/or plant testing?]],"&lt;&gt;"&amp;"",Tbl_Responses[[Resp_Group]:[Resp_Group]],Agronomist)</calculatedColumnFormula>
    </tableColumn>
    <tableColumn id="4" xr3:uid="{4ED4BB58-AF7E-4B74-97D9-F773C6809667}" name="No. Respondants" dataDxfId="181"/>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DD0D6EE-D6C0-42EB-93AB-CCB2E02D2CE9}" name="Tbl_Q1120" displayName="Tbl_Q1120" ref="BH47:BJ61" totalsRowShown="0">
  <tableColumns count="3">
    <tableColumn id="1" xr3:uid="{B7AE1657-B54C-483A-BBDA-5D94DD919F49}" name="Source"/>
    <tableColumn id="2" xr3:uid="{10F456C4-0817-44B8-B24E-B468A1F12449}" name="Q11 Response" dataDxfId="180">
      <calculatedColumnFormula>COUNTIFS(Tbl_Responses[Source_1_ID],$BH48,Tbl_Responses[[Resp_Group]:[Resp_Group]],Agronomist)+COUNTIFS(Tbl_Responses[Source_2_ID],$BH48,Tbl_Responses[[Resp_Group]:[Resp_Group]],Agronomist)+COUNTIFS(Tbl_Responses[Source_3_ID],$BH48,Tbl_Responses[[Resp_Group]:[Resp_Group]],Agronomist)</calculatedColumnFormula>
    </tableColumn>
    <tableColumn id="3" xr3:uid="{76076DD0-EF62-49FD-8536-7B44E2EFA251}" name="Q11 Response_%" dataDxfId="179" dataCellStyle="Percent">
      <calculatedColumnFormula>Tbl_Q1120[[#This Row],[Q11 Response]]/SUM(Tbl_Q1120[Q11 Response])</calculatedColumnFormula>
    </tableColumn>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02FEF65-6487-4987-8424-74B0B7C1B57D}" name="Tbl_Q1221" displayName="Tbl_Q1221" ref="BL47:BO61" totalsRowShown="0">
  <autoFilter ref="BL47:BO61" xr:uid="{1D44261A-3AEF-4D6C-9004-8E5E84C08D7D}"/>
  <tableColumns count="4">
    <tableColumn id="1" xr3:uid="{2071DA2C-7F3D-4658-A0F2-4680280844CE}" name="Approach"/>
    <tableColumn id="2" xr3:uid="{21656790-2424-4AEB-BB01-8D83E6E33C5B}" name="P_%"/>
    <tableColumn id="3" xr3:uid="{EE1EB687-42D2-4FDD-9DC3-B2B5F1555FD0}" name="N_%"/>
    <tableColumn id="4" xr3:uid="{58C0FCC4-C344-4C5C-BB75-0220EB8AC3FA}" name="Micronutrients_%"/>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3468D409-4660-4D36-98BA-EFC7BE1D1F7D}" name="Tbl_Q1322" displayName="Tbl_Q1322" ref="BQ47:BU53" totalsRowShown="0" headerRowDxfId="178" dataDxfId="177">
  <tableColumns count="5">
    <tableColumn id="1" xr3:uid="{21A215BC-5D75-493F-95EF-B04EA66AFEC9}" name="%_Range" dataDxfId="176"/>
    <tableColumn id="2" xr3:uid="{79355F2B-C960-4BC0-99C8-E31CC4D09EAB}" name="General soil test" dataDxfId="175" dataCellStyle="Percent">
      <calculatedColumnFormula>COUNTIFS(Tbl_Responses[What % of your clients soil tested in 2018?],$BQ48,Tbl_Responses[[Resp_Group]:[Resp_Group]],Agronomist)/COUNTIFS(Tbl_Responses[What % of your clients soil tested in 2018?],"&gt;""",Tbl_Responses[[Resp_Group]:[Resp_Group]],Agronomist)</calculatedColumnFormula>
    </tableColumn>
    <tableColumn id="3" xr3:uid="{7868C59C-5882-4788-99EA-B4E1AC6A7623}" name="N topsoil" dataDxfId="174">
      <calculatedColumnFormula>COUNTIFS(Tbl_Responses[What % of your clients tested for N in 2018?],$BQ48,Tbl_Responses[[Resp_Group]:[Resp_Group]],Agronomist)/COUNTIFS(Tbl_Responses[What % of your clients tested for N in 2018?],"&gt;""",Tbl_Responses[[Resp_Group]:[Resp_Group]],Agronomist)</calculatedColumnFormula>
    </tableColumn>
    <tableColumn id="4" xr3:uid="{9BB8B073-C48F-4CEF-A556-31551AD4FD69}" name="N below 60cm" dataDxfId="173">
      <calculatedColumnFormula>COUNTIFS(Tbl_Responses[What % of your clients tested for N to at least 60cm in 2018?],$BQ48,Tbl_Responses[[Resp_Group]:[Resp_Group]],Agronomist)/COUNTIFS(Tbl_Responses[What % of your clients tested for N to at least 60cm in 2018?],"&gt;""",Tbl_Responses[[Resp_Group]:[Resp_Group]],Agronomist)</calculatedColumnFormula>
    </tableColumn>
    <tableColumn id="5" xr3:uid="{39AF0495-11D3-4F8D-BEB7-09917C489FDC}" name="P topsoil" dataDxfId="172">
      <calculatedColumnFormula>COUNTIFS(Tbl_Responses[What % of your clients tested for P in 2018?],$BQ48,Tbl_Responses[[Resp_Group]:[Resp_Group]],Agronomist)/COUNTIFS(Tbl_Responses[What % of your clients tested for P in 2018?],"&gt;""",Tbl_Responses[[Resp_Group]:[Resp_Group]],Agronomist)</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867CDE-5177-47D5-BB0B-E7FDAE973D3A}" name="Tbl_Q2" displayName="Tbl_Q2" ref="F3:J11" totalsRowShown="0">
  <tableColumns count="5">
    <tableColumn id="1" xr3:uid="{550F8446-872C-4A55-A949-647C485E07BA}" name="Area_From"/>
    <tableColumn id="2" xr3:uid="{B4D86892-7015-4A4D-8711-CD19D84A2494}" name="Area_To"/>
    <tableColumn id="3" xr3:uid="{41687F21-AE17-496E-B5E3-56966B47C91D}" name="Range_Name">
      <calculatedColumnFormula>F4&amp;"-"&amp;G4</calculatedColumnFormula>
    </tableColumn>
    <tableColumn id="4" xr3:uid="{C6C59EF1-1DFA-492C-9F07-1B74F07C586E}" name="Number" dataDxfId="257">
      <calculatedColumnFormula>COUNTIFS(Tbl_Responses[Q2: Cropped Area],"&gt;"&amp;F4,Tbl_Responses[Q2: Cropped Area],"&lt;="&amp;G4,Tbl_Responses[Resp_Group],Agronomist)</calculatedColumnFormula>
    </tableColumn>
    <tableColumn id="5" xr3:uid="{6D40BA49-B2CA-41E5-9A5E-CACD82966834}" name="%" dataDxfId="256" dataCellStyle="Percent">
      <calculatedColumnFormula>I4/SUM(Tbl_Q2[Number])</calculatedColumnFormula>
    </tableColumn>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2487C47-B4D9-4F17-A057-285BF61BD6BE}" name="Tbl_7to10" displayName="Tbl_7to10" ref="BA47:BF53" totalsRowShown="0" headerRowDxfId="171" dataDxfId="170">
  <tableColumns count="6">
    <tableColumn id="1" xr3:uid="{51D84E23-EF8E-4900-9E50-E3DA9F151508}" name="Decision Maker" dataDxfId="169"/>
    <tableColumn id="2" xr3:uid="{F1FA8A12-DE60-41A1-9564-2199A0DF81DF}" name="No._Respondants" dataDxfId="168">
      <calculatedColumnFormula>COUNTIFS(Tbl_Responses[Q7: Who makes the nurtient decisions on your farm (grower only)],$BA48,Tbl_Responses[[Resp_Group]:[Resp_Group]],Grower)</calculatedColumnFormula>
    </tableColumn>
    <tableColumn id="3" xr3:uid="{E3CAA612-286C-47E4-9CAA-4A648985D568}" name="%_Respondants" dataDxfId="167" dataCellStyle="Percent">
      <calculatedColumnFormula>COUNTIFS(Tbl_Responses[Q7: Who makes the nurtient decisions on your farm (grower only)],$BA48,Tbl_Responses[[Resp_Group]:[Resp_Group]],Grower)/COUNTIFS(Tbl_Responses[Q7: Who makes the nurtient decisions on your farm (grower only)],"&gt;""",Tbl_Responses[[Resp_Group]:[Resp_Group]],Grower)</calculatedColumnFormula>
    </tableColumn>
    <tableColumn id="4" xr3:uid="{93CE0AED-A661-41FA-B654-524212365B41}" name="Answer Options" dataDxfId="166"/>
    <tableColumn id="5" xr3:uid="{ECC9BD0C-9302-4390-98F6-34B045B0A950}" name="Q9 Response" dataDxfId="165">
      <calculatedColumnFormula>COUNTIFS(Tbl_Responses[Response6],$BD48,Tbl_Responses[[Resp_Group]:[Resp_Group]],Grower)</calculatedColumnFormula>
    </tableColumn>
    <tableColumn id="6" xr3:uid="{CA363706-094E-4570-ACA7-DBDC18C32A26}" name="Q 10 Response" dataDxfId="164">
      <calculatedColumnFormula>COUNTIFS(Tbl_Responses[Response7],$BD48,Tbl_Responses[[Resp_Group]:[Resp_Group]],Grower)</calculatedColumnFormula>
    </tableColumn>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103D4C1E-8FF4-4F2C-9BC4-65858FE955B3}" name="Tbl_Q14" displayName="Tbl_Q14" ref="BX3:BY6" totalsRowShown="0">
  <tableColumns count="2">
    <tableColumn id="1" xr3:uid="{83BC3784-3C30-45B9-A6AC-5F6CA01E6E29}" name="Test Type"/>
    <tableColumn id="2" xr3:uid="{42E069C2-9DA9-420D-93B3-E00842ADBC70}" name="% of respondants" dataDxfId="163" dataCellStyle="Percent">
      <calculatedColumnFormula>(COUNTIFS(Tbl_Responses[Nitrogen 1 - Type of test],$BX4,Tbl_Responses[[Resp_Group]:[Resp_Group]],Agronomist)+COUNTIFS(Tbl_Responses[Nitrogen 2 - Type of test],$BX4,Tbl_Responses[[Resp_Group]:[Resp_Group]],Agronomist)+COUNTIFS(Tbl_Responses[Nitrogen 3 - Type of test],$BX4,Tbl_Responses[[Resp_Group]:[Resp_Group]],Agronomist))/(COUNTIFS(Tbl_Responses[Nitrogen 1 - Type of test],"&gt;""",Tbl_Responses[[Resp_Group]:[Resp_Group]],Agronomist)+COUNTIFS(Tbl_Responses[Nitrogen 2 - Type of test],"&gt;""",Tbl_Responses[[Resp_Group]:[Resp_Group]],Agronomist)+COUNTIFS(Tbl_Responses[Nitrogen 3 - Type of test],"&gt;""",Tbl_Responses[[Resp_Group]:[Resp_Group]],Agronomist))</calculatedColumnFormula>
    </tableColumn>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5D2F842-7313-4307-A9CD-8DEBB91987CB}" name="Tbl_14_sampling" displayName="Tbl_14_sampling" ref="CB3:CF10" totalsRowShown="0" headerRowDxfId="162" dataDxfId="161" dataCellStyle="Percent">
  <tableColumns count="5">
    <tableColumn id="1" xr3:uid="{9D1DB128-B885-42D1-B50E-99BCE69E7959}" name="Samples per Pdk"/>
    <tableColumn id="2" xr3:uid="{4F6A9CD3-85CF-4EFB-8577-0C8AF06359BF}" name="Organic Carbon" dataDxfId="160" dataCellStyle="Percent">
      <calculatedColumnFormula>(COUNTIFS(Tbl_Responses[Nitrogen 1 - Type of test],Tbl_14_sampling[[#Headers],[Organic Carbon]],Tbl_Responses[Nitrogen 1 - How many representative samples per paddock],$CB4,Tbl_Responses[[Resp_Group]:[Resp_Group]],Agronomist)+COUNTIFS(Tbl_Responses[Nitrogen 2 - Type of test],Tbl_14_sampling[[#Headers],[Organic Carbon]],Tbl_Responses[Nitrogen 2 - How many representative samples per paddock],$CB4,Tbl_Responses[[Resp_Group]:[Resp_Group]],Agronomist)+COUNTIFS(Tbl_Responses[Nitrogen 3 - Type of test],Tbl_14_sampling[[#Headers],[Organic Carbon]],Tbl_Responses[Nitrogen 3 - How many representative samples per paddock],$CB4,Tbl_Responses[[Resp_Group]:[Resp_Group]],Agronomist))/(COUNTIFS(Tbl_Responses[Nitrogen 1 - Type of test],Tbl_14_sampling[[#Headers],[Organic Carbon]],Tbl_Responses[Nitrogen 1 - How many representative samples per paddock],"&gt;""",Tbl_Responses[[Resp_Group]:[Resp_Group]],Agronomist)+COUNTIFS(Tbl_Responses[Nitrogen 2 - Type of test],Tbl_14_sampling[[#Headers],[Organic Carbon]],Tbl_Responses[Nitrogen 2 - How many representative samples per paddock],"&gt;""",Tbl_Responses[[Resp_Group]:[Resp_Group]],Agronomist)+COUNTIFS(Tbl_Responses[Nitrogen 3 - Type of test],Tbl_14_sampling[[#Headers],[Organic Carbon]],Tbl_Responses[Nitrogen 3 - How many representative samples per paddock],"&gt;""",Tbl_Responses[[Resp_Group]:[Resp_Group]],Agronomist))</calculatedColumnFormula>
    </tableColumn>
    <tableColumn id="3" xr3:uid="{9EC2D3F1-D21D-4FA3-8ADE-42C2C1CBC328}" name="Mineral N (Nitrate/Ammonium)" dataDxfId="159" dataCellStyle="Percent">
      <calculatedColumnFormula>(COUNTIFS(Tbl_Responses[Nitrogen 1 - Type of test],Tbl_14_sampling[[#Headers],[Organic Carbon]],Tbl_Responses[Nitrogen 1 - How many representative samples per paddock],$CB4,Tbl_Responses[[Resp_Group]:[Resp_Group]],Agronomist)+COUNTIFS(Tbl_Responses[Nitrogen 2 - Type of test],Tbl_14_sampling[[#Headers],[Organic Carbon]],Tbl_Responses[Nitrogen 2 - How many representative samples per paddock],$CB4,Tbl_Responses[[Resp_Group]:[Resp_Group]],Agronomist)+COUNTIFS(Tbl_Responses[Nitrogen 3 - Type of test],Tbl_14_sampling[[#Headers],[Organic Carbon]],Tbl_Responses[Nitrogen 3 - How many representative samples per paddock],$CB4,Tbl_Responses[[Resp_Group]:[Resp_Group]],Agronomist))/(COUNTIFS(Tbl_Responses[Nitrogen 1 - Type of test],Tbl_14_sampling[[#Headers],[Organic Carbon]],Tbl_Responses[Nitrogen 1 - How many representative samples per paddock],"&gt;""",Tbl_Responses[[Resp_Group]:[Resp_Group]],Agronomist)+COUNTIFS(Tbl_Responses[Nitrogen 2 - Type of test],Tbl_14_sampling[[#Headers],[Organic Carbon]],Tbl_Responses[Nitrogen 2 - How many representative samples per paddock],"&gt;""",Tbl_Responses[[Resp_Group]:[Resp_Group]],Agronomist)+COUNTIFS(Tbl_Responses[Nitrogen 3 - Type of test],Tbl_14_sampling[[#Headers],[Organic Carbon]],Tbl_Responses[Nitrogen 3 - How many representative samples per paddock],"&gt;""",Tbl_Responses[[Resp_Group]:[Resp_Group]],Agronomist))</calculatedColumnFormula>
    </tableColumn>
    <tableColumn id="4" xr3:uid="{D39F250F-C341-42EF-A279-748F348D8383}" name="Total N" dataDxfId="158" dataCellStyle="Percent">
      <calculatedColumnFormula>(COUNTIFS(Tbl_Responses[Nitrogen 1 - Type of test],Tbl_14_sampling[[#Headers],[Organic Carbon]],Tbl_Responses[Nitrogen 1 - How many representative samples per paddock],$CB4,Tbl_Responses[[Resp_Group]:[Resp_Group]],Agronomist)+COUNTIFS(Tbl_Responses[Nitrogen 2 - Type of test],Tbl_14_sampling[[#Headers],[Organic Carbon]],Tbl_Responses[Nitrogen 2 - How many representative samples per paddock],$CB4,Tbl_Responses[[Resp_Group]:[Resp_Group]],Agronomist)+COUNTIFS(Tbl_Responses[Nitrogen 3 - Type of test],Tbl_14_sampling[[#Headers],[Organic Carbon]],Tbl_Responses[Nitrogen 3 - How many representative samples per paddock],$CB4,Tbl_Responses[[Resp_Group]:[Resp_Group]],Agronomist))/(COUNTIFS(Tbl_Responses[Nitrogen 1 - Type of test],Tbl_14_sampling[[#Headers],[Organic Carbon]],Tbl_Responses[Nitrogen 1 - How many representative samples per paddock],"&gt;""",Tbl_Responses[[Resp_Group]:[Resp_Group]],Agronomist)+COUNTIFS(Tbl_Responses[Nitrogen 2 - Type of test],Tbl_14_sampling[[#Headers],[Organic Carbon]],Tbl_Responses[Nitrogen 2 - How many representative samples per paddock],"&gt;""",Tbl_Responses[[Resp_Group]:[Resp_Group]],Agronomist)+COUNTIFS(Tbl_Responses[Nitrogen 3 - Type of test],Tbl_14_sampling[[#Headers],[Organic Carbon]],Tbl_Responses[Nitrogen 3 - How many representative samples per paddock],"&gt;""",Tbl_Responses[[Resp_Group]:[Resp_Group]],Agronomist))</calculatedColumnFormula>
    </tableColumn>
    <tableColumn id="5" xr3:uid="{32B84018-B103-4F93-9907-CACC1B91FF95}" name="N (ALL tests): Ave Samples/Pdk" dataDxfId="157" dataCellStyle="Percent">
      <calculatedColumnFormula>(COUNTIFS(Tbl_Responses[Phosphorus 1 - How many representative samples per paddock],$CB4,Tbl_Responses[[Resp_Group]:[Resp_Group]],Agronomist)+COUNTIFS(Tbl_Responses[Phosphorus 2 - How many representative samples per paddock],$CB4,Tbl_Responses[[Resp_Group]:[Resp_Group]],Agronomist)+COUNTIFS(Tbl_Responses[Phosphorus 3 - How many representative samples per paddock],$CB4,Tbl_Responses[[Resp_Group]:[Resp_Group]],Agronomist))/(COUNTIFS(Tbl_Responses[Phosphorus 1 - How many representative samples per paddock],"&gt;""",Tbl_Responses[[Resp_Group]:[Resp_Group]],Agronomist)+COUNTIFS(Tbl_Responses[Phosphorus 2 - How many representative samples per paddock],"&gt;""",Tbl_Responses[[Resp_Group]:[Resp_Group]],Agronomist)+COUNTIFS(Tbl_Responses[Phosphorus 3 - How many representative samples per paddock],"&gt;""",Tbl_Responses[[Resp_Group]:[Resp_Group]],Agronomist))</calculatedColumnFormula>
    </tableColumn>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77F7C1CE-987A-4D6E-98DA-C3C6496A3F03}" name="Tbl_Q15_sampling" displayName="Tbl_Q15_sampling" ref="CM3:CS10" totalsRowShown="0" headerRowDxfId="156" dataDxfId="155" dataCellStyle="Percent">
  <tableColumns count="7">
    <tableColumn id="1" xr3:uid="{91ACE5E2-059D-4EF7-A605-8B0086EB1015}" name="Samples per Pdk"/>
    <tableColumn id="2" xr3:uid="{ABCC1BF0-A66C-4DC4-A394-51E732BBBDCD}" name="Colwell P" dataDxfId="154" dataCellStyle="Percent">
      <calculatedColumnFormula>(COUNTIFS(Tbl_Responses[Phosphorus 1 - Type of test],Tbl_Q15_sampling[[#Headers],[Colwell P]],Tbl_Responses[Phosphorus 1 - How many representative samples per paddock],$CM4,Tbl_Responses[[Resp_Group]:[Resp_Group]],Agronomist)+COUNTIFS(Tbl_Responses[Phosphorus 2 - Type of test],Tbl_Q15_sampling[[#Headers],[Colwell P]],Tbl_Responses[Phosphorus 2 - How many representative samples per paddock],$CM4,Tbl_Responses[[Resp_Group]:[Resp_Group]],Agronomist)+COUNTIFS(Tbl_Responses[Phosphorus 3 - Type of test],Tbl_Q15_sampling[[#Headers],[Colwell P]],Tbl_Responses[Phosphorus 3 - How many representative samples per paddock],$CM4,Tbl_Responses[[Resp_Group]:[Resp_Group]],Agronomist)+COUNTIFS(Tbl_Responses[Phosphorus 4 - Type of test],Tbl_Q15_sampling[[#Headers],[Colwell P]],Tbl_Responses[Phosphorus 4 - How many representative samples per paddock],$CM4,Tbl_Responses[[Resp_Group]:[Resp_Group]],Agronomist)+COUNTIFS(Tbl_Responses[Phosphorus 5 - Type of test],Tbl_Q15_sampling[[#Headers],[Colwell P]],Tbl_Responses[Phosphorus 5 - How many representative samples per paddock],$CM4,Tbl_Responses[[Resp_Group]:[Resp_Group]],Agronomist))/(COUNTIFS(Tbl_Responses[Phosphorus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calculatedColumnFormula>
    </tableColumn>
    <tableColumn id="3" xr3:uid="{1C97F9FA-7719-484A-A33D-9888D1F7D347}" name="Olsen-Bray P" dataDxfId="153" dataCellStyle="Percent">
      <calculatedColumnFormula>(COUNTIFS(Tbl_Responses[Phosphorus 1 - Type of test],Tbl_Q15_sampling[[#Headers],[Colwell P]],Tbl_Responses[Phosphorus 1 - How many representative samples per paddock],$CM4,Tbl_Responses[[Resp_Group]:[Resp_Group]],Agronomist)+COUNTIFS(Tbl_Responses[Phosphorus 2 - Type of test],Tbl_Q15_sampling[[#Headers],[Colwell P]],Tbl_Responses[Phosphorus 2 - How many representative samples per paddock],$CM4,Tbl_Responses[[Resp_Group]:[Resp_Group]],Agronomist)+COUNTIFS(Tbl_Responses[Phosphorus 3 - Type of test],Tbl_Q15_sampling[[#Headers],[Colwell P]],Tbl_Responses[Phosphorus 3 - How many representative samples per paddock],$CM4,Tbl_Responses[[Resp_Group]:[Resp_Group]],Agronomist)+COUNTIFS(Tbl_Responses[Phosphorus 4 - Type of test],Tbl_Q15_sampling[[#Headers],[Colwell P]],Tbl_Responses[Phosphorus 4 - How many representative samples per paddock],$CM4,Tbl_Responses[[Resp_Group]:[Resp_Group]],Agronomist)+COUNTIFS(Tbl_Responses[Phosphorus 5 - Type of test],Tbl_Q15_sampling[[#Headers],[Colwell P]],Tbl_Responses[Phosphorus 5 - How many representative samples per paddock],$CM4,Tbl_Responses[[Resp_Group]:[Resp_Group]],Agronomist))/(COUNTIFS(Tbl_Responses[Phosphorus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calculatedColumnFormula>
    </tableColumn>
    <tableColumn id="4" xr3:uid="{9DDCB30A-4DB2-4FD4-AC97-D1AFF778F61B}" name="PBI (Phosphorus Buffering Index)" dataDxfId="152" dataCellStyle="Percent">
      <calculatedColumnFormula>(COUNTIFS(Tbl_Responses[Phosphorus 1 - Type of test],Tbl_Q15_sampling[[#Headers],[Colwell P]],Tbl_Responses[Phosphorus 1 - How many representative samples per paddock],$CM4,Tbl_Responses[[Resp_Group]:[Resp_Group]],Agronomist)+COUNTIFS(Tbl_Responses[Phosphorus 2 - Type of test],Tbl_Q15_sampling[[#Headers],[Colwell P]],Tbl_Responses[Phosphorus 2 - How many representative samples per paddock],$CM4,Tbl_Responses[[Resp_Group]:[Resp_Group]],Agronomist)+COUNTIFS(Tbl_Responses[Phosphorus 3 - Type of test],Tbl_Q15_sampling[[#Headers],[Colwell P]],Tbl_Responses[Phosphorus 3 - How many representative samples per paddock],$CM4,Tbl_Responses[[Resp_Group]:[Resp_Group]],Agronomist)+COUNTIFS(Tbl_Responses[Phosphorus 4 - Type of test],Tbl_Q15_sampling[[#Headers],[Colwell P]],Tbl_Responses[Phosphorus 4 - How many representative samples per paddock],$CM4,Tbl_Responses[[Resp_Group]:[Resp_Group]],Agronomist)+COUNTIFS(Tbl_Responses[Phosphorus 5 - Type of test],Tbl_Q15_sampling[[#Headers],[Colwell P]],Tbl_Responses[Phosphorus 5 - How many representative samples per paddock],$CM4,Tbl_Responses[[Resp_Group]:[Resp_Group]],Agronomist))/(COUNTIFS(Tbl_Responses[Phosphorus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calculatedColumnFormula>
    </tableColumn>
    <tableColumn id="5" xr3:uid="{A613FE35-E704-4321-9506-FCE5DB9C3135}" name="DGT" dataDxfId="151" dataCellStyle="Percent">
      <calculatedColumnFormula>(COUNTIFS(Tbl_Responses[Phosphorus 1 - Type of test],Tbl_Q15_sampling[[#Headers],[Colwell P]],Tbl_Responses[Phosphorus 1 - How many representative samples per paddock],$CM4,Tbl_Responses[[Resp_Group]:[Resp_Group]],Agronomist)+COUNTIFS(Tbl_Responses[Phosphorus 2 - Type of test],Tbl_Q15_sampling[[#Headers],[Colwell P]],Tbl_Responses[Phosphorus 2 - How many representative samples per paddock],$CM4,Tbl_Responses[[Resp_Group]:[Resp_Group]],Agronomist)+COUNTIFS(Tbl_Responses[Phosphorus 3 - Type of test],Tbl_Q15_sampling[[#Headers],[Colwell P]],Tbl_Responses[Phosphorus 3 - How many representative samples per paddock],$CM4,Tbl_Responses[[Resp_Group]:[Resp_Group]],Agronomist)+COUNTIFS(Tbl_Responses[Phosphorus 4 - Type of test],Tbl_Q15_sampling[[#Headers],[Colwell P]],Tbl_Responses[Phosphorus 4 - How many representative samples per paddock],$CM4,Tbl_Responses[[Resp_Group]:[Resp_Group]],Agronomist)+COUNTIFS(Tbl_Responses[Phosphorus 5 - Type of test],Tbl_Q15_sampling[[#Headers],[Colwell P]],Tbl_Responses[Phosphorus 5 - How many representative samples per paddock],$CM4,Tbl_Responses[[Resp_Group]:[Resp_Group]],Agronomist))/(COUNTIFS(Tbl_Responses[Phosphorus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calculatedColumnFormula>
    </tableColumn>
    <tableColumn id="6" xr3:uid="{38E34963-9382-494E-9B2D-CEB55C151697}" name="Total P" dataDxfId="150" dataCellStyle="Percent">
      <calculatedColumnFormula>(COUNTIFS(Tbl_Responses[Phosphorus 1 - Type of test],Tbl_Q15_sampling[[#Headers],[Colwell P]],Tbl_Responses[Phosphorus 1 - How many representative samples per paddock],$CM4,Tbl_Responses[[Resp_Group]:[Resp_Group]],Agronomist)+COUNTIFS(Tbl_Responses[Phosphorus 2 - Type of test],Tbl_Q15_sampling[[#Headers],[Colwell P]],Tbl_Responses[Phosphorus 2 - How many representative samples per paddock],$CM4,Tbl_Responses[[Resp_Group]:[Resp_Group]],Agronomist)+COUNTIFS(Tbl_Responses[Phosphorus 3 - Type of test],Tbl_Q15_sampling[[#Headers],[Colwell P]],Tbl_Responses[Phosphorus 3 - How many representative samples per paddock],$CM4,Tbl_Responses[[Resp_Group]:[Resp_Group]],Agronomist)+COUNTIFS(Tbl_Responses[Phosphorus 4 - Type of test],Tbl_Q15_sampling[[#Headers],[Colwell P]],Tbl_Responses[Phosphorus 4 - How many representative samples per paddock],$CM4,Tbl_Responses[[Resp_Group]:[Resp_Group]],Agronomist)+COUNTIFS(Tbl_Responses[Phosphorus 5 - Type of test],Tbl_Q15_sampling[[#Headers],[Colwell P]],Tbl_Responses[Phosphorus 5 - How many representative samples per paddock],$CM4,Tbl_Responses[[Resp_Group]:[Resp_Group]],Agronomist))/(COUNTIFS(Tbl_Responses[Phosphorus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calculatedColumnFormula>
    </tableColumn>
    <tableColumn id="7" xr3:uid="{DCC69AB7-5033-4F00-9992-9CB75226FD9D}" name="P (ALL tests): Ave Samples/Pdk" dataDxfId="149" dataCellStyle="Percent">
      <calculatedColumnFormula>(COUNTIFS(Tbl_Responses[Phosphorus 1 - How many representative samples per paddock],$CM4,Tbl_Responses[[Resp_Group]:[Resp_Group]],Agronomist)+COUNTIFS(Tbl_Responses[Phosphorus 2 - How many representative samples per paddock],$CM4,Tbl_Responses[[Resp_Group]:[Resp_Group]],Agronomist)+COUNTIFS(Tbl_Responses[Phosphorus 3 - How many representative samples per paddock],$CM4,Tbl_Responses[[Resp_Group]:[Resp_Group]],Agronomist)+COUNTIFS(Tbl_Responses[Phosphorus 4 - How many representative samples per paddock],$CM4,Tbl_Responses[[Resp_Group]:[Resp_Group]],Agronomist)+COUNTIFS(Tbl_Responses[Phosphorus 5 - How many representative samples per paddock],$CM4,Tbl_Responses[[Resp_Group]:[Resp_Group]],Agronomist))/(COUNTIFS(Tbl_Responses[Phosphorus 1 - How many representative samples per paddock],"&gt;""",Tbl_Responses[[Resp_Group]:[Resp_Group]],Agronomist)+COUNTIFS(Tbl_Responses[Phosphorus 2 - How many representative samples per paddock],"&gt;""",Tbl_Responses[[Resp_Group]:[Resp_Group]],Agronomist)+COUNTIFS(Tbl_Responses[Phosphorus 3 - How many representative samples per paddock],"&gt;""",Tbl_Responses[[Resp_Group]:[Resp_Group]],Agronomist)+COUNTIFS(Tbl_Responses[Phosphorus 4 - How many representative samples per paddock],"&gt;""",Tbl_Responses[[Resp_Group]:[Resp_Group]],Agronomist)+COUNTIFS(Tbl_Responses[Phosphorus 5 - How many representative samples per paddock],"&gt;""",Tbl_Responses[[Resp_Group]:[Resp_Group]],Agronomist))</calculatedColumnFormula>
    </tableColumn>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FEA8D10-78CB-4F71-BB77-5B4164A47F09}" name="Tbl_Q16_sampling" displayName="Tbl_Q16_sampling" ref="CZ3:DC10" totalsRowShown="0">
  <tableColumns count="4">
    <tableColumn id="1" xr3:uid="{2F4512DB-1318-426E-AF08-15ED630ADB56}" name="Samples per Pdk"/>
    <tableColumn id="2" xr3:uid="{97F189F8-50C6-49F7-B160-182DE4943AF7}" name="Colwell K" dataDxfId="148" dataCellStyle="Percent">
      <calculatedColumnFormula>(COUNTIFS(Tbl_Responses[Potassium 1 - Type of test],Tbl_Q16_sampling[[#Headers],[Colwell K]],Tbl_Responses[Potassium 1 - How many representative samples per paddock],$CZ4,Tbl_Responses[[Resp_Group]:[Resp_Group]],Agronomist)+COUNTIFS(Tbl_Responses[Potassium 2 - Type of test],Tbl_Q16_sampling[[#Headers],[Colwell K]],Tbl_Responses[Potassium 2 - How many representative samples per paddock],$CZ4,Tbl_Responses[[Resp_Group]:[Resp_Group]],Agronomist)+COUNTIFS(Tbl_Responses[Potassium 3 - Type of test],Tbl_Q16_sampling[[#Headers],[Colwell K]],Tbl_Responses[Potassium 3 - How many representative samples per paddock],$CZ4,Tbl_Responses[[Resp_Group]:[Resp_Group]],Agronomist))/(COUNTIFS(Tbl_Responses[Potassium 1 - Type of test],Tbl_Q16_sampling[[#Headers],[Colwell K]],Tbl_Responses[Potassium 1 - How many representative samples per paddock],"&gt;""",Tbl_Responses[[Resp_Group]:[Resp_Group]],Agronomist)+COUNTIFS(Tbl_Responses[Potassium 2 - Type of test],Tbl_Q16_sampling[[#Headers],[Colwell K]],Tbl_Responses[Potassium 2 - How many representative samples per paddock],"&gt;""",Tbl_Responses[[Resp_Group]:[Resp_Group]],Agronomist)+COUNTIFS(Tbl_Responses[Potassium 3 - Type of test],Tbl_Q16_sampling[[#Headers],[Colwell K]],Tbl_Responses[Potassium 3 - How many representative samples per paddock],"&gt;""",Tbl_Responses[[Resp_Group]:[Resp_Group]],Agronomist))</calculatedColumnFormula>
    </tableColumn>
    <tableColumn id="3" xr3:uid="{4715CB91-A308-4BDC-8472-F5A7F70A5F00}" name="Exchangable Cations (Ca, Mg, K, Na)" dataDxfId="147" dataCellStyle="Percent">
      <calculatedColumnFormula>(COUNTIFS(Tbl_Responses[Potassium 1 - Type of test],Tbl_Q16_sampling[[#Headers],[Colwell K]],Tbl_Responses[Potassium 1 - How many representative samples per paddock],$CZ4,Tbl_Responses[[Resp_Group]:[Resp_Group]],Agronomist)+COUNTIFS(Tbl_Responses[Potassium 2 - Type of test],Tbl_Q16_sampling[[#Headers],[Colwell K]],Tbl_Responses[Potassium 2 - How many representative samples per paddock],$CZ4,Tbl_Responses[[Resp_Group]:[Resp_Group]],Agronomist)+COUNTIFS(Tbl_Responses[Potassium 3 - Type of test],Tbl_Q16_sampling[[#Headers],[Colwell K]],Tbl_Responses[Potassium 3 - How many representative samples per paddock],$CZ4,Tbl_Responses[[Resp_Group]:[Resp_Group]],Agronomist))/(COUNTIFS(Tbl_Responses[Potassium 1 - Type of test],Tbl_Q16_sampling[[#Headers],[Colwell K]],Tbl_Responses[Potassium 1 - How many representative samples per paddock],"&gt;""",Tbl_Responses[[Resp_Group]:[Resp_Group]],Agronomist)+COUNTIFS(Tbl_Responses[Potassium 2 - Type of test],Tbl_Q16_sampling[[#Headers],[Colwell K]],Tbl_Responses[Potassium 2 - How many representative samples per paddock],"&gt;""",Tbl_Responses[[Resp_Group]:[Resp_Group]],Agronomist)+COUNTIFS(Tbl_Responses[Potassium 3 - Type of test],Tbl_Q16_sampling[[#Headers],[Colwell K]],Tbl_Responses[Potassium 3 - How many representative samples per paddock],"&gt;""",Tbl_Responses[[Resp_Group]:[Resp_Group]],Agronomist))</calculatedColumnFormula>
    </tableColumn>
    <tableColumn id="4" xr3:uid="{C6F6AD40-D183-4592-AD5A-8F4C7EFCF41E}" name="K (ALL tests): Ave Samples/Pdk" dataDxfId="146" dataCellStyle="Percent">
      <calculatedColumnFormula>(COUNTIFS(Tbl_Responses[Nitrogen 1 - How many representative samples per paddock],$CZ4,Tbl_Responses[[Resp_Group]:[Resp_Group]],Agronomist)+COUNTIFS(Tbl_Responses[Nitrogen 2 - How many representative samples per paddock],$CZ4,Tbl_Responses[[Resp_Group]:[Resp_Group]],Agronomist)+COUNTIFS(Tbl_Responses[Nitrogen 3 - How many representative samples per paddock],$CZ4,Tbl_Responses[[Resp_Group]:[Resp_Group]],Agronomist))/(COUNTIFS(Tbl_Responses[Nitrogen 1 - How many representative samples per paddock],"&gt;""",Tbl_Responses[[Resp_Group]:[Resp_Group]],Agronomist)+COUNTIFS(Tbl_Responses[Nitrogen 2 - How many representative samples per paddock],"&gt;""",Tbl_Responses[[Resp_Group]:[Resp_Group]],Agronomist)+COUNTIFS(Tbl_Responses[Nitrogen 3 - How many representative samples per paddock],"&gt;""",Tbl_Responses[[Resp_Group]:[Resp_Group]],Agronomist))</calculatedColumnFormula>
    </tableColumn>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9F151C9-80E4-4ABD-92DF-B1BA79962D22}" name="Tbl_Q17_sampling" displayName="Tbl_Q17_sampling" ref="DJ3:DV10" totalsRowShown="0" headerRowDxfId="145" dataDxfId="144" dataCellStyle="Percent">
  <tableColumns count="13">
    <tableColumn id="1" xr3:uid="{6A17D375-5FC0-47A5-8039-BF1EC7BCC03E}" name="Samples per Pdk"/>
    <tableColumn id="2" xr3:uid="{06D5BF35-EE7B-4332-9937-3EAF9F5328D9}" name="pH" dataDxfId="143" dataCellStyle="Percent">
      <calculatedColumnFormula>(COUNTIFS(Tbl_Responses[1 -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calculatedColumnFormula>
    </tableColumn>
    <tableColumn id="3" xr3:uid="{55B11D9C-6BAB-43C9-B46E-D3C80F06E05A}" name="Trace elements (DTPA) Cu, Zn, Mg, Fe" dataDxfId="142" dataCellStyle="Percent">
      <calculatedColumnFormula>(COUNTIFS(Tbl_Responses[1 -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calculatedColumnFormula>
    </tableColumn>
    <tableColumn id="4" xr3:uid="{42CBEA58-27B7-41FF-9842-6E2E01031D2F}" name="Trace elements (EDTA) Cu, Zn, Mg, Fe" dataDxfId="141" dataCellStyle="Percent">
      <calculatedColumnFormula>(COUNTIFS(Tbl_Responses[1 -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calculatedColumnFormula>
    </tableColumn>
    <tableColumn id="5" xr3:uid="{5C8E06DD-B708-480A-A9EC-1D38FD49935E}" name="Exchangable cations - Ca, Mg, Na, K" dataDxfId="140" dataCellStyle="Percent">
      <calculatedColumnFormula>(COUNTIFS(Tbl_Responses[1 -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calculatedColumnFormula>
    </tableColumn>
    <tableColumn id="6" xr3:uid="{00DAF779-6C4B-45D2-8096-D82BA54770C2}" name="Texture" dataDxfId="139" dataCellStyle="Percent">
      <calculatedColumnFormula>(COUNTIFS(Tbl_Responses[1 -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calculatedColumnFormula>
    </tableColumn>
    <tableColumn id="7" xr3:uid="{C2BF3C25-24BA-409F-84AD-B930AF6E974A}" name="Aluminium (CaCl2)" dataDxfId="138" dataCellStyle="Percent">
      <calculatedColumnFormula>(COUNTIFS(Tbl_Responses[1 -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calculatedColumnFormula>
    </tableColumn>
    <tableColumn id="8" xr3:uid="{328F98B7-C145-45D6-9501-EFCEA97B9581}" name="Chloride" dataDxfId="137" dataCellStyle="Percent">
      <calculatedColumnFormula>(COUNTIFS(Tbl_Responses[1 -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calculatedColumnFormula>
    </tableColumn>
    <tableColumn id="9" xr3:uid="{62C46840-E073-4645-A42C-2D68C883DE15}" name="Boron" dataDxfId="136" dataCellStyle="Percent">
      <calculatedColumnFormula>(COUNTIFS(Tbl_Responses[1 -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calculatedColumnFormula>
    </tableColumn>
    <tableColumn id="10" xr3:uid="{66A6D969-9C64-4B1D-89A4-A72CA6228AFF}" name="Sulfur (KCl40)" dataDxfId="135" dataCellStyle="Percent">
      <calculatedColumnFormula>(COUNTIFS(Tbl_Responses[1 -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calculatedColumnFormula>
    </tableColumn>
    <tableColumn id="11" xr3:uid="{72278246-A964-436B-A25F-1BC976359327}" name="Calcium carbonate %" dataDxfId="134" dataCellStyle="Percent">
      <calculatedColumnFormula>(COUNTIFS(Tbl_Responses[1 -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calculatedColumnFormula>
    </tableColumn>
    <tableColumn id="12" xr3:uid="{3AC4081B-D283-4D42-9360-D5849C154DB1}" name="Sulfur (MCP)" dataDxfId="133" dataCellStyle="Percent">
      <calculatedColumnFormula>(COUNTIFS(Tbl_Responses[1 -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calculatedColumnFormula>
    </tableColumn>
    <tableColumn id="13" xr3:uid="{CFAB228E-A9DD-4037-8FAF-51732FB8399C}" name="K (ALL tests): Ave Samples/Pdk" dataDxfId="132" dataCellStyle="Percent">
      <calculatedColumnFormula>(COUNTIFS(Tbl_Responses[1 - How many cores per paddock],$DJ4,Tbl_Responses[[Resp_Group]:[Resp_Group]],Agronomist)+COUNTIFS(Tbl_Responses[2 - How many cores per paddock],$DJ4,Tbl_Responses[[Resp_Group]:[Resp_Group]],Agronomist)+COUNTIFS(Tbl_Responses[3 - How many cores per paddock],$DJ4,Tbl_Responses[[Resp_Group]:[Resp_Group]],Agronomist)+COUNTIFS(Tbl_Responses[4 - How many cores per paddock],$DJ4,Tbl_Responses[[Resp_Group]:[Resp_Group]],Agronomist)+COUNTIFS(Tbl_Responses[5 - How many cores per paddock],$DJ4,Tbl_Responses[[Resp_Group]:[Resp_Group]],Agronomist)+COUNTIFS(Tbl_Responses[6 - How many cores per paddock],$DJ4,Tbl_Responses[[Resp_Group]:[Resp_Group]],Agronomist)+COUNTIFS(Tbl_Responses[7 - How many cores per paddock],$DJ4,Tbl_Responses[[Resp_Group]:[Resp_Group]],Agronomist))/(COUNTIFS(Tbl_Responses[1 - How many cores per paddock],"&gt;""",Tbl_Responses[[Resp_Group]:[Resp_Group]],Agronomist)+COUNTIFS(Tbl_Responses[2 - How many cores per paddock],"&gt;""",Tbl_Responses[[Resp_Group]:[Resp_Group]],Agronomist)+COUNTIFS(Tbl_Responses[3 - How many cores per paddock],"&gt;""",Tbl_Responses[[Resp_Group]:[Resp_Group]],Agronomist)+COUNTIFS(Tbl_Responses[4 - How many cores per paddock],"&gt;""",Tbl_Responses[[Resp_Group]:[Resp_Group]],Agronomist)+COUNTIFS(Tbl_Responses[5 - How many cores per paddock],"&gt;""",Tbl_Responses[[Resp_Group]:[Resp_Group]],Agronomist)+COUNTIFS(Tbl_Responses[6 - How many cores per paddock],"&gt;""",Tbl_Responses[[Resp_Group]:[Resp_Group]],Agronomist)+COUNTIFS(Tbl_Responses[7 - How many cores per paddock],"&gt;""",Tbl_Responses[[Resp_Group]:[Resp_Group]],Agronomist))</calculatedColumnFormula>
    </tableColumn>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9A4FA8B-C17E-458F-B90C-E71CB103D826}" name="Tbl_Q15" displayName="Tbl_Q15" ref="CI3:CJ8" totalsRowShown="0" headerRowDxfId="131" dataDxfId="130" dataCellStyle="Percent">
  <tableColumns count="2">
    <tableColumn id="1" xr3:uid="{D0B636B9-789C-4315-8952-064240A7ED99}" name="Test Type" dataDxfId="129" dataCellStyle="Percent"/>
    <tableColumn id="2" xr3:uid="{362CEDF5-6FF7-43CE-90F8-31689313A14F}" name="% of respondants" dataDxfId="128" dataCellStyle="Percent">
      <calculatedColumnFormula>(COUNTIFS(Tbl_Responses[Phosphorus 1 - Type of test],CI4,Tbl_Responses[[Resp_Group]:[Resp_Group]],Agronomist)+COUNTIFS(Tbl_Responses[Phosphorus 2 - Type of test],CI4,Tbl_Responses[[Resp_Group]:[Resp_Group]],Agronomist)+COUNTIFS(Tbl_Responses[Phosphorus 3 - Type of test],CI4,Tbl_Responses[[Resp_Group]:[Resp_Group]],Agronomist)+COUNTIFS(Tbl_Responses[Phosphorus 4 - Type of test],CI4,Tbl_Responses[[Resp_Group]:[Resp_Group]],Agronomist)+COUNTIFS(Tbl_Responses[Phosphorus 5 - Type of test],CI4,Tbl_Responses[[Resp_Group]:[Resp_Group]],Agronomist))/(COUNTIFS(Tbl_Responses[Phosphorus 1 - Type of test],"&gt;""",Tbl_Responses[[Resp_Group]:[Resp_Group]],Agronomist)+COUNTIFS(Tbl_Responses[Phosphorus 2 - Type of test],"&gt;""",Tbl_Responses[[Resp_Group]:[Resp_Group]],Agronomist)+COUNTIFS(Tbl_Responses[Phosphorus 3 - Type of test],"&gt;""",Tbl_Responses[[Resp_Group]:[Resp_Group]],Agronomist)+COUNTIFS(Tbl_Responses[Phosphorus 4 - Type of test],"&gt;""",Tbl_Responses[[Resp_Group]:[Resp_Group]],Agronomist)+COUNTIFS(Tbl_Responses[Phosphorus 5 - Type of test],"&gt;""",Tbl_Responses[[Resp_Group]:[Resp_Group]],Agronomist))</calculatedColumnFormula>
    </tableColumn>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805F345F-DFC9-484F-A9A7-8D79D5BC051B}" name="Tbl_Q16" displayName="Tbl_Q16" ref="CV3:CW5" totalsRowShown="0" headerRowDxfId="127" dataDxfId="126" dataCellStyle="Percent">
  <tableColumns count="2">
    <tableColumn id="1" xr3:uid="{26F8ED02-DBC2-4954-844D-6B9F18D2685E}" name="Test Type" dataDxfId="125" dataCellStyle="Percent"/>
    <tableColumn id="2" xr3:uid="{2109F1D3-762F-496A-8879-30EC083AAD66}" name="% of respondants" dataDxfId="124" dataCellStyle="Percent">
      <calculatedColumnFormula>(COUNTIFS(Tbl_Responses[Potassium 1 - Type of test],$CV4,Tbl_Responses[[Resp_Group]:[Resp_Group]],Agronomist)+COUNTIFS(Tbl_Responses[Potassium 2 - Type of test],$CV4,Tbl_Responses[[Resp_Group]:[Resp_Group]],Agronomist)+COUNTIFS(Tbl_Responses[Potassium 3 - Type of test],$CV4,Tbl_Responses[[Resp_Group]:[Resp_Group]],Agronomist))/(COUNTIFS(Tbl_Responses[Potassium 1 - Type of test],"&gt;""",Tbl_Responses[[Resp_Group]:[Resp_Group]],Agronomist)+COUNTIFS(Tbl_Responses[Potassium 2 - Type of test],"&gt;""",Tbl_Responses[[Resp_Group]:[Resp_Group]],Agronomist)+COUNTIFS(Tbl_Responses[Potassium 3 - Type of test],"&gt;""",Tbl_Responses[[Resp_Group]:[Resp_Group]],Agronomist))</calculatedColumnFormula>
    </tableColumn>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0D4FFA9-F9A1-4838-A72F-C3CE38BB256C}" name="Tbl_Q17" displayName="Tbl_Q17" ref="DF3:DG14" totalsRowShown="0" headerRowDxfId="123" dataDxfId="122" dataCellStyle="Percent">
  <tableColumns count="2">
    <tableColumn id="1" xr3:uid="{B8639F0D-B5ED-4300-8A18-EC0D60B5B516}" name="Test Type" dataDxfId="121" dataCellStyle="Percent"/>
    <tableColumn id="2" xr3:uid="{7C20EE6F-59DE-40BA-9FF1-508ADCB3BED1}" name="% of respondants" dataDxfId="120" dataCellStyle="Percent">
      <calculatedColumnFormula>(COUNTIFS(Tbl_Responses[1 - Type of test],DF4,Tbl_Responses[[Resp_Group]:[Resp_Group]],Agronomist)+COUNTIFS(Tbl_Responses[2 - Type of test],DF4,Tbl_Responses[[Resp_Group]:[Resp_Group]],Agronomist)+COUNTIFS(Tbl_Responses[3 - Type of test],DF4,Tbl_Responses[[Resp_Group]:[Resp_Group]],Agronomist)+COUNTIFS(Tbl_Responses[4 - Type of test],DF4,Tbl_Responses[[Resp_Group]:[Resp_Group]],Agronomist)+COUNTIFS(Tbl_Responses[5 - Type of test],DF4,Tbl_Responses[[Resp_Group]:[Resp_Group]],Agronomist))/(COUNTIFS(Tbl_Responses[1 -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calculatedColumnFormula>
    </tableColumn>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6772852B-2093-427C-B34F-30C4739C8D50}" name="Tbl_Q1432" displayName="Tbl_Q1432" ref="BX47:BY50" totalsRowShown="0">
  <tableColumns count="2">
    <tableColumn id="1" xr3:uid="{B233E4FC-344B-4ABC-99AC-AC9D1D23881C}" name="Test Type"/>
    <tableColumn id="2" xr3:uid="{4A2D21B6-E442-4C44-AE90-7EFE88B4F763}" name="% of respondants" dataDxfId="119" dataCellStyle="Percent">
      <calculatedColumnFormula>(COUNTIFS(Tbl_Responses[Nitrogen 1 - Type of test],$BX48,Tbl_Responses[[Resp_Group]:[Resp_Group]],Agronomist)+COUNTIFS(Tbl_Responses[Nitrogen 2 - Type of test],$BX48,Tbl_Responses[[Resp_Group]:[Resp_Group]],Agronomist)+COUNTIFS(Tbl_Responses[Nitrogen 3 - Type of test],$BX48,Tbl_Responses[[Resp_Group]:[Resp_Group]],Agronomist))/(COUNTIFS(Tbl_Responses[Nitrogen 1 - Type of test],"&gt;""",Tbl_Responses[[Resp_Group]:[Resp_Group]],Agronomist)+COUNTIFS(Tbl_Responses[Nitrogen 2 - Type of test],"&gt;""",Tbl_Responses[[Resp_Group]:[Resp_Group]],Agronomist)+COUNTIFS(Tbl_Responses[Nitrogen 3 - Type of test],"&gt;""",Tbl_Responses[[Resp_Group]:[Resp_Group]],Agronomist))</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1AB610-B125-4AE2-AC8D-9F54E86576F8}" name="Tbl_Q3" displayName="Tbl_Q3" ref="M3:P9" totalsRowShown="0">
  <tableColumns count="4">
    <tableColumn id="1" xr3:uid="{5653F11A-4687-4CC6-BD9B-117A32923FD5}" name="Crop"/>
    <tableColumn id="2" xr3:uid="{53BDEAEF-34FF-4B02-B8A7-C092D5DEB9AE}" name="Ave %" dataDxfId="255" dataCellStyle="Percent"/>
    <tableColumn id="3" xr3:uid="{3AE170C2-313E-4D60-B872-5980AC96D2CB}" name="Weighted Area" dataDxfId="254"/>
    <tableColumn id="4" xr3:uid="{69FE408E-38C3-4967-A1EF-F8B236F8F594}" name="Weighted %" dataDxfId="253" dataCellStyle="Percent">
      <calculatedColumnFormula>O4/SUM($O$4:$O$9)</calculatedColumnFormula>
    </tableColumn>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AD043883-6596-469C-94CB-623B0698C960}" name="Tbl_14_sampling33" displayName="Tbl_14_sampling33" ref="CB47:CF54" totalsRowShown="0" headerRowDxfId="118" dataDxfId="117" dataCellStyle="Percent">
  <tableColumns count="5">
    <tableColumn id="1" xr3:uid="{F975CB87-938C-45A6-AF72-97904F2609B7}" name="Samples per Pdk"/>
    <tableColumn id="2" xr3:uid="{3CC1B0A8-6C16-4A1B-9930-FF537B8F4CA8}" name="Organic Carbon" dataDxfId="116" dataCellStyle="Percent">
      <calculatedColumnFormula>(COUNTIFS(Tbl_Responses[Nitrogen 1 - Type of test],Tbl_14_sampling33[[#Headers],[Organic Carbon]],Tbl_Responses[Nitrogen 1 - How many representative samples per paddock],$CB48,Tbl_Responses[[Resp_Group]:[Resp_Group]],Agronomist)+COUNTIFS(Tbl_Responses[Nitrogen 2 - Type of test],Tbl_14_sampling33[[#Headers],[Organic Carbon]],Tbl_Responses[Nitrogen 2 - How many representative samples per paddock],$CB48,Tbl_Responses[[Resp_Group]:[Resp_Group]],Agronomist)+COUNTIFS(Tbl_Responses[Nitrogen 3 - Type of test],Tbl_14_sampling33[[#Headers],[Organic Carbon]],Tbl_Responses[Nitrogen 3 - How many representative samples per paddock],$CB48,Tbl_Responses[[Resp_Group]:[Resp_Group]],Agronomist))/(COUNTIFS(Tbl_Responses[Nitrogen 1 - Type of test],Tbl_14_sampling33[[#Headers],[Organic Carbon]],Tbl_Responses[Nitrogen 1 - How many representative samples per paddock],"&gt;""",Tbl_Responses[[Resp_Group]:[Resp_Group]],Agronomist)+COUNTIFS(Tbl_Responses[Nitrogen 2 - Type of test],Tbl_14_sampling33[[#Headers],[Organic Carbon]],Tbl_Responses[Nitrogen 2 - How many representative samples per paddock],"&gt;""",Tbl_Responses[[Resp_Group]:[Resp_Group]],Agronomist)+COUNTIFS(Tbl_Responses[Nitrogen 3 - Type of test],Tbl_14_sampling33[[#Headers],[Organic Carbon]],Tbl_Responses[Nitrogen 3 - How many representative samples per paddock],"&gt;""",Tbl_Responses[[Resp_Group]:[Resp_Group]],Agronomist))</calculatedColumnFormula>
    </tableColumn>
    <tableColumn id="3" xr3:uid="{0AC6AAC4-6C22-4447-B68C-04922249A50A}" name="Mineral N (Nitrate/Ammonium)" dataDxfId="115" dataCellStyle="Percent">
      <calculatedColumnFormula>(COUNTIFS(Tbl_Responses[Nitrogen 1 - Type of test],Tbl_14_sampling33[[#Headers],[Mineral N (Nitrate/Ammonium)]],Tbl_Responses[Nitrogen 1 - How many representative samples per paddock],$CB48,Tbl_Responses[[Resp_Group]:[Resp_Group]],Agronomist)+COUNTIFS(Tbl_Responses[Nitrogen 2 - Type of test],Tbl_14_sampling33[[#Headers],[Mineral N (Nitrate/Ammonium)]],Tbl_Responses[Nitrogen 2 - How many representative samples per paddock],$CB48,Tbl_Responses[[Resp_Group]:[Resp_Group]],Agronomist)+COUNTIFS(Tbl_Responses[Nitrogen 3 - Type of test],Tbl_14_sampling33[[#Headers],[Mineral N (Nitrate/Ammonium)]],Tbl_Responses[Nitrogen 3 - How many representative samples per paddock],$CB48,Tbl_Responses[[Resp_Group]:[Resp_Group]],Agronomist))/(COUNTIFS(Tbl_Responses[Nitrogen 1 - Type of test],Tbl_14_sampling33[[#Headers],[Mineral N (Nitrate/Ammonium)]],Tbl_Responses[Nitrogen 1 - How many representative samples per paddock],"&gt;""",Tbl_Responses[[Resp_Group]:[Resp_Group]],Agronomist)+COUNTIFS(Tbl_Responses[Nitrogen 2 - Type of test],Tbl_14_sampling33[[#Headers],[Mineral N (Nitrate/Ammonium)]],Tbl_Responses[Nitrogen 2 - How many representative samples per paddock],"&gt;""",Tbl_Responses[[Resp_Group]:[Resp_Group]],Agronomist)+COUNTIFS(Tbl_Responses[Nitrogen 3 - Type of test],Tbl_14_sampling33[[#Headers],[Mineral N (Nitrate/Ammonium)]],Tbl_Responses[Nitrogen 3 - How many representative samples per paddock],"&gt;""",Tbl_Responses[[Resp_Group]:[Resp_Group]],Agronomist))</calculatedColumnFormula>
    </tableColumn>
    <tableColumn id="4" xr3:uid="{47C5B043-62D0-4CBB-938E-E7AB77D042CC}" name="Total N" dataDxfId="114" dataCellStyle="Percent">
      <calculatedColumnFormula>(COUNTIFS(Tbl_Responses[Nitrogen 1 - Type of test],Tbl_14_sampling33[[#Headers],[Total N]],Tbl_Responses[Nitrogen 1 - How many representative samples per paddock],$CB48,Tbl_Responses[[Resp_Group]:[Resp_Group]],Agronomist)+COUNTIFS(Tbl_Responses[Nitrogen 2 - Type of test],Tbl_14_sampling33[[#Headers],[Total N]],Tbl_Responses[Nitrogen 2 - How many representative samples per paddock],$CB48,Tbl_Responses[[Resp_Group]:[Resp_Group]],Agronomist)+COUNTIFS(Tbl_Responses[Nitrogen 3 - Type of test],Tbl_14_sampling33[[#Headers],[Total N]],Tbl_Responses[Nitrogen 3 - How many representative samples per paddock],$CB48,Tbl_Responses[[Resp_Group]:[Resp_Group]],Agronomist))/(COUNTIFS(Tbl_Responses[Nitrogen 1 - Type of test],Tbl_14_sampling33[[#Headers],[Total N]],Tbl_Responses[Nitrogen 1 - How many representative samples per paddock],"&gt;""",Tbl_Responses[[Resp_Group]:[Resp_Group]],Agronomist)+COUNTIFS(Tbl_Responses[Nitrogen 2 - Type of test],Tbl_14_sampling33[[#Headers],[Total N]],Tbl_Responses[Nitrogen 2 - How many representative samples per paddock],"&gt;""",Tbl_Responses[[Resp_Group]:[Resp_Group]],Agronomist)+COUNTIFS(Tbl_Responses[Nitrogen 3 - Type of test],Tbl_14_sampling33[[#Headers],[Total N]],Tbl_Responses[Nitrogen 3 - How many representative samples per paddock],"&gt;""",Tbl_Responses[[Resp_Group]:[Resp_Group]],Agronomist))</calculatedColumnFormula>
    </tableColumn>
    <tableColumn id="5" xr3:uid="{B23FF2AE-A151-43DF-9FF4-B5D5721FD0E5}" name="N (ALL tests): Ave Samples/Pdk" dataDxfId="113" dataCellStyle="Percent">
      <calculatedColumnFormula>(COUNTIFS(Tbl_Responses[Nitrogen 1 - How many representative samples per paddock],$CB48,Tbl_Responses[[Resp_Group]:[Resp_Group]],Agronomist)+COUNTIFS(Tbl_Responses[Nitrogen 2 - How many representative samples per paddock],$CB48,Tbl_Responses[[Resp_Group]:[Resp_Group]],Agronomist)+COUNTIFS(Tbl_Responses[Nitrogen 3 - How many representative samples per paddock],$CB48,Tbl_Responses[[Resp_Group]:[Resp_Group]],Agronomist))/(COUNTIFS(Tbl_Responses[Nitrogen 1 - How many representative samples per paddock],"&gt;""",Tbl_Responses[[Resp_Group]:[Resp_Group]],Agronomist)+COUNTIFS(Tbl_Responses[Nitrogen 2 - How many representative samples per paddock],"&gt;""",Tbl_Responses[[Resp_Group]:[Resp_Group]],Agronomist)+COUNTIFS(Tbl_Responses[Nitrogen 3 - How many representative samples per paddock],"&gt;""",Tbl_Responses[[Resp_Group]:[Resp_Group]],Agronomist))</calculatedColumnFormula>
    </tableColumn>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5374624-66FC-43C8-8FB5-8FE04196BE93}" name="Tbl_Q15_sampling34" displayName="Tbl_Q15_sampling34" ref="CM47:CS54" totalsRowShown="0" headerRowDxfId="112" dataDxfId="111" dataCellStyle="Percent">
  <tableColumns count="7">
    <tableColumn id="1" xr3:uid="{73A1C6E7-1C3E-46C3-9F57-C39E92A6E03F}" name="Samples per Pdk"/>
    <tableColumn id="2" xr3:uid="{7431494C-869D-49C3-8BE0-AA85372A6B44}" name="Colwell P" dataDxfId="110" dataCellStyle="Percent">
      <calculatedColumnFormula>(COUNTIFS(Tbl_Responses[Phosphorus 1 - Type of test],Tbl_Q15_sampling34[[#Headers],[Colwell P]],Tbl_Responses[Phosphorus 1 - How many representative samples per paddock],$CM48,Tbl_Responses[[Resp_Group]:[Resp_Group]],Agronomist)+COUNTIFS(Tbl_Responses[Phosphorus 2 - Type of test],Tbl_Q15_sampling34[[#Headers],[Colwell P]],Tbl_Responses[Phosphorus 2 - How many representative samples per paddock],$CM48,Tbl_Responses[[Resp_Group]:[Resp_Group]],Agronomist)+COUNTIFS(Tbl_Responses[Phosphorus 3 - Type of test],Tbl_Q15_sampling34[[#Headers],[Colwell P]],Tbl_Responses[Phosphorus 3 - How many representative samples per paddock],$CM48,Tbl_Responses[[Resp_Group]:[Resp_Group]],Agronomist)+COUNTIFS(Tbl_Responses[Phosphorus 4 - Type of test],Tbl_Q15_sampling34[[#Headers],[Colwell P]],Tbl_Responses[Phosphorus 4 - How many representative samples per paddock],$CM48,Tbl_Responses[[Resp_Group]:[Resp_Group]],Agronomist)+COUNTIFS(Tbl_Responses[Phosphorus 5 - Type of test],Tbl_Q15_sampling34[[#Headers],[Colwell P]],Tbl_Responses[Phosphorus 5 - How many representative samples per paddock],$CM48,Tbl_Responses[[Resp_Group]:[Resp_Group]],Agronomist))/(COUNTIFS(Tbl_Responses[Phosphorus 1 - Type of test],Tbl_Q15_sampling34[[#Headers],[Colwell P]],Tbl_Responses[Phosphorus 1 - How many representative samples per paddock],"&gt;""",Tbl_Responses[[Resp_Group]:[Resp_Group]],Agronomist)+COUNTIFS(Tbl_Responses[Phosphorus 2 - Type of test],Tbl_Q15_sampling34[[#Headers],[Colwell P]],Tbl_Responses[Phosphorus 2 - How many representative samples per paddock],"&gt;""",Tbl_Responses[[Resp_Group]:[Resp_Group]],Agronomist)+COUNTIFS(Tbl_Responses[Phosphorus 3 - Type of test],Tbl_Q15_sampling34[[#Headers],[Colwell P]],Tbl_Responses[Phosphorus 3 - How many representative samples per paddock],"&gt;""",Tbl_Responses[[Resp_Group]:[Resp_Group]],Agronomist)+COUNTIFS(Tbl_Responses[Phosphorus 4 - Type of test],Tbl_Q15_sampling34[[#Headers],[Colwell P]],Tbl_Responses[Phosphorus 4 - How many representative samples per paddock],"&gt;""",Tbl_Responses[[Resp_Group]:[Resp_Group]],Agronomist)+COUNTIFS(Tbl_Responses[Phosphorus 5 - Type of test],Tbl_Q15_sampling34[[#Headers],[Colwell P]],Tbl_Responses[Phosphorus 5 - How many representative samples per paddock],"&gt;""",Tbl_Responses[[Resp_Group]:[Resp_Group]],Agronomist))</calculatedColumnFormula>
    </tableColumn>
    <tableColumn id="3" xr3:uid="{1E3176A8-B18F-4462-A547-0F4998CE0128}" name="Olsen-Bray P" dataDxfId="109" dataCellStyle="Percent">
      <calculatedColumnFormula>(COUNTIFS(Tbl_Responses[Phosphorus 1 - Type of test],Tbl_Q15_sampling34[[#Headers],[Olsen-Bray P]],Tbl_Responses[Phosphorus 1 - How many representative samples per paddock],$CM48,Tbl_Responses[[Resp_Group]:[Resp_Group]],Agronomist)+COUNTIFS(Tbl_Responses[Phosphorus 2 - Type of test],Tbl_Q15_sampling34[[#Headers],[Olsen-Bray P]],Tbl_Responses[Phosphorus 2 - How many representative samples per paddock],$CM48,Tbl_Responses[[Resp_Group]:[Resp_Group]],Agronomist)+COUNTIFS(Tbl_Responses[Phosphorus 3 - Type of test],Tbl_Q15_sampling34[[#Headers],[Olsen-Bray P]],Tbl_Responses[Phosphorus 3 - How many representative samples per paddock],$CM48,Tbl_Responses[[Resp_Group]:[Resp_Group]],Agronomist)+COUNTIFS(Tbl_Responses[Phosphorus 4 - Type of test],Tbl_Q15_sampling34[[#Headers],[Olsen-Bray P]],Tbl_Responses[Phosphorus 4 - How many representative samples per paddock],$CM48,Tbl_Responses[[Resp_Group]:[Resp_Group]],Agronomist)+COUNTIFS(Tbl_Responses[Phosphorus 5 - Type of test],Tbl_Q15_sampling34[[#Headers],[Olsen-Bray P]],Tbl_Responses[Phosphorus 5 - How many representative samples per paddock],$CM48,Tbl_Responses[[Resp_Group]:[Resp_Group]],Agronomist))/(COUNTIFS(Tbl_Responses[Phosphorus 1 - Type of test],Tbl_Q15_sampling34[[#Headers],[Olsen-Bray P]],Tbl_Responses[Phosphorus 1 - How many representative samples per paddock],"&gt;""",Tbl_Responses[[Resp_Group]:[Resp_Group]],Agronomist)+COUNTIFS(Tbl_Responses[Phosphorus 2 - Type of test],Tbl_Q15_sampling34[[#Headers],[Olsen-Bray P]],Tbl_Responses[Phosphorus 2 - How many representative samples per paddock],"&gt;""",Tbl_Responses[[Resp_Group]:[Resp_Group]],Agronomist)+COUNTIFS(Tbl_Responses[Phosphorus 3 - Type of test],Tbl_Q15_sampling34[[#Headers],[Olsen-Bray P]],Tbl_Responses[Phosphorus 3 - How many representative samples per paddock],"&gt;""",Tbl_Responses[[Resp_Group]:[Resp_Group]],Agronomist)+COUNTIFS(Tbl_Responses[Phosphorus 4 - Type of test],Tbl_Q15_sampling34[[#Headers],[Olsen-Bray P]],Tbl_Responses[Phosphorus 4 - How many representative samples per paddock],"&gt;""",Tbl_Responses[[Resp_Group]:[Resp_Group]],Agronomist)+COUNTIFS(Tbl_Responses[Phosphorus 5 - Type of test],Tbl_Q15_sampling34[[#Headers],[Olsen-Bray P]],Tbl_Responses[Phosphorus 5 - How many representative samples per paddock],"&gt;""",Tbl_Responses[[Resp_Group]:[Resp_Group]],Agronomist))</calculatedColumnFormula>
    </tableColumn>
    <tableColumn id="4" xr3:uid="{17003B79-3C55-4D0E-8CA9-A6C2EABCEB75}" name="PBI (Phosphorus Buffering Index)" dataDxfId="108" dataCellStyle="Percent">
      <calculatedColumnFormula>(COUNTIFS(Tbl_Responses[Phosphorus 1 - Type of test],Tbl_Q15_sampling34[[#Headers],[PBI (Phosphorus Buffering Index)]],Tbl_Responses[Phosphorus 1 - How many representative samples per paddock],$CM48,Tbl_Responses[[Resp_Group]:[Resp_Group]],Agronomist)+COUNTIFS(Tbl_Responses[Phosphorus 2 - Type of test],Tbl_Q15_sampling34[[#Headers],[PBI (Phosphorus Buffering Index)]],Tbl_Responses[Phosphorus 2 - How many representative samples per paddock],$CM48,Tbl_Responses[[Resp_Group]:[Resp_Group]],Agronomist)+COUNTIFS(Tbl_Responses[Phosphorus 3 - Type of test],Tbl_Q15_sampling34[[#Headers],[PBI (Phosphorus Buffering Index)]],Tbl_Responses[Phosphorus 3 - How many representative samples per paddock],$CM48,Tbl_Responses[[Resp_Group]:[Resp_Group]],Agronomist)+COUNTIFS(Tbl_Responses[Phosphorus 4 - Type of test],Tbl_Q15_sampling34[[#Headers],[PBI (Phosphorus Buffering Index)]],Tbl_Responses[Phosphorus 4 - How many representative samples per paddock],$CM48,Tbl_Responses[[Resp_Group]:[Resp_Group]],Agronomist)+COUNTIFS(Tbl_Responses[Phosphorus 5 - Type of test],Tbl_Q15_sampling34[[#Headers],[PBI (Phosphorus Buffering Index)]],Tbl_Responses[Phosphorus 5 - How many representative samples per paddock],$CM48,Tbl_Responses[[Resp_Group]:[Resp_Group]],Agronomist))/(COUNTIFS(Tbl_Responses[Phosphorus 1 - Type of test],Tbl_Q15_sampling34[[#Headers],[PBI (Phosphorus Buffering Index)]],Tbl_Responses[Phosphorus 1 - How many representative samples per paddock],"&gt;""",Tbl_Responses[[Resp_Group]:[Resp_Group]],Agronomist)+COUNTIFS(Tbl_Responses[Phosphorus 2 - Type of test],Tbl_Q15_sampling34[[#Headers],[PBI (Phosphorus Buffering Index)]],Tbl_Responses[Phosphorus 2 - How many representative samples per paddock],"&gt;""",Tbl_Responses[[Resp_Group]:[Resp_Group]],Agronomist)+COUNTIFS(Tbl_Responses[Phosphorus 3 - Type of test],Tbl_Q15_sampling34[[#Headers],[PBI (Phosphorus Buffering Index)]],Tbl_Responses[Phosphorus 3 - How many representative samples per paddock],"&gt;""",Tbl_Responses[[Resp_Group]:[Resp_Group]],Agronomist)+COUNTIFS(Tbl_Responses[Phosphorus 4 - Type of test],Tbl_Q15_sampling34[[#Headers],[PBI (Phosphorus Buffering Index)]],Tbl_Responses[Phosphorus 4 - How many representative samples per paddock],"&gt;""",Tbl_Responses[[Resp_Group]:[Resp_Group]],Agronomist)+COUNTIFS(Tbl_Responses[Phosphorus 5 - Type of test],Tbl_Q15_sampling34[[#Headers],[PBI (Phosphorus Buffering Index)]],Tbl_Responses[Phosphorus 5 - How many representative samples per paddock],"&gt;""",Tbl_Responses[[Resp_Group]:[Resp_Group]],Agronomist))</calculatedColumnFormula>
    </tableColumn>
    <tableColumn id="5" xr3:uid="{C8BF2867-919A-47EF-8C9E-AA3E066A792F}" name="DGT" dataDxfId="107" dataCellStyle="Percent">
      <calculatedColumnFormula>(COUNTIFS(Tbl_Responses[Phosphorus 1 - Type of test],Tbl_Q15_sampling34[[#Headers],[DGT]],Tbl_Responses[Phosphorus 1 - How many representative samples per paddock],$CM48,Tbl_Responses[[Resp_Group]:[Resp_Group]],Agronomist)+COUNTIFS(Tbl_Responses[Phosphorus 2 - Type of test],Tbl_Q15_sampling34[[#Headers],[DGT]],Tbl_Responses[Phosphorus 2 - How many representative samples per paddock],$CM48,Tbl_Responses[[Resp_Group]:[Resp_Group]],Agronomist)+COUNTIFS(Tbl_Responses[Phosphorus 3 - Type of test],Tbl_Q15_sampling34[[#Headers],[DGT]],Tbl_Responses[Phosphorus 3 - How many representative samples per paddock],$CM48,Tbl_Responses[[Resp_Group]:[Resp_Group]],Agronomist)+COUNTIFS(Tbl_Responses[Phosphorus 4 - Type of test],Tbl_Q15_sampling34[[#Headers],[DGT]],Tbl_Responses[Phosphorus 4 - How many representative samples per paddock],$CM48,Tbl_Responses[[Resp_Group]:[Resp_Group]],Agronomist)+COUNTIFS(Tbl_Responses[Phosphorus 5 - Type of test],Tbl_Q15_sampling34[[#Headers],[DGT]],Tbl_Responses[Phosphorus 5 - How many representative samples per paddock],$CM48,Tbl_Responses[[Resp_Group]:[Resp_Group]],Agronomist))/(COUNTIFS(Tbl_Responses[Phosphorus 1 - Type of test],Tbl_Q15_sampling34[[#Headers],[DGT]],Tbl_Responses[Phosphorus 1 - How many representative samples per paddock],"&gt;""",Tbl_Responses[[Resp_Group]:[Resp_Group]],Agronomist)+COUNTIFS(Tbl_Responses[Phosphorus 2 - Type of test],Tbl_Q15_sampling34[[#Headers],[DGT]],Tbl_Responses[Phosphorus 2 - How many representative samples per paddock],"&gt;""",Tbl_Responses[[Resp_Group]:[Resp_Group]],Agronomist)+COUNTIFS(Tbl_Responses[Phosphorus 3 - Type of test],Tbl_Q15_sampling34[[#Headers],[DGT]],Tbl_Responses[Phosphorus 3 - How many representative samples per paddock],"&gt;""",Tbl_Responses[[Resp_Group]:[Resp_Group]],Agronomist)+COUNTIFS(Tbl_Responses[Phosphorus 4 - Type of test],Tbl_Q15_sampling34[[#Headers],[DGT]],Tbl_Responses[Phosphorus 4 - How many representative samples per paddock],"&gt;""",Tbl_Responses[[Resp_Group]:[Resp_Group]],Agronomist)+COUNTIFS(Tbl_Responses[Phosphorus 5 - Type of test],Tbl_Q15_sampling34[[#Headers],[DGT]],Tbl_Responses[Phosphorus 5 - How many representative samples per paddock],"&gt;""",Tbl_Responses[[Resp_Group]:[Resp_Group]],Agronomist))</calculatedColumnFormula>
    </tableColumn>
    <tableColumn id="6" xr3:uid="{F2BFD3C6-51A6-4372-8884-116C8ED2620F}" name="Total P" dataDxfId="106" dataCellStyle="Percent">
      <calculatedColumnFormula>(COUNTIFS(Tbl_Responses[Phosphorus 1 - Type of test],Tbl_Q15_sampling34[[#Headers],[Total P]],Tbl_Responses[Phosphorus 1 - How many representative samples per paddock],$CM48,Tbl_Responses[[Resp_Group]:[Resp_Group]],Agronomist)+COUNTIFS(Tbl_Responses[Phosphorus 2 - Type of test],Tbl_Q15_sampling34[[#Headers],[Total P]],Tbl_Responses[Phosphorus 2 - How many representative samples per paddock],$CM48,Tbl_Responses[[Resp_Group]:[Resp_Group]],Agronomist)+COUNTIFS(Tbl_Responses[Phosphorus 3 - Type of test],Tbl_Q15_sampling34[[#Headers],[Total P]],Tbl_Responses[Phosphorus 3 - How many representative samples per paddock],$CM48,Tbl_Responses[[Resp_Group]:[Resp_Group]],Agronomist)+COUNTIFS(Tbl_Responses[Phosphorus 4 - Type of test],Tbl_Q15_sampling34[[#Headers],[Total P]],Tbl_Responses[Phosphorus 4 - How many representative samples per paddock],$CM48,Tbl_Responses[[Resp_Group]:[Resp_Group]],Agronomist)+COUNTIFS(Tbl_Responses[Phosphorus 5 - Type of test],Tbl_Q15_sampling34[[#Headers],[Total P]],Tbl_Responses[Phosphorus 5 - How many representative samples per paddock],$CM48,Tbl_Responses[[Resp_Group]:[Resp_Group]],Agronomist))/(COUNTIFS(Tbl_Responses[Phosphorus 1 - Type of test],Tbl_Q15_sampling34[[#Headers],[Total P]],Tbl_Responses[Phosphorus 1 - How many representative samples per paddock],"&gt;""",Tbl_Responses[[Resp_Group]:[Resp_Group]],Agronomist)+COUNTIFS(Tbl_Responses[Phosphorus 2 - Type of test],Tbl_Q15_sampling34[[#Headers],[Total P]],Tbl_Responses[Phosphorus 2 - How many representative samples per paddock],"&gt;""",Tbl_Responses[[Resp_Group]:[Resp_Group]],Agronomist)+COUNTIFS(Tbl_Responses[Phosphorus 3 - Type of test],Tbl_Q15_sampling34[[#Headers],[Total P]],Tbl_Responses[Phosphorus 3 - How many representative samples per paddock],"&gt;""",Tbl_Responses[[Resp_Group]:[Resp_Group]],Agronomist)+COUNTIFS(Tbl_Responses[Phosphorus 4 - Type of test],Tbl_Q15_sampling34[[#Headers],[Total P]],Tbl_Responses[Phosphorus 4 - How many representative samples per paddock],"&gt;""",Tbl_Responses[[Resp_Group]:[Resp_Group]],Agronomist)+COUNTIFS(Tbl_Responses[Phosphorus 5 - Type of test],Tbl_Q15_sampling34[[#Headers],[Total P]],Tbl_Responses[Phosphorus 5 - How many representative samples per paddock],"&gt;""",Tbl_Responses[[Resp_Group]:[Resp_Group]],Agronomist))</calculatedColumnFormula>
    </tableColumn>
    <tableColumn id="7" xr3:uid="{C4BE00A2-41F4-42D6-8B71-4CCD841E6BC8}" name="P (ALL tests): Ave Samples/Pdk" dataDxfId="105" dataCellStyle="Percent">
      <calculatedColumnFormula>(COUNTIFS(Tbl_Responses[Phosphorus 1 - How many representative samples per paddock],$CM48,Tbl_Responses[[Resp_Group]:[Resp_Group]],Agronomist)+COUNTIFS(Tbl_Responses[Phosphorus 2 - How many representative samples per paddock],$CM48,Tbl_Responses[[Resp_Group]:[Resp_Group]],Agronomist)+COUNTIFS(Tbl_Responses[Phosphorus 3 - How many representative samples per paddock],$CM48,Tbl_Responses[[Resp_Group]:[Resp_Group]],Agronomist)+COUNTIFS(Tbl_Responses[Phosphorus 4 - How many representative samples per paddock],$CM48,Tbl_Responses[[Resp_Group]:[Resp_Group]],Agronomist)+COUNTIFS(Tbl_Responses[Phosphorus 5 - How many representative samples per paddock],$CM48,Tbl_Responses[[Resp_Group]:[Resp_Group]],Agronomist))/(COUNTIFS(Tbl_Responses[Phosphorus 1 - How many representative samples per paddock],"&gt;""",Tbl_Responses[[Resp_Group]:[Resp_Group]],Agronomist)+COUNTIFS(Tbl_Responses[Phosphorus 2 - How many representative samples per paddock],"&gt;""",Tbl_Responses[[Resp_Group]:[Resp_Group]],Agronomist)+COUNTIFS(Tbl_Responses[Phosphorus 3 - How many representative samples per paddock],"&gt;""",Tbl_Responses[[Resp_Group]:[Resp_Group]],Agronomist)+COUNTIFS(Tbl_Responses[Phosphorus 4 - How many representative samples per paddock],"&gt;""",Tbl_Responses[[Resp_Group]:[Resp_Group]],Agronomist)+COUNTIFS(Tbl_Responses[Phosphorus 5 - How many representative samples per paddock],"&gt;""",Tbl_Responses[[Resp_Group]:[Resp_Group]],Agronomist))</calculatedColumnFormula>
    </tableColumn>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0E1989D-6315-4B01-BB86-249E6388D09E}" name="Tbl_Q16_sampling35" displayName="Tbl_Q16_sampling35" ref="CZ47:DC54" totalsRowShown="0">
  <tableColumns count="4">
    <tableColumn id="1" xr3:uid="{0298EA2D-5902-4020-8959-89F4C5429B1D}" name="Samples per Pdk"/>
    <tableColumn id="2" xr3:uid="{8888190B-8BD1-49F8-94FE-EBB014DED437}" name="Colwell K" dataDxfId="104" dataCellStyle="Percent">
      <calculatedColumnFormula>(COUNTIFS(Tbl_Responses[Potassium 1 - Type of test],Tbl_Q16_sampling35[[#Headers],[Colwell K]],Tbl_Responses[Potassium 1 - How many representative samples per paddock],$CZ48,Tbl_Responses[[Resp_Group]:[Resp_Group]],Agronomist)+COUNTIFS(Tbl_Responses[Potassium 2 - Type of test],Tbl_Q16_sampling35[[#Headers],[Colwell K]],Tbl_Responses[Potassium 2 - How many representative samples per paddock],$CZ48,Tbl_Responses[[Resp_Group]:[Resp_Group]],Agronomist)+COUNTIFS(Tbl_Responses[Potassium 3 - Type of test],Tbl_Q16_sampling35[[#Headers],[Colwell K]],Tbl_Responses[Potassium 3 - How many representative samples per paddock],$CZ48,Tbl_Responses[[Resp_Group]:[Resp_Group]],Agronomist))/(COUNTIFS(Tbl_Responses[Potassium 1 - Type of test],Tbl_Q16_sampling35[[#Headers],[Colwell K]],Tbl_Responses[Potassium 1 - How many representative samples per paddock],"&gt;""",Tbl_Responses[[Resp_Group]:[Resp_Group]],Agronomist)+COUNTIFS(Tbl_Responses[Potassium 2 - Type of test],Tbl_Q16_sampling35[[#Headers],[Colwell K]],Tbl_Responses[Potassium 2 - How many representative samples per paddock],"&gt;""",Tbl_Responses[[Resp_Group]:[Resp_Group]],Agronomist)+COUNTIFS(Tbl_Responses[Potassium 3 - Type of test],Tbl_Q16_sampling35[[#Headers],[Colwell K]],Tbl_Responses[Potassium 3 - How many representative samples per paddock],"&gt;""",Tbl_Responses[[Resp_Group]:[Resp_Group]],Agronomist))</calculatedColumnFormula>
    </tableColumn>
    <tableColumn id="3" xr3:uid="{C6AB9AAF-3E0E-4354-8787-C43D5965099A}" name="Exchangable Cations (Ca, Mg, K, Na)" dataDxfId="103" dataCellStyle="Percent">
      <calculatedColumnFormula>(COUNTIFS(Tbl_Responses[Potassium 1 - Type of test],Tbl_Q16_sampling35[[#Headers],[Exchangable Cations (Ca, Mg, K, Na)]],Tbl_Responses[Potassium 1 - How many representative samples per paddock],$CZ48,Tbl_Responses[[Resp_Group]:[Resp_Group]],Agronomist)+COUNTIFS(Tbl_Responses[Potassium 2 - Type of test],Tbl_Q16_sampling35[[#Headers],[Exchangable Cations (Ca, Mg, K, Na)]],Tbl_Responses[Potassium 2 - How many representative samples per paddock],$CZ48,Tbl_Responses[[Resp_Group]:[Resp_Group]],Agronomist)+COUNTIFS(Tbl_Responses[Potassium 3 - Type of test],Tbl_Q16_sampling35[[#Headers],[Exchangable Cations (Ca, Mg, K, Na)]],Tbl_Responses[Potassium 3 - How many representative samples per paddock],$CZ48,Tbl_Responses[[Resp_Group]:[Resp_Group]],Agronomist))/(COUNTIFS(Tbl_Responses[Potassium 1 - Type of test],Tbl_Q16_sampling35[[#Headers],[Exchangable Cations (Ca, Mg, K, Na)]],Tbl_Responses[Potassium 1 - How many representative samples per paddock],"&gt;""",Tbl_Responses[[Resp_Group]:[Resp_Group]],Agronomist)+COUNTIFS(Tbl_Responses[Potassium 2 - Type of test],Tbl_Q16_sampling35[[#Headers],[Exchangable Cations (Ca, Mg, K, Na)]],Tbl_Responses[Potassium 2 - How many representative samples per paddock],"&gt;""",Tbl_Responses[[Resp_Group]:[Resp_Group]],Agronomist)+COUNTIFS(Tbl_Responses[Potassium 3 - Type of test],Tbl_Q16_sampling35[[#Headers],[Exchangable Cations (Ca, Mg, K, Na)]],Tbl_Responses[Potassium 3 - How many representative samples per paddock],"&gt;""",Tbl_Responses[[Resp_Group]:[Resp_Group]],Agronomist))</calculatedColumnFormula>
    </tableColumn>
    <tableColumn id="4" xr3:uid="{453ECDBE-95BF-4985-AC2C-B41BE112907C}" name="K (ALL tests): Ave Samples/Pdk" dataDxfId="102" dataCellStyle="Percent">
      <calculatedColumnFormula>(COUNTIFS(Tbl_Responses[Potassium 1 - How many representative samples per paddock],$CZ48,Tbl_Responses[[Resp_Group]:[Resp_Group]],Agronomist)+COUNTIFS(Tbl_Responses[Potassium 2 - How many representative samples per paddock],$CZ48,Tbl_Responses[[Resp_Group]:[Resp_Group]],Agronomist)+COUNTIFS(Tbl_Responses[Potassium 3 - How many representative samples per paddock],$CZ48,Tbl_Responses[[Resp_Group]:[Resp_Group]],Agronomist))/(COUNTIFS(Tbl_Responses[Potassium 1 - How many representative samples per paddock],"&gt;""",Tbl_Responses[[Resp_Group]:[Resp_Group]],Agronomist)+COUNTIFS(Tbl_Responses[Potassium 2 - How many representative samples per paddock],"&gt;""",Tbl_Responses[[Resp_Group]:[Resp_Group]],Agronomist)+COUNTIFS(Tbl_Responses[Potassium 3 - How many representative samples per paddock],"&gt;""",Tbl_Responses[[Resp_Group]:[Resp_Group]],Agronomist))</calculatedColumnFormula>
    </tableColumn>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762280AA-CC3B-4574-B23E-C4073DFDD573}" name="Tbl_Q17_sampling36" displayName="Tbl_Q17_sampling36" ref="DJ47:DV54" totalsRowShown="0" headerRowDxfId="101" dataDxfId="100" dataCellStyle="Percent">
  <tableColumns count="13">
    <tableColumn id="1" xr3:uid="{DD840CAA-BCB9-4AF6-936A-86F10BD60223}" name="Samples per Pdk"/>
    <tableColumn id="2" xr3:uid="{4F1AF387-72A7-4370-8D0E-EDFA5FAE40DA}" name="pH" dataDxfId="99" dataCellStyle="Percent">
      <calculatedColumnFormula>(COUNTIFS(Tbl_Responses[1 - Type of test],Tbl_Q17_sampling36[[#Headers],[pH]],Tbl_Responses[1 - How many cores per paddock],$DJ48,Tbl_Responses[[Resp_Group]:[Resp_Group]],Agronomist)+COUNTIFS(Tbl_Responses[2 - Type of test],Tbl_Q17_sampling36[[#Headers],[pH]],Tbl_Responses[2 - How many cores per paddock],$DJ48,Tbl_Responses[[Resp_Group]:[Resp_Group]],Agronomist)+COUNTIFS(Tbl_Responses[3 - Type of test],Tbl_Q17_sampling36[[#Headers],[pH]],Tbl_Responses[3 - How many cores per paddock],$DJ48,Tbl_Responses[[Resp_Group]:[Resp_Group]],Agronomist)+COUNTIFS(Tbl_Responses[4 - Type of test],Tbl_Q17_sampling36[[#Headers],[pH]],Tbl_Responses[4 - How many cores per paddock],$DJ48,Tbl_Responses[[Resp_Group]:[Resp_Group]],Agronomist)+COUNTIFS(Tbl_Responses[5 - Type of test],Tbl_Q17_sampling36[[#Headers],[pH]],Tbl_Responses[5 - How many cores per paddock],$DJ48,Tbl_Responses[[Resp_Group]:[Resp_Group]],Agronomist)+COUNTIFS(Tbl_Responses[6 - Type of test],Tbl_Q17_sampling36[[#Headers],[pH]],Tbl_Responses[6 - How many cores per paddock],$DJ48,Tbl_Responses[[Resp_Group]:[Resp_Group]],Agronomist)+COUNTIFS(Tbl_Responses[7 - Type of test],Tbl_Q17_sampling36[[#Headers],[pH]],Tbl_Responses[7 - How many cores per paddock],$DJ48,Tbl_Responses[[Resp_Group]:[Resp_Group]],Agronomist)+COUNTIFS(Tbl_Responses[8 - Type of test],Tbl_Q17_sampling36[[#Headers],[pH]],Tbl_Responses[8 - How many cores per paddock],$DJ48,Tbl_Responses[[Resp_Group]:[Resp_Group]],Agronomist))/(COUNTIFS(Tbl_Responses[1 - Type of test],Tbl_Q17_sampling36[[#Headers],[pH]],Tbl_Responses[1 - How many cores per paddock],"&gt;""",Tbl_Responses[[Resp_Group]:[Resp_Group]],Agronomist)+COUNTIFS(Tbl_Responses[2 - Type of test],Tbl_Q17_sampling36[[#Headers],[pH]],Tbl_Responses[2 - How many cores per paddock],"&gt;""",Tbl_Responses[[Resp_Group]:[Resp_Group]],Agronomist)+COUNTIFS(Tbl_Responses[3 - Type of test],Tbl_Q17_sampling36[[#Headers],[pH]],Tbl_Responses[3 - How many cores per paddock],"&gt;""",Tbl_Responses[[Resp_Group]:[Resp_Group]],Agronomist)+COUNTIFS(Tbl_Responses[4 - Type of test],Tbl_Q17_sampling36[[#Headers],[pH]],Tbl_Responses[4 - How many cores per paddock],"&gt;""",Tbl_Responses[[Resp_Group]:[Resp_Group]],Agronomist)+COUNTIFS(Tbl_Responses[5 - Type of test],Tbl_Q17_sampling36[[#Headers],[pH]],Tbl_Responses[5 - How many cores per paddock],"&gt;""",Tbl_Responses[[Resp_Group]:[Resp_Group]],Agronomist)+COUNTIFS(Tbl_Responses[6 - Type of test],Tbl_Q17_sampling36[[#Headers],[pH]],Tbl_Responses[6 - How many cores per paddock],"&gt;""",Tbl_Responses[[Resp_Group]:[Resp_Group]],Agronomist)+COUNTIFS(Tbl_Responses[7 - Type of test],Tbl_Q17_sampling36[[#Headers],[pH]],Tbl_Responses[7 - How many cores per paddock],"&gt;""",Tbl_Responses[[Resp_Group]:[Resp_Group]],Agronomist)+COUNTIFS(Tbl_Responses[8 - Type of test],Tbl_Q17_sampling36[[#Headers],[pH]],Tbl_Responses[8 - How many cores per paddock],"&gt;""",Tbl_Responses[[Resp_Group]:[Resp_Group]],Agronomist))</calculatedColumnFormula>
    </tableColumn>
    <tableColumn id="3" xr3:uid="{D16F1BE0-213E-411A-B0A3-73516D80DE7C}" name="Trace elements (DTPA) Cu, Zn, Mg, Fe" dataDxfId="98" dataCellStyle="Percent">
      <calculatedColumnFormula>(COUNTIFS(Tbl_Responses[1 - Type of test],Tbl_Q17_sampling36[[#Headers],[Trace elements (DTPA) Cu, Zn, Mg, Fe]],Tbl_Responses[1 - How many cores per paddock],$DJ48,Tbl_Responses[[Resp_Group]:[Resp_Group]],Agronomist)+COUNTIFS(Tbl_Responses[2 - Type of test],Tbl_Q17_sampling36[[#Headers],[Trace elements (DTPA) Cu, Zn, Mg, Fe]],Tbl_Responses[2 - How many cores per paddock],$DJ48,Tbl_Responses[[Resp_Group]:[Resp_Group]],Agronomist)+COUNTIFS(Tbl_Responses[3 - Type of test],Tbl_Q17_sampling36[[#Headers],[Trace elements (DTPA) Cu, Zn, Mg, Fe]],Tbl_Responses[3 - How many cores per paddock],$DJ48,Tbl_Responses[[Resp_Group]:[Resp_Group]],Agronomist)+COUNTIFS(Tbl_Responses[4 - Type of test],Tbl_Q17_sampling36[[#Headers],[Trace elements (DTPA) Cu, Zn, Mg, Fe]],Tbl_Responses[4 - How many cores per paddock],$DJ48,Tbl_Responses[[Resp_Group]:[Resp_Group]],Agronomist)+COUNTIFS(Tbl_Responses[5 - Type of test],Tbl_Q17_sampling36[[#Headers],[Trace elements (DTPA) Cu, Zn, Mg, Fe]],Tbl_Responses[5 - How many cores per paddock],$DJ48,Tbl_Responses[[Resp_Group]:[Resp_Group]],Agronomist)+COUNTIFS(Tbl_Responses[6 - Type of test],Tbl_Q17_sampling36[[#Headers],[Trace elements (DTPA) Cu, Zn, Mg, Fe]],Tbl_Responses[6 - How many cores per paddock],$DJ48,Tbl_Responses[[Resp_Group]:[Resp_Group]],Agronomist)+COUNTIFS(Tbl_Responses[7 - Type of test],Tbl_Q17_sampling36[[#Headers],[Trace elements (DTPA) Cu, Zn, Mg, Fe]],Tbl_Responses[7 - How many cores per paddock],$DJ48,Tbl_Responses[[Resp_Group]:[Resp_Group]],Agronomist)+COUNTIFS(Tbl_Responses[8 - Type of test],Tbl_Q17_sampling36[[#Headers],[Trace elements (DTPA) Cu, Zn, Mg, Fe]],Tbl_Responses[8 - How many cores per paddock],$DJ48,Tbl_Responses[[Resp_Group]:[Resp_Group]],Agronomist))/(COUNTIFS(Tbl_Responses[1 - Type of test],Tbl_Q17_sampling36[[#Headers],[Trace elements (DTPA) Cu, Zn, Mg, Fe]],Tbl_Responses[1 - How many cores per paddock],"&gt;""",Tbl_Responses[[Resp_Group]:[Resp_Group]],Agronomist)+COUNTIFS(Tbl_Responses[2 - Type of test],Tbl_Q17_sampling36[[#Headers],[Trace elements (DTPA) Cu, Zn, Mg, Fe]],Tbl_Responses[2 - How many cores per paddock],"&gt;""",Tbl_Responses[[Resp_Group]:[Resp_Group]],Agronomist)+COUNTIFS(Tbl_Responses[3 - Type of test],Tbl_Q17_sampling36[[#Headers],[Trace elements (DTPA) Cu, Zn, Mg, Fe]],Tbl_Responses[3 - How many cores per paddock],"&gt;""",Tbl_Responses[[Resp_Group]:[Resp_Group]],Agronomist)+COUNTIFS(Tbl_Responses[4 - Type of test],Tbl_Q17_sampling36[[#Headers],[Trace elements (DTPA) Cu, Zn, Mg, Fe]],Tbl_Responses[4 - How many cores per paddock],"&gt;""",Tbl_Responses[[Resp_Group]:[Resp_Group]],Agronomist)+COUNTIFS(Tbl_Responses[5 - Type of test],Tbl_Q17_sampling36[[#Headers],[Trace elements (DTPA) Cu, Zn, Mg, Fe]],Tbl_Responses[5 - How many cores per paddock],"&gt;""",Tbl_Responses[[Resp_Group]:[Resp_Group]],Agronomist)+COUNTIFS(Tbl_Responses[6 - Type of test],Tbl_Q17_sampling36[[#Headers],[Trace elements (DTPA) Cu, Zn, Mg, Fe]],Tbl_Responses[6 - How many cores per paddock],"&gt;""",Tbl_Responses[[Resp_Group]:[Resp_Group]],Agronomist)+COUNTIFS(Tbl_Responses[7 - Type of test],Tbl_Q17_sampling36[[#Headers],[Trace elements (DTPA) Cu, Zn, Mg, Fe]],Tbl_Responses[7 - How many cores per paddock],"&gt;""",Tbl_Responses[[Resp_Group]:[Resp_Group]],Agronomist)+COUNTIFS(Tbl_Responses[8 - Type of test],Tbl_Q17_sampling36[[#Headers],[Trace elements (DTPA) Cu, Zn, Mg, Fe]],Tbl_Responses[8 - How many cores per paddock],"&gt;""",Tbl_Responses[[Resp_Group]:[Resp_Group]],Agronomist))</calculatedColumnFormula>
    </tableColumn>
    <tableColumn id="4" xr3:uid="{76D565DD-E6C2-46B9-B6F0-06E1F976DB99}" name="Trace elements (EDTA) Cu, Zn, Mg, Fe" dataDxfId="97" dataCellStyle="Percent">
      <calculatedColumnFormula>(COUNTIFS(Tbl_Responses[1 - Type of test],Tbl_Q17_sampling36[[#Headers],[Trace elements (EDTA) Cu, Zn, Mg, Fe]],Tbl_Responses[1 - How many cores per paddock],$DJ48,Tbl_Responses[[Resp_Group]:[Resp_Group]],Agronomist)+COUNTIFS(Tbl_Responses[2 - Type of test],Tbl_Q17_sampling36[[#Headers],[Trace elements (EDTA) Cu, Zn, Mg, Fe]],Tbl_Responses[2 - How many cores per paddock],$DJ48,Tbl_Responses[[Resp_Group]:[Resp_Group]],Agronomist)+COUNTIFS(Tbl_Responses[3 - Type of test],Tbl_Q17_sampling36[[#Headers],[Trace elements (EDTA) Cu, Zn, Mg, Fe]],Tbl_Responses[3 - How many cores per paddock],$DJ48,Tbl_Responses[[Resp_Group]:[Resp_Group]],Agronomist)+COUNTIFS(Tbl_Responses[4 - Type of test],Tbl_Q17_sampling36[[#Headers],[Trace elements (EDTA) Cu, Zn, Mg, Fe]],Tbl_Responses[4 - How many cores per paddock],$DJ48,Tbl_Responses[[Resp_Group]:[Resp_Group]],Agronomist)+COUNTIFS(Tbl_Responses[5 - Type of test],Tbl_Q17_sampling36[[#Headers],[Trace elements (EDTA) Cu, Zn, Mg, Fe]],Tbl_Responses[5 - How many cores per paddock],$DJ48,Tbl_Responses[[Resp_Group]:[Resp_Group]],Agronomist)+COUNTIFS(Tbl_Responses[6 - Type of test],Tbl_Q17_sampling36[[#Headers],[Trace elements (EDTA) Cu, Zn, Mg, Fe]],Tbl_Responses[6 - How many cores per paddock],$DJ48,Tbl_Responses[[Resp_Group]:[Resp_Group]],Agronomist)+COUNTIFS(Tbl_Responses[7 - Type of test],Tbl_Q17_sampling36[[#Headers],[Trace elements (EDTA) Cu, Zn, Mg, Fe]],Tbl_Responses[7 - How many cores per paddock],$DJ48,Tbl_Responses[[Resp_Group]:[Resp_Group]],Agronomist)+COUNTIFS(Tbl_Responses[8 - Type of test],Tbl_Q17_sampling36[[#Headers],[Trace elements (EDTA) Cu, Zn, Mg, Fe]],Tbl_Responses[8 - How many cores per paddock],$DJ48,Tbl_Responses[[Resp_Group]:[Resp_Group]],Agronomist))/(COUNTIFS(Tbl_Responses[1 - Type of test],Tbl_Q17_sampling36[[#Headers],[Trace elements (EDTA) Cu, Zn, Mg, Fe]],Tbl_Responses[1 - How many cores per paddock],"&gt;""",Tbl_Responses[[Resp_Group]:[Resp_Group]],Agronomist)+COUNTIFS(Tbl_Responses[2 - Type of test],Tbl_Q17_sampling36[[#Headers],[Trace elements (EDTA) Cu, Zn, Mg, Fe]],Tbl_Responses[2 - How many cores per paddock],"&gt;""",Tbl_Responses[[Resp_Group]:[Resp_Group]],Agronomist)+COUNTIFS(Tbl_Responses[3 - Type of test],Tbl_Q17_sampling36[[#Headers],[Trace elements (EDTA) Cu, Zn, Mg, Fe]],Tbl_Responses[3 - How many cores per paddock],"&gt;""",Tbl_Responses[[Resp_Group]:[Resp_Group]],Agronomist)+COUNTIFS(Tbl_Responses[4 - Type of test],Tbl_Q17_sampling36[[#Headers],[Trace elements (EDTA) Cu, Zn, Mg, Fe]],Tbl_Responses[4 - How many cores per paddock],"&gt;""",Tbl_Responses[[Resp_Group]:[Resp_Group]],Agronomist)+COUNTIFS(Tbl_Responses[5 - Type of test],Tbl_Q17_sampling36[[#Headers],[Trace elements (EDTA) Cu, Zn, Mg, Fe]],Tbl_Responses[5 - How many cores per paddock],"&gt;""",Tbl_Responses[[Resp_Group]:[Resp_Group]],Agronomist)+COUNTIFS(Tbl_Responses[6 - Type of test],Tbl_Q17_sampling36[[#Headers],[Trace elements (EDTA) Cu, Zn, Mg, Fe]],Tbl_Responses[6 - How many cores per paddock],"&gt;""",Tbl_Responses[[Resp_Group]:[Resp_Group]],Agronomist)+COUNTIFS(Tbl_Responses[7 - Type of test],Tbl_Q17_sampling36[[#Headers],[Trace elements (EDTA) Cu, Zn, Mg, Fe]],Tbl_Responses[7 - How many cores per paddock],"&gt;""",Tbl_Responses[[Resp_Group]:[Resp_Group]],Agronomist)+COUNTIFS(Tbl_Responses[8 - Type of test],Tbl_Q17_sampling36[[#Headers],[Trace elements (EDTA) Cu, Zn, Mg, Fe]],Tbl_Responses[8 - How many cores per paddock],"&gt;""",Tbl_Responses[[Resp_Group]:[Resp_Group]],Agronomist))</calculatedColumnFormula>
    </tableColumn>
    <tableColumn id="5" xr3:uid="{97D666C4-EB24-45EA-A927-F68F8B61AC58}" name="Exchangable cations - Ca, Mg, Na, K" dataDxfId="96" dataCellStyle="Percent">
      <calculatedColumnFormula>(COUNTIFS(Tbl_Responses[1 - Type of test],Tbl_Q17_sampling36[[#Headers],[Exchangable cations - Ca, Mg, Na, K]],Tbl_Responses[1 - How many cores per paddock],$DJ48,Tbl_Responses[[Resp_Group]:[Resp_Group]],Agronomist)+COUNTIFS(Tbl_Responses[2 - Type of test],Tbl_Q17_sampling36[[#Headers],[Exchangable cations - Ca, Mg, Na, K]],Tbl_Responses[2 - How many cores per paddock],$DJ48,Tbl_Responses[[Resp_Group]:[Resp_Group]],Agronomist)+COUNTIFS(Tbl_Responses[3 - Type of test],Tbl_Q17_sampling36[[#Headers],[Exchangable cations - Ca, Mg, Na, K]],Tbl_Responses[3 - How many cores per paddock],$DJ48,Tbl_Responses[[Resp_Group]:[Resp_Group]],Agronomist)+COUNTIFS(Tbl_Responses[4 - Type of test],Tbl_Q17_sampling36[[#Headers],[Exchangable cations - Ca, Mg, Na, K]],Tbl_Responses[4 - How many cores per paddock],$DJ48,Tbl_Responses[[Resp_Group]:[Resp_Group]],Agronomist)+COUNTIFS(Tbl_Responses[5 - Type of test],Tbl_Q17_sampling36[[#Headers],[Exchangable cations - Ca, Mg, Na, K]],Tbl_Responses[5 - How many cores per paddock],$DJ48,Tbl_Responses[[Resp_Group]:[Resp_Group]],Agronomist)+COUNTIFS(Tbl_Responses[6 - Type of test],Tbl_Q17_sampling36[[#Headers],[Exchangable cations - Ca, Mg, Na, K]],Tbl_Responses[6 - How many cores per paddock],$DJ48,Tbl_Responses[[Resp_Group]:[Resp_Group]],Agronomist)+COUNTIFS(Tbl_Responses[7 - Type of test],Tbl_Q17_sampling36[[#Headers],[Exchangable cations - Ca, Mg, Na, K]],Tbl_Responses[7 - How many cores per paddock],$DJ48,Tbl_Responses[[Resp_Group]:[Resp_Group]],Agronomist)+COUNTIFS(Tbl_Responses[8 - Type of test],Tbl_Q17_sampling36[[#Headers],[Exchangable cations - Ca, Mg, Na, K]],Tbl_Responses[8 - How many cores per paddock],$DJ48,Tbl_Responses[[Resp_Group]:[Resp_Group]],Agronomist))/(COUNTIFS(Tbl_Responses[1 - Type of test],Tbl_Q17_sampling36[[#Headers],[Exchangable cations - Ca, Mg, Na, K]],Tbl_Responses[1 - How many cores per paddock],"&gt;""",Tbl_Responses[[Resp_Group]:[Resp_Group]],Agronomist)+COUNTIFS(Tbl_Responses[2 - Type of test],Tbl_Q17_sampling36[[#Headers],[Exchangable cations - Ca, Mg, Na, K]],Tbl_Responses[2 - How many cores per paddock],"&gt;""",Tbl_Responses[[Resp_Group]:[Resp_Group]],Agronomist)+COUNTIFS(Tbl_Responses[3 - Type of test],Tbl_Q17_sampling36[[#Headers],[Exchangable cations - Ca, Mg, Na, K]],Tbl_Responses[3 - How many cores per paddock],"&gt;""",Tbl_Responses[[Resp_Group]:[Resp_Group]],Agronomist)+COUNTIFS(Tbl_Responses[4 - Type of test],Tbl_Q17_sampling36[[#Headers],[Exchangable cations - Ca, Mg, Na, K]],Tbl_Responses[4 - How many cores per paddock],"&gt;""",Tbl_Responses[[Resp_Group]:[Resp_Group]],Agronomist)+COUNTIFS(Tbl_Responses[5 - Type of test],Tbl_Q17_sampling36[[#Headers],[Exchangable cations - Ca, Mg, Na, K]],Tbl_Responses[5 - How many cores per paddock],"&gt;""",Tbl_Responses[[Resp_Group]:[Resp_Group]],Agronomist)+COUNTIFS(Tbl_Responses[6 - Type of test],Tbl_Q17_sampling36[[#Headers],[Exchangable cations - Ca, Mg, Na, K]],Tbl_Responses[6 - How many cores per paddock],"&gt;""",Tbl_Responses[[Resp_Group]:[Resp_Group]],Agronomist)+COUNTIFS(Tbl_Responses[7 - Type of test],Tbl_Q17_sampling36[[#Headers],[Exchangable cations - Ca, Mg, Na, K]],Tbl_Responses[7 - How many cores per paddock],"&gt;""",Tbl_Responses[[Resp_Group]:[Resp_Group]],Agronomist)+COUNTIFS(Tbl_Responses[8 - Type of test],Tbl_Q17_sampling36[[#Headers],[Exchangable cations - Ca, Mg, Na, K]],Tbl_Responses[8 - How many cores per paddock],"&gt;""",Tbl_Responses[[Resp_Group]:[Resp_Group]],Agronomist))</calculatedColumnFormula>
    </tableColumn>
    <tableColumn id="6" xr3:uid="{D6974F45-4A12-482E-B375-BD352EB7B53A}" name="Texture" dataDxfId="95" dataCellStyle="Percent">
      <calculatedColumnFormula>(COUNTIFS(Tbl_Responses[1 - Type of test],Tbl_Q17_sampling36[[#Headers],[Texture]],Tbl_Responses[1 - How many cores per paddock],$DJ48,Tbl_Responses[[Resp_Group]:[Resp_Group]],Agronomist)+COUNTIFS(Tbl_Responses[2 - Type of test],Tbl_Q17_sampling36[[#Headers],[Texture]],Tbl_Responses[2 - How many cores per paddock],$DJ48,Tbl_Responses[[Resp_Group]:[Resp_Group]],Agronomist)+COUNTIFS(Tbl_Responses[3 - Type of test],Tbl_Q17_sampling36[[#Headers],[Texture]],Tbl_Responses[3 - How many cores per paddock],$DJ48,Tbl_Responses[[Resp_Group]:[Resp_Group]],Agronomist)+COUNTIFS(Tbl_Responses[4 - Type of test],Tbl_Q17_sampling36[[#Headers],[Texture]],Tbl_Responses[4 - How many cores per paddock],$DJ48,Tbl_Responses[[Resp_Group]:[Resp_Group]],Agronomist)+COUNTIFS(Tbl_Responses[5 - Type of test],Tbl_Q17_sampling36[[#Headers],[Texture]],Tbl_Responses[5 - How many cores per paddock],$DJ48,Tbl_Responses[[Resp_Group]:[Resp_Group]],Agronomist)+COUNTIFS(Tbl_Responses[6 - Type of test],Tbl_Q17_sampling36[[#Headers],[Texture]],Tbl_Responses[6 - How many cores per paddock],$DJ48,Tbl_Responses[[Resp_Group]:[Resp_Group]],Agronomist)+COUNTIFS(Tbl_Responses[7 - Type of test],Tbl_Q17_sampling36[[#Headers],[Texture]],Tbl_Responses[7 - How many cores per paddock],$DJ48,Tbl_Responses[[Resp_Group]:[Resp_Group]],Agronomist)+COUNTIFS(Tbl_Responses[8 - Type of test],Tbl_Q17_sampling36[[#Headers],[Texture]],Tbl_Responses[8 - How many cores per paddock],$DJ48,Tbl_Responses[[Resp_Group]:[Resp_Group]],Agronomist))/(COUNTIFS(Tbl_Responses[1 - Type of test],Tbl_Q17_sampling36[[#Headers],[Texture]],Tbl_Responses[1 - How many cores per paddock],"&gt;""",Tbl_Responses[[Resp_Group]:[Resp_Group]],Agronomist)+COUNTIFS(Tbl_Responses[2 - Type of test],Tbl_Q17_sampling36[[#Headers],[Texture]],Tbl_Responses[2 - How many cores per paddock],"&gt;""",Tbl_Responses[[Resp_Group]:[Resp_Group]],Agronomist)+COUNTIFS(Tbl_Responses[3 - Type of test],Tbl_Q17_sampling36[[#Headers],[Texture]],Tbl_Responses[3 - How many cores per paddock],"&gt;""",Tbl_Responses[[Resp_Group]:[Resp_Group]],Agronomist)+COUNTIFS(Tbl_Responses[4 - Type of test],Tbl_Q17_sampling36[[#Headers],[Texture]],Tbl_Responses[4 - How many cores per paddock],"&gt;""",Tbl_Responses[[Resp_Group]:[Resp_Group]],Agronomist)+COUNTIFS(Tbl_Responses[5 - Type of test],Tbl_Q17_sampling36[[#Headers],[Texture]],Tbl_Responses[5 - How many cores per paddock],"&gt;""",Tbl_Responses[[Resp_Group]:[Resp_Group]],Agronomist)+COUNTIFS(Tbl_Responses[6 - Type of test],Tbl_Q17_sampling36[[#Headers],[Texture]],Tbl_Responses[6 - How many cores per paddock],"&gt;""",Tbl_Responses[[Resp_Group]:[Resp_Group]],Agronomist)+COUNTIFS(Tbl_Responses[7 - Type of test],Tbl_Q17_sampling36[[#Headers],[Texture]],Tbl_Responses[7 - How many cores per paddock],"&gt;""",Tbl_Responses[[Resp_Group]:[Resp_Group]],Agronomist)+COUNTIFS(Tbl_Responses[8 - Type of test],Tbl_Q17_sampling36[[#Headers],[Texture]],Tbl_Responses[8 - How many cores per paddock],"&gt;""",Tbl_Responses[[Resp_Group]:[Resp_Group]],Agronomist))</calculatedColumnFormula>
    </tableColumn>
    <tableColumn id="7" xr3:uid="{DDC97199-5A8A-45BC-A93B-F9C207B21858}" name="Aluminium (CaCl2)" dataDxfId="94" dataCellStyle="Percent">
      <calculatedColumnFormula>(COUNTIFS(Tbl_Responses[1 - Type of test],Tbl_Q17_sampling36[[#Headers],[Aluminium (CaCl2)]],Tbl_Responses[1 - How many cores per paddock],$DJ48,Tbl_Responses[[Resp_Group]:[Resp_Group]],Agronomist)+COUNTIFS(Tbl_Responses[2 - Type of test],Tbl_Q17_sampling36[[#Headers],[Aluminium (CaCl2)]],Tbl_Responses[2 - How many cores per paddock],$DJ48,Tbl_Responses[[Resp_Group]:[Resp_Group]],Agronomist)+COUNTIFS(Tbl_Responses[3 - Type of test],Tbl_Q17_sampling36[[#Headers],[Aluminium (CaCl2)]],Tbl_Responses[3 - How many cores per paddock],$DJ48,Tbl_Responses[[Resp_Group]:[Resp_Group]],Agronomist)+COUNTIFS(Tbl_Responses[4 - Type of test],Tbl_Q17_sampling36[[#Headers],[Aluminium (CaCl2)]],Tbl_Responses[4 - How many cores per paddock],$DJ48,Tbl_Responses[[Resp_Group]:[Resp_Group]],Agronomist)+COUNTIFS(Tbl_Responses[5 - Type of test],Tbl_Q17_sampling36[[#Headers],[Aluminium (CaCl2)]],Tbl_Responses[5 - How many cores per paddock],$DJ48,Tbl_Responses[[Resp_Group]:[Resp_Group]],Agronomist)+COUNTIFS(Tbl_Responses[6 - Type of test],Tbl_Q17_sampling36[[#Headers],[Aluminium (CaCl2)]],Tbl_Responses[6 - How many cores per paddock],$DJ48,Tbl_Responses[[Resp_Group]:[Resp_Group]],Agronomist)+COUNTIFS(Tbl_Responses[7 - Type of test],Tbl_Q17_sampling36[[#Headers],[Aluminium (CaCl2)]],Tbl_Responses[7 - How many cores per paddock],$DJ48,Tbl_Responses[[Resp_Group]:[Resp_Group]],Agronomist)+COUNTIFS(Tbl_Responses[8 - Type of test],Tbl_Q17_sampling36[[#Headers],[Aluminium (CaCl2)]],Tbl_Responses[8 - How many cores per paddock],$DJ48,Tbl_Responses[[Resp_Group]:[Resp_Group]],Agronomist))/(COUNTIFS(Tbl_Responses[1 - Type of test],Tbl_Q17_sampling36[[#Headers],[Aluminium (CaCl2)]],Tbl_Responses[1 - How many cores per paddock],"&gt;""",Tbl_Responses[[Resp_Group]:[Resp_Group]],Agronomist)+COUNTIFS(Tbl_Responses[2 - Type of test],Tbl_Q17_sampling36[[#Headers],[Aluminium (CaCl2)]],Tbl_Responses[2 - How many cores per paddock],"&gt;""",Tbl_Responses[[Resp_Group]:[Resp_Group]],Agronomist)+COUNTIFS(Tbl_Responses[3 - Type of test],Tbl_Q17_sampling36[[#Headers],[Aluminium (CaCl2)]],Tbl_Responses[3 - How many cores per paddock],"&gt;""",Tbl_Responses[[Resp_Group]:[Resp_Group]],Agronomist)+COUNTIFS(Tbl_Responses[4 - Type of test],Tbl_Q17_sampling36[[#Headers],[Aluminium (CaCl2)]],Tbl_Responses[4 - How many cores per paddock],"&gt;""",Tbl_Responses[[Resp_Group]:[Resp_Group]],Agronomist)+COUNTIFS(Tbl_Responses[5 - Type of test],Tbl_Q17_sampling36[[#Headers],[Aluminium (CaCl2)]],Tbl_Responses[5 - How many cores per paddock],"&gt;""",Tbl_Responses[[Resp_Group]:[Resp_Group]],Agronomist)+COUNTIFS(Tbl_Responses[6 - Type of test],Tbl_Q17_sampling36[[#Headers],[Aluminium (CaCl2)]],Tbl_Responses[6 - How many cores per paddock],"&gt;""",Tbl_Responses[[Resp_Group]:[Resp_Group]],Agronomist)+COUNTIFS(Tbl_Responses[7 - Type of test],Tbl_Q17_sampling36[[#Headers],[Aluminium (CaCl2)]],Tbl_Responses[7 - How many cores per paddock],"&gt;""",Tbl_Responses[[Resp_Group]:[Resp_Group]],Agronomist)+COUNTIFS(Tbl_Responses[8 - Type of test],Tbl_Q17_sampling36[[#Headers],[Aluminium (CaCl2)]],Tbl_Responses[8 - How many cores per paddock],"&gt;""",Tbl_Responses[[Resp_Group]:[Resp_Group]],Agronomist))</calculatedColumnFormula>
    </tableColumn>
    <tableColumn id="8" xr3:uid="{76AD9DCC-5E51-4714-904B-D2B8B07EBB28}" name="Chloride" dataDxfId="93" dataCellStyle="Percent">
      <calculatedColumnFormula>(COUNTIFS(Tbl_Responses[1 - Type of test],Tbl_Q17_sampling36[[#Headers],[Chloride]],Tbl_Responses[1 - How many cores per paddock],$DJ48,Tbl_Responses[[Resp_Group]:[Resp_Group]],Agronomist)+COUNTIFS(Tbl_Responses[2 - Type of test],Tbl_Q17_sampling36[[#Headers],[Chloride]],Tbl_Responses[2 - How many cores per paddock],$DJ48,Tbl_Responses[[Resp_Group]:[Resp_Group]],Agronomist)+COUNTIFS(Tbl_Responses[3 - Type of test],Tbl_Q17_sampling36[[#Headers],[Chloride]],Tbl_Responses[3 - How many cores per paddock],$DJ48,Tbl_Responses[[Resp_Group]:[Resp_Group]],Agronomist)+COUNTIFS(Tbl_Responses[4 - Type of test],Tbl_Q17_sampling36[[#Headers],[Chloride]],Tbl_Responses[4 - How many cores per paddock],$DJ48,Tbl_Responses[[Resp_Group]:[Resp_Group]],Agronomist)+COUNTIFS(Tbl_Responses[5 - Type of test],Tbl_Q17_sampling36[[#Headers],[Chloride]],Tbl_Responses[5 - How many cores per paddock],$DJ48,Tbl_Responses[[Resp_Group]:[Resp_Group]],Agronomist)+COUNTIFS(Tbl_Responses[6 - Type of test],Tbl_Q17_sampling36[[#Headers],[Chloride]],Tbl_Responses[6 - How many cores per paddock],$DJ48,Tbl_Responses[[Resp_Group]:[Resp_Group]],Agronomist)+COUNTIFS(Tbl_Responses[7 - Type of test],Tbl_Q17_sampling36[[#Headers],[Chloride]],Tbl_Responses[7 - How many cores per paddock],$DJ48,Tbl_Responses[[Resp_Group]:[Resp_Group]],Agronomist)+COUNTIFS(Tbl_Responses[8 - Type of test],Tbl_Q17_sampling36[[#Headers],[Chloride]],Tbl_Responses[8 - How many cores per paddock],$DJ48,Tbl_Responses[[Resp_Group]:[Resp_Group]],Agronomist))/(COUNTIFS(Tbl_Responses[1 - Type of test],Tbl_Q17_sampling36[[#Headers],[Chloride]],Tbl_Responses[1 - How many cores per paddock],"&gt;""",Tbl_Responses[[Resp_Group]:[Resp_Group]],Agronomist)+COUNTIFS(Tbl_Responses[2 - Type of test],Tbl_Q17_sampling36[[#Headers],[Chloride]],Tbl_Responses[2 - How many cores per paddock],"&gt;""",Tbl_Responses[[Resp_Group]:[Resp_Group]],Agronomist)+COUNTIFS(Tbl_Responses[3 - Type of test],Tbl_Q17_sampling36[[#Headers],[Chloride]],Tbl_Responses[3 - How many cores per paddock],"&gt;""",Tbl_Responses[[Resp_Group]:[Resp_Group]],Agronomist)+COUNTIFS(Tbl_Responses[4 - Type of test],Tbl_Q17_sampling36[[#Headers],[Chloride]],Tbl_Responses[4 - How many cores per paddock],"&gt;""",Tbl_Responses[[Resp_Group]:[Resp_Group]],Agronomist)+COUNTIFS(Tbl_Responses[5 - Type of test],Tbl_Q17_sampling36[[#Headers],[Chloride]],Tbl_Responses[5 - How many cores per paddock],"&gt;""",Tbl_Responses[[Resp_Group]:[Resp_Group]],Agronomist)+COUNTIFS(Tbl_Responses[6 - Type of test],Tbl_Q17_sampling36[[#Headers],[Chloride]],Tbl_Responses[6 - How many cores per paddock],"&gt;""",Tbl_Responses[[Resp_Group]:[Resp_Group]],Agronomist)+COUNTIFS(Tbl_Responses[7 - Type of test],Tbl_Q17_sampling36[[#Headers],[Chloride]],Tbl_Responses[7 - How many cores per paddock],"&gt;""",Tbl_Responses[[Resp_Group]:[Resp_Group]],Agronomist)+COUNTIFS(Tbl_Responses[8 - Type of test],Tbl_Q17_sampling36[[#Headers],[Chloride]],Tbl_Responses[8 - How many cores per paddock],"&gt;""",Tbl_Responses[[Resp_Group]:[Resp_Group]],Agronomist))</calculatedColumnFormula>
    </tableColumn>
    <tableColumn id="9" xr3:uid="{FF6D6555-3172-404E-B9AC-1ED5E0E8D8B7}" name="Boron" dataDxfId="92" dataCellStyle="Percent">
      <calculatedColumnFormula>(COUNTIFS(Tbl_Responses[1 - Type of test],Tbl_Q17_sampling36[[#Headers],[Boron]],Tbl_Responses[1 - How many cores per paddock],$DJ48,Tbl_Responses[[Resp_Group]:[Resp_Group]],Agronomist)+COUNTIFS(Tbl_Responses[2 - Type of test],Tbl_Q17_sampling36[[#Headers],[Boron]],Tbl_Responses[2 - How many cores per paddock],$DJ48,Tbl_Responses[[Resp_Group]:[Resp_Group]],Agronomist)+COUNTIFS(Tbl_Responses[3 - Type of test],Tbl_Q17_sampling36[[#Headers],[Boron]],Tbl_Responses[3 - How many cores per paddock],$DJ48,Tbl_Responses[[Resp_Group]:[Resp_Group]],Agronomist)+COUNTIFS(Tbl_Responses[4 - Type of test],Tbl_Q17_sampling36[[#Headers],[Boron]],Tbl_Responses[4 - How many cores per paddock],$DJ48,Tbl_Responses[[Resp_Group]:[Resp_Group]],Agronomist)+COUNTIFS(Tbl_Responses[5 - Type of test],Tbl_Q17_sampling36[[#Headers],[Boron]],Tbl_Responses[5 - How many cores per paddock],$DJ48,Tbl_Responses[[Resp_Group]:[Resp_Group]],Agronomist)+COUNTIFS(Tbl_Responses[6 - Type of test],Tbl_Q17_sampling36[[#Headers],[Boron]],Tbl_Responses[6 - How many cores per paddock],$DJ48,Tbl_Responses[[Resp_Group]:[Resp_Group]],Agronomist)+COUNTIFS(Tbl_Responses[7 - Type of test],Tbl_Q17_sampling36[[#Headers],[Boron]],Tbl_Responses[7 - How many cores per paddock],$DJ48,Tbl_Responses[[Resp_Group]:[Resp_Group]],Agronomist)+COUNTIFS(Tbl_Responses[8 - Type of test],Tbl_Q17_sampling36[[#Headers],[Boron]],Tbl_Responses[8 - How many cores per paddock],$DJ48,Tbl_Responses[[Resp_Group]:[Resp_Group]],Agronomist))/(COUNTIFS(Tbl_Responses[1 - Type of test],Tbl_Q17_sampling36[[#Headers],[Boron]],Tbl_Responses[1 - How many cores per paddock],"&gt;""",Tbl_Responses[[Resp_Group]:[Resp_Group]],Agronomist)+COUNTIFS(Tbl_Responses[2 - Type of test],Tbl_Q17_sampling36[[#Headers],[Boron]],Tbl_Responses[2 - How many cores per paddock],"&gt;""",Tbl_Responses[[Resp_Group]:[Resp_Group]],Agronomist)+COUNTIFS(Tbl_Responses[3 - Type of test],Tbl_Q17_sampling36[[#Headers],[Boron]],Tbl_Responses[3 - How many cores per paddock],"&gt;""",Tbl_Responses[[Resp_Group]:[Resp_Group]],Agronomist)+COUNTIFS(Tbl_Responses[4 - Type of test],Tbl_Q17_sampling36[[#Headers],[Boron]],Tbl_Responses[4 - How many cores per paddock],"&gt;""",Tbl_Responses[[Resp_Group]:[Resp_Group]],Agronomist)+COUNTIFS(Tbl_Responses[5 - Type of test],Tbl_Q17_sampling36[[#Headers],[Boron]],Tbl_Responses[5 - How many cores per paddock],"&gt;""",Tbl_Responses[[Resp_Group]:[Resp_Group]],Agronomist)+COUNTIFS(Tbl_Responses[6 - Type of test],Tbl_Q17_sampling36[[#Headers],[Boron]],Tbl_Responses[6 - How many cores per paddock],"&gt;""",Tbl_Responses[[Resp_Group]:[Resp_Group]],Agronomist)+COUNTIFS(Tbl_Responses[7 - Type of test],Tbl_Q17_sampling36[[#Headers],[Boron]],Tbl_Responses[7 - How many cores per paddock],"&gt;""",Tbl_Responses[[Resp_Group]:[Resp_Group]],Agronomist)+COUNTIFS(Tbl_Responses[8 - Type of test],Tbl_Q17_sampling36[[#Headers],[Boron]],Tbl_Responses[8 - How many cores per paddock],"&gt;""",Tbl_Responses[[Resp_Group]:[Resp_Group]],Agronomist))</calculatedColumnFormula>
    </tableColumn>
    <tableColumn id="10" xr3:uid="{A30C87B5-5A91-46B3-8F3A-8CC9B58149AA}" name="Sulfur (KCl40)" dataDxfId="91" dataCellStyle="Percent">
      <calculatedColumnFormula>(COUNTIFS(Tbl_Responses[1 - Type of test],Tbl_Q17_sampling36[[#Headers],[Sulfur (KCl40)]],Tbl_Responses[1 - How many cores per paddock],$DJ48,Tbl_Responses[[Resp_Group]:[Resp_Group]],Agronomist)+COUNTIFS(Tbl_Responses[2 - Type of test],Tbl_Q17_sampling36[[#Headers],[Sulfur (KCl40)]],Tbl_Responses[2 - How many cores per paddock],$DJ48,Tbl_Responses[[Resp_Group]:[Resp_Group]],Agronomist)+COUNTIFS(Tbl_Responses[3 - Type of test],Tbl_Q17_sampling36[[#Headers],[Sulfur (KCl40)]],Tbl_Responses[3 - How many cores per paddock],$DJ48,Tbl_Responses[[Resp_Group]:[Resp_Group]],Agronomist)+COUNTIFS(Tbl_Responses[4 - Type of test],Tbl_Q17_sampling36[[#Headers],[Sulfur (KCl40)]],Tbl_Responses[4 - How many cores per paddock],$DJ48,Tbl_Responses[[Resp_Group]:[Resp_Group]],Agronomist)+COUNTIFS(Tbl_Responses[5 - Type of test],Tbl_Q17_sampling36[[#Headers],[Sulfur (KCl40)]],Tbl_Responses[5 - How many cores per paddock],$DJ48,Tbl_Responses[[Resp_Group]:[Resp_Group]],Agronomist)+COUNTIFS(Tbl_Responses[6 - Type of test],Tbl_Q17_sampling36[[#Headers],[Sulfur (KCl40)]],Tbl_Responses[6 - How many cores per paddock],$DJ48,Tbl_Responses[[Resp_Group]:[Resp_Group]],Agronomist)+COUNTIFS(Tbl_Responses[7 - Type of test],Tbl_Q17_sampling36[[#Headers],[Sulfur (KCl40)]],Tbl_Responses[7 - How many cores per paddock],$DJ48,Tbl_Responses[[Resp_Group]:[Resp_Group]],Agronomist)+COUNTIFS(Tbl_Responses[8 - Type of test],Tbl_Q17_sampling36[[#Headers],[Sulfur (KCl40)]],Tbl_Responses[8 - How many cores per paddock],$DJ48,Tbl_Responses[[Resp_Group]:[Resp_Group]],Agronomist))/(COUNTIFS(Tbl_Responses[1 - Type of test],Tbl_Q17_sampling36[[#Headers],[Sulfur (KCl40)]],Tbl_Responses[1 - How many cores per paddock],"&gt;""",Tbl_Responses[[Resp_Group]:[Resp_Group]],Agronomist)+COUNTIFS(Tbl_Responses[2 - Type of test],Tbl_Q17_sampling36[[#Headers],[Sulfur (KCl40)]],Tbl_Responses[2 - How many cores per paddock],"&gt;""",Tbl_Responses[[Resp_Group]:[Resp_Group]],Agronomist)+COUNTIFS(Tbl_Responses[3 - Type of test],Tbl_Q17_sampling36[[#Headers],[Sulfur (KCl40)]],Tbl_Responses[3 - How many cores per paddock],"&gt;""",Tbl_Responses[[Resp_Group]:[Resp_Group]],Agronomist)+COUNTIFS(Tbl_Responses[4 - Type of test],Tbl_Q17_sampling36[[#Headers],[Sulfur (KCl40)]],Tbl_Responses[4 - How many cores per paddock],"&gt;""",Tbl_Responses[[Resp_Group]:[Resp_Group]],Agronomist)+COUNTIFS(Tbl_Responses[5 - Type of test],Tbl_Q17_sampling36[[#Headers],[Sulfur (KCl40)]],Tbl_Responses[5 - How many cores per paddock],"&gt;""",Tbl_Responses[[Resp_Group]:[Resp_Group]],Agronomist)+COUNTIFS(Tbl_Responses[6 - Type of test],Tbl_Q17_sampling36[[#Headers],[Sulfur (KCl40)]],Tbl_Responses[6 - How many cores per paddock],"&gt;""",Tbl_Responses[[Resp_Group]:[Resp_Group]],Agronomist)+COUNTIFS(Tbl_Responses[7 - Type of test],Tbl_Q17_sampling36[[#Headers],[Sulfur (KCl40)]],Tbl_Responses[7 - How many cores per paddock],"&gt;""",Tbl_Responses[[Resp_Group]:[Resp_Group]],Agronomist)+COUNTIFS(Tbl_Responses[8 - Type of test],Tbl_Q17_sampling36[[#Headers],[Sulfur (KCl40)]],Tbl_Responses[8 - How many cores per paddock],"&gt;""",Tbl_Responses[[Resp_Group]:[Resp_Group]],Agronomist))</calculatedColumnFormula>
    </tableColumn>
    <tableColumn id="11" xr3:uid="{C23F3D05-A093-4723-9DD1-11CB1D28B61E}" name="Calcium carbonate %" dataDxfId="90" dataCellStyle="Percent">
      <calculatedColumnFormula>(COUNTIFS(Tbl_Responses[1 - Type of test],Tbl_Q17_sampling36[[#Headers],[Calcium carbonate %]],Tbl_Responses[1 - How many cores per paddock],$DJ48,Tbl_Responses[[Resp_Group]:[Resp_Group]],Agronomist)+COUNTIFS(Tbl_Responses[2 - Type of test],Tbl_Q17_sampling36[[#Headers],[Calcium carbonate %]],Tbl_Responses[2 - How many cores per paddock],$DJ48,Tbl_Responses[[Resp_Group]:[Resp_Group]],Agronomist)+COUNTIFS(Tbl_Responses[3 - Type of test],Tbl_Q17_sampling36[[#Headers],[Calcium carbonate %]],Tbl_Responses[3 - How many cores per paddock],$DJ48,Tbl_Responses[[Resp_Group]:[Resp_Group]],Agronomist)+COUNTIFS(Tbl_Responses[4 - Type of test],Tbl_Q17_sampling36[[#Headers],[Calcium carbonate %]],Tbl_Responses[4 - How many cores per paddock],$DJ48,Tbl_Responses[[Resp_Group]:[Resp_Group]],Agronomist)+COUNTIFS(Tbl_Responses[5 - Type of test],Tbl_Q17_sampling36[[#Headers],[Calcium carbonate %]],Tbl_Responses[5 - How many cores per paddock],$DJ48,Tbl_Responses[[Resp_Group]:[Resp_Group]],Agronomist)+COUNTIFS(Tbl_Responses[6 - Type of test],Tbl_Q17_sampling36[[#Headers],[Calcium carbonate %]],Tbl_Responses[6 - How many cores per paddock],$DJ48,Tbl_Responses[[Resp_Group]:[Resp_Group]],Agronomist)+COUNTIFS(Tbl_Responses[7 - Type of test],Tbl_Q17_sampling36[[#Headers],[Calcium carbonate %]],Tbl_Responses[7 - How many cores per paddock],$DJ48,Tbl_Responses[[Resp_Group]:[Resp_Group]],Agronomist)+COUNTIFS(Tbl_Responses[8 - Type of test],Tbl_Q17_sampling36[[#Headers],[Calcium carbonate %]],Tbl_Responses[8 - How many cores per paddock],$DJ48,Tbl_Responses[[Resp_Group]:[Resp_Group]],Agronomist))/(COUNTIFS(Tbl_Responses[1 - Type of test],Tbl_Q17_sampling36[[#Headers],[Calcium carbonate %]],Tbl_Responses[1 - How many cores per paddock],"&gt;""",Tbl_Responses[[Resp_Group]:[Resp_Group]],Agronomist)+COUNTIFS(Tbl_Responses[2 - Type of test],Tbl_Q17_sampling36[[#Headers],[Calcium carbonate %]],Tbl_Responses[2 - How many cores per paddock],"&gt;""",Tbl_Responses[[Resp_Group]:[Resp_Group]],Agronomist)+COUNTIFS(Tbl_Responses[3 - Type of test],Tbl_Q17_sampling36[[#Headers],[Calcium carbonate %]],Tbl_Responses[3 - How many cores per paddock],"&gt;""",Tbl_Responses[[Resp_Group]:[Resp_Group]],Agronomist)+COUNTIFS(Tbl_Responses[4 - Type of test],Tbl_Q17_sampling36[[#Headers],[Calcium carbonate %]],Tbl_Responses[4 - How many cores per paddock],"&gt;""",Tbl_Responses[[Resp_Group]:[Resp_Group]],Agronomist)+COUNTIFS(Tbl_Responses[5 - Type of test],Tbl_Q17_sampling36[[#Headers],[Calcium carbonate %]],Tbl_Responses[5 - How many cores per paddock],"&gt;""",Tbl_Responses[[Resp_Group]:[Resp_Group]],Agronomist)+COUNTIFS(Tbl_Responses[6 - Type of test],Tbl_Q17_sampling36[[#Headers],[Calcium carbonate %]],Tbl_Responses[6 - How many cores per paddock],"&gt;""",Tbl_Responses[[Resp_Group]:[Resp_Group]],Agronomist)+COUNTIFS(Tbl_Responses[7 - Type of test],Tbl_Q17_sampling36[[#Headers],[Calcium carbonate %]],Tbl_Responses[7 - How many cores per paddock],"&gt;""",Tbl_Responses[[Resp_Group]:[Resp_Group]],Agronomist)+COUNTIFS(Tbl_Responses[8 - Type of test],Tbl_Q17_sampling36[[#Headers],[Calcium carbonate %]],Tbl_Responses[8 - How many cores per paddock],"&gt;""",Tbl_Responses[[Resp_Group]:[Resp_Group]],Agronomist))</calculatedColumnFormula>
    </tableColumn>
    <tableColumn id="12" xr3:uid="{9529AA6B-8E16-476F-B2AA-38EDC66FEE90}" name="Sulfur (MCP)" dataDxfId="89" dataCellStyle="Percent">
      <calculatedColumnFormula>(COUNTIFS(Tbl_Responses[1 - Type of test],Tbl_Q17_sampling36[[#Headers],[Sulfur (MCP)]],Tbl_Responses[1 - How many cores per paddock],$DJ48,Tbl_Responses[[Resp_Group]:[Resp_Group]],Agronomist)+COUNTIFS(Tbl_Responses[2 - Type of test],Tbl_Q17_sampling36[[#Headers],[Sulfur (MCP)]],Tbl_Responses[2 - How many cores per paddock],$DJ48,Tbl_Responses[[Resp_Group]:[Resp_Group]],Agronomist)+COUNTIFS(Tbl_Responses[3 - Type of test],Tbl_Q17_sampling36[[#Headers],[Sulfur (MCP)]],Tbl_Responses[3 - How many cores per paddock],$DJ48,Tbl_Responses[[Resp_Group]:[Resp_Group]],Agronomist)+COUNTIFS(Tbl_Responses[4 - Type of test],Tbl_Q17_sampling36[[#Headers],[Sulfur (MCP)]],Tbl_Responses[4 - How many cores per paddock],$DJ48,Tbl_Responses[[Resp_Group]:[Resp_Group]],Agronomist)+COUNTIFS(Tbl_Responses[5 - Type of test],Tbl_Q17_sampling36[[#Headers],[Sulfur (MCP)]],Tbl_Responses[5 - How many cores per paddock],$DJ48,Tbl_Responses[[Resp_Group]:[Resp_Group]],Agronomist)+COUNTIFS(Tbl_Responses[6 - Type of test],Tbl_Q17_sampling36[[#Headers],[Sulfur (MCP)]],Tbl_Responses[6 - How many cores per paddock],$DJ48,Tbl_Responses[[Resp_Group]:[Resp_Group]],Agronomist)+COUNTIFS(Tbl_Responses[7 - Type of test],Tbl_Q17_sampling36[[#Headers],[Sulfur (MCP)]],Tbl_Responses[7 - How many cores per paddock],$DJ48,Tbl_Responses[[Resp_Group]:[Resp_Group]],Agronomist)+COUNTIFS(Tbl_Responses[8 - Type of test],Tbl_Q17_sampling36[[#Headers],[Sulfur (MCP)]],Tbl_Responses[8 - How many cores per paddock],$DJ48,Tbl_Responses[[Resp_Group]:[Resp_Group]],Agronomist))/(COUNTIFS(Tbl_Responses[1 - Type of test],Tbl_Q17_sampling36[[#Headers],[Sulfur (MCP)]],Tbl_Responses[1 - How many cores per paddock],"&gt;""",Tbl_Responses[[Resp_Group]:[Resp_Group]],Agronomist)+COUNTIFS(Tbl_Responses[2 - Type of test],Tbl_Q17_sampling36[[#Headers],[Sulfur (MCP)]],Tbl_Responses[2 - How many cores per paddock],"&gt;""",Tbl_Responses[[Resp_Group]:[Resp_Group]],Agronomist)+COUNTIFS(Tbl_Responses[3 - Type of test],Tbl_Q17_sampling36[[#Headers],[Sulfur (MCP)]],Tbl_Responses[3 - How many cores per paddock],"&gt;""",Tbl_Responses[[Resp_Group]:[Resp_Group]],Agronomist)+COUNTIFS(Tbl_Responses[4 - Type of test],Tbl_Q17_sampling36[[#Headers],[Sulfur (MCP)]],Tbl_Responses[4 - How many cores per paddock],"&gt;""",Tbl_Responses[[Resp_Group]:[Resp_Group]],Agronomist)+COUNTIFS(Tbl_Responses[5 - Type of test],Tbl_Q17_sampling36[[#Headers],[Sulfur (MCP)]],Tbl_Responses[5 - How many cores per paddock],"&gt;""",Tbl_Responses[[Resp_Group]:[Resp_Group]],Agronomist)+COUNTIFS(Tbl_Responses[6 - Type of test],Tbl_Q17_sampling36[[#Headers],[Sulfur (MCP)]],Tbl_Responses[6 - How many cores per paddock],"&gt;""",Tbl_Responses[[Resp_Group]:[Resp_Group]],Agronomist)+COUNTIFS(Tbl_Responses[7 - Type of test],Tbl_Q17_sampling36[[#Headers],[Sulfur (MCP)]],Tbl_Responses[7 - How many cores per paddock],"&gt;""",Tbl_Responses[[Resp_Group]:[Resp_Group]],Agronomist)+COUNTIFS(Tbl_Responses[8 - Type of test],Tbl_Q17_sampling36[[#Headers],[Sulfur (MCP)]],Tbl_Responses[8 - How many cores per paddock],"&gt;""",Tbl_Responses[[Resp_Group]:[Resp_Group]],Agronomist))</calculatedColumnFormula>
    </tableColumn>
    <tableColumn id="13" xr3:uid="{106BEAE3-7C44-47A8-BE84-19DD66A05692}" name="K (ALL tests): Ave Samples/Pdk" dataDxfId="88" dataCellStyle="Percent">
      <calculatedColumnFormula>(COUNTIFS(Tbl_Responses[1 - How many cores per paddock],$DJ48,Tbl_Responses[[Resp_Group]:[Resp_Group]],Agronomist)+COUNTIFS(Tbl_Responses[2 - How many cores per paddock],$DJ48,Tbl_Responses[[Resp_Group]:[Resp_Group]],Agronomist)+COUNTIFS(Tbl_Responses[3 - How many cores per paddock],$DJ48,Tbl_Responses[[Resp_Group]:[Resp_Group]],Agronomist)+COUNTIFS(Tbl_Responses[4 - How many cores per paddock],$DJ48,Tbl_Responses[[Resp_Group]:[Resp_Group]],Agronomist)+COUNTIFS(Tbl_Responses[5 - How many cores per paddock],$DJ48,Tbl_Responses[[Resp_Group]:[Resp_Group]],Agronomist)+COUNTIFS(Tbl_Responses[6 - How many cores per paddock],$DJ48,Tbl_Responses[[Resp_Group]:[Resp_Group]],Agronomist)+COUNTIFS(Tbl_Responses[7 - How many cores per paddock],$DJ48,Tbl_Responses[[Resp_Group]:[Resp_Group]],Agronomist))/(COUNTIFS(Tbl_Responses[1 - How many cores per paddock],"&gt;""",Tbl_Responses[[Resp_Group]:[Resp_Group]],Agronomist)+COUNTIFS(Tbl_Responses[2 - How many cores per paddock],"&gt;""",Tbl_Responses[[Resp_Group]:[Resp_Group]],Agronomist)+COUNTIFS(Tbl_Responses[3 - How many cores per paddock],"&gt;""",Tbl_Responses[[Resp_Group]:[Resp_Group]],Agronomist)+COUNTIFS(Tbl_Responses[4 - How many cores per paddock],"&gt;""",Tbl_Responses[[Resp_Group]:[Resp_Group]],Agronomist)+COUNTIFS(Tbl_Responses[5 - How many cores per paddock],"&gt;""",Tbl_Responses[[Resp_Group]:[Resp_Group]],Agronomist)+COUNTIFS(Tbl_Responses[6 - How many cores per paddock],"&gt;""",Tbl_Responses[[Resp_Group]:[Resp_Group]],Agronomist)+COUNTIFS(Tbl_Responses[7 - How many cores per paddock],"&gt;""",Tbl_Responses[[Resp_Group]:[Resp_Group]],Agronomist))</calculatedColumnFormula>
    </tableColumn>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FB27B66-4180-41D7-A234-32D9D76CD31B}" name="Tbl_Q1537" displayName="Tbl_Q1537" ref="CI47:CJ52" totalsRowShown="0" headerRowDxfId="87" dataDxfId="86" dataCellStyle="Percent">
  <tableColumns count="2">
    <tableColumn id="1" xr3:uid="{9939DB5A-5077-4870-802F-D8594FE3035C}" name="Test Type" dataDxfId="85" dataCellStyle="Percent"/>
    <tableColumn id="2" xr3:uid="{21FDFE84-FB7A-4649-888F-D5E7C13FB135}" name="% of respondants" dataDxfId="84" dataCellStyle="Percent">
      <calculatedColumnFormula>(COUNTIFS(Tbl_Responses[Phosphorus 1 - Type of test],CI48,Tbl_Responses[[Resp_Group]:[Resp_Group]],Agronomist)+COUNTIFS(Tbl_Responses[Phosphorus 2 - Type of test],CI48,Tbl_Responses[[Resp_Group]:[Resp_Group]],Agronomist)+COUNTIFS(Tbl_Responses[Phosphorus 3 - Type of test],CI48,Tbl_Responses[[Resp_Group]:[Resp_Group]],Agronomist)+COUNTIFS(Tbl_Responses[Phosphorus 4 - Type of test],CI48,Tbl_Responses[[Resp_Group]:[Resp_Group]],Agronomist)+COUNTIFS(Tbl_Responses[Phosphorus 5 - Type of test],CI48,Tbl_Responses[[Resp_Group]:[Resp_Group]],Agronomist))/(COUNTIFS(Tbl_Responses[Phosphorus 1 - Type of test],"&gt;""",Tbl_Responses[[Resp_Group]:[Resp_Group]],Agronomist)+COUNTIFS(Tbl_Responses[Phosphorus 2 - Type of test],"&gt;""",Tbl_Responses[[Resp_Group]:[Resp_Group]],Agronomist)+COUNTIFS(Tbl_Responses[Phosphorus 3 - Type of test],"&gt;""",Tbl_Responses[[Resp_Group]:[Resp_Group]],Agronomist)+COUNTIFS(Tbl_Responses[Phosphorus 4 - Type of test],"&gt;""",Tbl_Responses[[Resp_Group]:[Resp_Group]],Agronomist)+COUNTIFS(Tbl_Responses[Phosphorus 5 - Type of test],"&gt;""",Tbl_Responses[[Resp_Group]:[Resp_Group]],Agronomist))</calculatedColumnFormula>
    </tableColumn>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4555FDB0-E02C-4CBE-996A-5858A4E519D3}" name="Tbl_Q1638" displayName="Tbl_Q1638" ref="CV47:CW49" totalsRowShown="0" headerRowDxfId="83" dataDxfId="82" dataCellStyle="Percent">
  <tableColumns count="2">
    <tableColumn id="1" xr3:uid="{B6BAAD0C-E472-489F-B5C1-81A0788EA741}" name="Test Type" dataDxfId="81" dataCellStyle="Percent"/>
    <tableColumn id="2" xr3:uid="{BAADED75-DF48-4DD2-B80C-338E2744D8CC}" name="% of respondants" dataDxfId="80" dataCellStyle="Percent">
      <calculatedColumnFormula>(COUNTIFS(Tbl_Responses[Potassium 1 - Type of test],$CV48,Tbl_Responses[[Resp_Group]:[Resp_Group]],Agronomist)+COUNTIFS(Tbl_Responses[Potassium 2 - Type of test],$CV48,Tbl_Responses[[Resp_Group]:[Resp_Group]],Agronomist)+COUNTIFS(Tbl_Responses[Potassium 3 - Type of test],$CV48,Tbl_Responses[[Resp_Group]:[Resp_Group]],Agronomist))/(COUNTIFS(Tbl_Responses[Potassium 1 - Type of test],"&gt;""",Tbl_Responses[[Resp_Group]:[Resp_Group]],Agronomist)+COUNTIFS(Tbl_Responses[Potassium 2 - Type of test],"&gt;""",Tbl_Responses[[Resp_Group]:[Resp_Group]],Agronomist)+COUNTIFS(Tbl_Responses[Potassium 3 - Type of test],"&gt;""",Tbl_Responses[[Resp_Group]:[Resp_Group]],Agronomist))</calculatedColumnFormula>
    </tableColumn>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B225878-9787-4668-BF2F-3EFFD0D4E7C3}" name="Tbl_Q1739" displayName="Tbl_Q1739" ref="DF47:DG58" totalsRowShown="0" headerRowDxfId="79" dataDxfId="78" dataCellStyle="Percent">
  <tableColumns count="2">
    <tableColumn id="1" xr3:uid="{896B8F7C-BA7D-4FAE-8B8F-2963DF921EB3}" name="Test Type" dataDxfId="77" dataCellStyle="Percent"/>
    <tableColumn id="2" xr3:uid="{73A6DB8E-67EA-4CEF-AB09-B5BE1460A428}" name="% of respondants" dataDxfId="76" dataCellStyle="Percent">
      <calculatedColumnFormula>(COUNTIFS(Tbl_Responses[1 - Type of test],DF48,Tbl_Responses[[Resp_Group]:[Resp_Group]],Agronomist)+COUNTIFS(Tbl_Responses[2 - Type of test],DF48,Tbl_Responses[[Resp_Group]:[Resp_Group]],Agronomist)+COUNTIFS(Tbl_Responses[3 - Type of test],DF48,Tbl_Responses[[Resp_Group]:[Resp_Group]],Agronomist)+COUNTIFS(Tbl_Responses[4 - Type of test],DF48,Tbl_Responses[[Resp_Group]:[Resp_Group]],Agronomist)+COUNTIFS(Tbl_Responses[5 - Type of test],DF48,Tbl_Responses[[Resp_Group]:[Resp_Group]],Agronomist))/(COUNTIFS(Tbl_Responses[1 -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calculatedColumnFormula>
    </tableColumn>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8862406-8BC5-4995-A00F-D3D69B0D0E6A}" name="Tbl_Q18" displayName="Tbl_Q18" ref="DY3:DZ12" totalsRowShown="0">
  <autoFilter ref="DY3:DZ12" xr:uid="{42CE02CC-B391-4208-B56C-5C90521FB43C}"/>
  <tableColumns count="2">
    <tableColumn id="1" xr3:uid="{A87C13DC-5E0A-4248-9EA2-03A484E914F4}" name="Reason"/>
    <tableColumn id="2" xr3:uid="{33D08C38-81AE-4560-B60D-996ED52DCC88}" name="%_Respondants"/>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1EA9A75-7457-4100-8D66-C7FFC57B45EB}" name="Tbl_19" displayName="Tbl_19" ref="EC3:EE10" totalsRowShown="0">
  <tableColumns count="3">
    <tableColumn id="1" xr3:uid="{A00AB2B7-16BF-4EC2-8E35-3814AB35B783}" name="Reason"/>
    <tableColumn id="2" xr3:uid="{E1E858A2-F109-423B-A0EC-C25D2E220301}" name="No. Responses" dataDxfId="75">
      <calculatedColumnFormula>COUNTIFS(Tbl_Responses[The ability to translate soil test results into a profitable fertiliser decision for my paddock],$EC4,Tbl_Responses[[Resp_Group]:[Resp_Group]],Agronomist)</calculatedColumnFormula>
    </tableColumn>
    <tableColumn id="3" xr3:uid="{FF595623-8B1D-46C1-888C-40E8D4551F48}" name="% Responses" dataDxfId="74" dataCellStyle="Percent">
      <calculatedColumnFormula>Tbl_19[[#This Row],[No. Responses]]/SUM(Tbl_19[No. Responses])</calculatedColumnFormula>
    </tableColumn>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507CCA53-A291-4337-A4CD-1B313ECFD6D3}" name="Tbl_Q20" displayName="Tbl_Q20" ref="EH3:EJ10" totalsRowShown="0">
  <tableColumns count="3">
    <tableColumn id="1" xr3:uid="{CA8131B8-237D-456F-B59B-9610018245CA}" name="Reason"/>
    <tableColumn id="2" xr3:uid="{CFB1DFD4-FCFE-4616-9990-EB6563662BDD}" name="No. Responses" dataDxfId="73">
      <calculatedColumnFormula>COUNTIFS(Tbl_Responses[The cost of soil samplingP],$EC4,Tbl_Responses[[Resp_Group]:[Resp_Group]],Agronomist)</calculatedColumnFormula>
    </tableColumn>
    <tableColumn id="3" xr3:uid="{91D44422-9843-42CE-A0F7-85F0EB5419B8}" name="% Responses" dataDxfId="72" dataCellStyle="Percent">
      <calculatedColumnFormula>Tbl_Q20[[#This Row],[No. Responses]]/SUM(Tbl_Q20[No. Responses])</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59C9C8-9EDC-4557-A69D-83864AD159C3}" name="Tbl_Q5" displayName="Tbl_Q5" ref="AG3:AS14" totalsRowShown="0" dataDxfId="252" dataCellStyle="Percent">
  <tableColumns count="13">
    <tableColumn id="1" xr3:uid="{C1754513-7140-4302-B012-BB2A67EA9FFF}" name="% answers with deficiency"/>
    <tableColumn id="2" xr3:uid="{FE215EA4-9156-4AA2-A292-C569F02CB933}" name="N" dataDxfId="251" dataCellStyle="Percent">
      <calculatedColumnFormula>COUNTIFS(Tbl_Responses[[Def_Nutrient_ID]:[Def_Nutrient_ID]],"*N*",Tbl_Responses[[Q1: region]:[Q1: region]],$AG4)/COUNTIFS(Tbl_Responses[[Def_Nutrient_ID]:[Def_Nutrient_ID]],"&lt;&gt;"&amp;"",Tbl_Responses[[Q1: region]:[Q1: region]],$AG4)</calculatedColumnFormula>
    </tableColumn>
    <tableColumn id="3" xr3:uid="{F4258267-88C1-4587-9808-0FD1AC755EC9}" name="P" dataDxfId="250" dataCellStyle="Percent">
      <calculatedColumnFormula>COUNTIFS(Tbl_Responses[[Def_Nutrient_ID]:[Def_Nutrient_ID]],"*P*",Tbl_Responses[[Q1: region]:[Q1: region]],$AG4)/COUNTIFS(Tbl_Responses[[Def_Nutrient_ID]:[Def_Nutrient_ID]],"&lt;&gt;"&amp;"",Tbl_Responses[[Q1: region]:[Q1: region]],$AG4)</calculatedColumnFormula>
    </tableColumn>
    <tableColumn id="4" xr3:uid="{71E8C58E-D91C-4872-876B-9E0B0530E8E5}" name="K" dataDxfId="249" dataCellStyle="Percent">
      <calculatedColumnFormula>COUNTIFS(Tbl_Responses[[Def_Nutrient_ID]:[Def_Nutrient_ID]],"*K*",Tbl_Responses[[Q1: region]:[Q1: region]],$AG4)/COUNTIFS(Tbl_Responses[[Def_Nutrient_ID]:[Def_Nutrient_ID]],"&lt;&gt;"&amp;"",Tbl_Responses[[Q1: region]:[Q1: region]],$AG4)</calculatedColumnFormula>
    </tableColumn>
    <tableColumn id="5" xr3:uid="{4730AFFC-3739-47F0-B970-7A2EBF833865}" name="S" dataDxfId="248" dataCellStyle="Percent">
      <calculatedColumnFormula>COUNTIFS(Tbl_Responses[[Def_Nutrient_ID]:[Def_Nutrient_ID]],"*S*",Tbl_Responses[[Q1: region]:[Q1: region]],$AG4)/COUNTIFS(Tbl_Responses[[Def_Nutrient_ID]:[Def_Nutrient_ID]],"&lt;&gt;"&amp;"",Tbl_Responses[[Q1: region]:[Q1: region]],$AG4)</calculatedColumnFormula>
    </tableColumn>
    <tableColumn id="6" xr3:uid="{1BD59076-4FE2-4CB8-8503-A55B4677637F}" name="Zn" dataDxfId="247" dataCellStyle="Percent">
      <calculatedColumnFormula>COUNTIFS(Tbl_Responses[[Def_Nutrient_ID]:[Def_Nutrient_ID]],"*Zn*",Tbl_Responses[[Q1: region]:[Q1: region]],$AG4)/COUNTIFS(Tbl_Responses[[Def_Nutrient_ID]:[Def_Nutrient_ID]],"&lt;&gt;"&amp;"",Tbl_Responses[[Q1: region]:[Q1: region]],$AG4)</calculatedColumnFormula>
    </tableColumn>
    <tableColumn id="7" xr3:uid="{AE12D005-8684-41A5-91EF-B04FC17121F3}" name="Mn" dataDxfId="246" dataCellStyle="Percent">
      <calculatedColumnFormula>COUNTIFS(Tbl_Responses[[Def_Nutrient_ID]:[Def_Nutrient_ID]],"*Mn*",Tbl_Responses[[Q1: region]:[Q1: region]],$AG4)/COUNTIFS(Tbl_Responses[[Def_Nutrient_ID]:[Def_Nutrient_ID]],"&lt;&gt;"&amp;"",Tbl_Responses[[Q1: region]:[Q1: region]],$AG4)</calculatedColumnFormula>
    </tableColumn>
    <tableColumn id="8" xr3:uid="{6793A541-1881-4594-A9E4-E86893E44480}" name="Mg" dataDxfId="245" dataCellStyle="Percent">
      <calculatedColumnFormula>COUNTIFS(Tbl_Responses[[Def_Nutrient_ID]:[Def_Nutrient_ID]],"*Mg*",Tbl_Responses[[Q1: region]:[Q1: region]],$AG4)/COUNTIFS(Tbl_Responses[[Def_Nutrient_ID]:[Def_Nutrient_ID]],"&lt;&gt;"&amp;"",Tbl_Responses[[Q1: region]:[Q1: region]],$AG4)</calculatedColumnFormula>
    </tableColumn>
    <tableColumn id="9" xr3:uid="{1BA7B2A3-37FF-4E94-BFBD-2C8E224E3BB1}" name="Cu" dataDxfId="244" dataCellStyle="Percent">
      <calculatedColumnFormula>COUNTIFS(Tbl_Responses[[Def_Nutrient_ID]:[Def_Nutrient_ID]],"*Cu*",Tbl_Responses[[Q1: region]:[Q1: region]],$AG4)/COUNTIFS(Tbl_Responses[[Def_Nutrient_ID]:[Def_Nutrient_ID]],"&lt;&gt;"&amp;"",Tbl_Responses[[Q1: region]:[Q1: region]],$AG4)</calculatedColumnFormula>
    </tableColumn>
    <tableColumn id="10" xr3:uid="{C5C50EEC-2F8D-4E74-B40F-D62DA6BF40A4}" name="B" dataDxfId="243" dataCellStyle="Percent">
      <calculatedColumnFormula>COUNTIFS(Tbl_Responses[[Def_Nutrient_ID]:[Def_Nutrient_ID]],"*B*",Tbl_Responses[[Q1: region]:[Q1: region]],$AG4)/COUNTIFS(Tbl_Responses[[Def_Nutrient_ID]:[Def_Nutrient_ID]],"&lt;&gt;"&amp;"",Tbl_Responses[[Q1: region]:[Q1: region]],$AG4)</calculatedColumnFormula>
    </tableColumn>
    <tableColumn id="11" xr3:uid="{71AD91F1-6C3C-465E-B137-7FE7200EF595}" name="Ca" dataDxfId="242" dataCellStyle="Percent">
      <calculatedColumnFormula>COUNTIFS(Tbl_Responses[[Def_Nutrient_ID]:[Def_Nutrient_ID]],"*Ca*",Tbl_Responses[[Q1: region]:[Q1: region]],$AG4)/COUNTIFS(Tbl_Responses[[Def_Nutrient_ID]:[Def_Nutrient_ID]],"&lt;&gt;"&amp;"",Tbl_Responses[[Q1: region]:[Q1: region]],$AG4)</calculatedColumnFormula>
    </tableColumn>
    <tableColumn id="12" xr3:uid="{FF017A7C-0C7C-4907-A7A0-DACD62251CD5}" name="pH" dataDxfId="241" dataCellStyle="Percent">
      <calculatedColumnFormula>COUNTIFS(Tbl_Responses[[Def_Nutrient_ID]:[Def_Nutrient_ID]],"*pH*",Tbl_Responses[[Q1: region]:[Q1: region]],$AG4)/COUNTIFS(Tbl_Responses[[Def_Nutrient_ID]:[Def_Nutrient_ID]],"&lt;&gt;"&amp;"",Tbl_Responses[[Q1: region]:[Q1: region]],$AG4)</calculatedColumnFormula>
    </tableColumn>
    <tableColumn id="13" xr3:uid="{3543D052-8A6B-4CE5-8AC2-BAE8CC6B5CAF}" name="Trace Elements" dataDxfId="240" dataCellStyle="Percent"/>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88C9182-5711-4AFA-B59E-75E9F03F0651}" name="Tbl_Q21" displayName="Tbl_Q21" ref="EM3:EQ6" totalsRowShown="0">
  <tableColumns count="5">
    <tableColumn id="1" xr3:uid="{5C17E342-81A9-42AE-B3B5-476B6B1F5C19}" name="Statement"/>
    <tableColumn id="2" xr3:uid="{3806331B-2A03-4688-9EE5-631DCB01BDE2}" name="Disagree" dataDxfId="71">
      <calculatedColumnFormula>COUNTIFS(Tbl_Responses[My clients businesses would be more profitable if they did more soil testing than they do now],Tbl_Q21[[#Headers],[Disagree]],Tbl_Responses[[Resp_Group]:[Resp_Group]],Agronomist)</calculatedColumnFormula>
    </tableColumn>
    <tableColumn id="3" xr3:uid="{EC612750-4BCE-4211-991D-67CBD205E9B5}" name="Neutral" dataDxfId="70"/>
    <tableColumn id="4" xr3:uid="{38CC4729-056D-438B-8BDB-6B83A92008E4}" name="Agree" dataDxfId="69"/>
    <tableColumn id="5" xr3:uid="{5135A9F9-E1F9-408B-9F08-3A6966D2BEAF}" name="Strongly Agree" dataDxfId="68"/>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D7ED9E74-0149-474C-A11E-F76ABB50D199}" name="Tbl_Q1843" displayName="Tbl_Q1843" ref="DY47:DZ56" totalsRowShown="0">
  <autoFilter ref="DY47:DZ56" xr:uid="{70BB06D0-49E0-4EA0-8937-C45315F9AF52}"/>
  <tableColumns count="2">
    <tableColumn id="1" xr3:uid="{FF8AC32C-96CF-4331-81F6-87C89D791E28}" name="Reason"/>
    <tableColumn id="2" xr3:uid="{BD1C0C5B-5E2F-4E49-8656-CF6F28382B9E}" name="%_Respondants"/>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33E0866-9A4F-4758-9E24-48E1A703183C}" name="Tbl_1944" displayName="Tbl_1944" ref="EC47:EE54" totalsRowShown="0">
  <tableColumns count="3">
    <tableColumn id="1" xr3:uid="{AD2B6AAB-0791-485A-8F86-DC021FB39D99}" name="Reason"/>
    <tableColumn id="2" xr3:uid="{D15949A6-0ED7-4518-ADD9-BA50B195139E}" name="No. Responses" dataDxfId="67">
      <calculatedColumnFormula>COUNTIFS(Tbl_Responses[The ability to translate soil test results into a profitable fertiliser decision for my paddock],$EC48,Tbl_Responses[[Resp_Group]:[Resp_Group]],Agronomist)</calculatedColumnFormula>
    </tableColumn>
    <tableColumn id="3" xr3:uid="{1E39AE69-E815-4075-810C-F3F1070D948B}" name="% Responses" dataDxfId="66" dataCellStyle="Percent">
      <calculatedColumnFormula>Tbl_1944[[#This Row],[No. Responses]]/SUM(Tbl_1944[No. Responses])</calculatedColumnFormula>
    </tableColumn>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52E69C11-F859-4FA1-9B64-E90B1CF105C2}" name="Tbl_Q2045" displayName="Tbl_Q2045" ref="EH47:EJ54" totalsRowShown="0">
  <tableColumns count="3">
    <tableColumn id="1" xr3:uid="{C1481845-E4F0-4860-B887-756FA36FDEAD}" name="Reason"/>
    <tableColumn id="2" xr3:uid="{1D390185-A8BD-4401-8A54-8D92C1C33BCB}" name="No. Responses" dataDxfId="65">
      <calculatedColumnFormula>COUNTIFS(Tbl_Responses[The cost of soil samplingP],$EC48,Tbl_Responses[[Resp_Group]:[Resp_Group]],Agronomist)</calculatedColumnFormula>
    </tableColumn>
    <tableColumn id="3" xr3:uid="{C03DFF69-A435-4690-9EC3-11F444842F9B}" name="% Responses" dataDxfId="64" dataCellStyle="Percent">
      <calculatedColumnFormula>Tbl_Q2045[[#This Row],[No. Responses]]/SUM(Tbl_Q2045[No. Responses])</calculatedColumnFormula>
    </tableColumn>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F3C4C320-65E2-45EB-9843-65DA1B184569}" name="Tbl_Q2146" displayName="Tbl_Q2146" ref="EM47:EQ51" totalsRowShown="0">
  <tableColumns count="5">
    <tableColumn id="1" xr3:uid="{5061BF4B-37D7-443F-91D8-A2E74013BECB}" name="Statement"/>
    <tableColumn id="2" xr3:uid="{5CA920E3-E275-433C-98AE-DB8CAE6E54E8}" name="Disagree" dataDxfId="63">
      <calculatedColumnFormula>COUNTIFS(Tbl_Responses[My clients businesses would be more profitable if they did more soil testing than they do now],Tbl_Q2146[[#Headers],[Disagree]],Tbl_Responses[[Resp_Group]:[Resp_Group]],Agronomist)</calculatedColumnFormula>
    </tableColumn>
    <tableColumn id="3" xr3:uid="{71BD3D75-3202-40D1-A3F5-399F6F61B56A}" name="Neutral" dataDxfId="62"/>
    <tableColumn id="4" xr3:uid="{20EB258D-E87C-4D52-932E-D6B73D973ED0}" name="Agree" dataDxfId="61"/>
    <tableColumn id="5" xr3:uid="{87DB8530-574A-4F78-B8B6-53E443413A3D}" name="Strongly Agree" dataDxfId="60"/>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4BBD0160-21B4-4FE6-A9CE-BFAB96024A6F}" name="Tbl_Q22" displayName="Tbl_Q22" ref="ET3:EV12" totalsRowShown="0">
  <tableColumns count="3">
    <tableColumn id="1" xr3:uid="{B33D7833-49D5-44C2-92A7-EBE7E5D0EC00}" name="Annual Spend Range"/>
    <tableColumn id="2" xr3:uid="{C9461A3C-1D18-4875-8096-E95FAADA93B8}" name="No. Respondants" dataDxfId="59">
      <calculatedColumnFormula>COUNTIFS(Tbl_Responses[Soil testing annual spend],$ET4,Tbl_Responses[[Resp_Group]:[Resp_Group]],Agronomist)</calculatedColumnFormula>
    </tableColumn>
    <tableColumn id="3" xr3:uid="{0839D5CC-1DA4-4F1B-9E91-BF45F902D3DF}" name="% Respondants" dataDxfId="58" dataCellStyle="Percent">
      <calculatedColumnFormula>Tbl_Q22[[#This Row],[No. Respondants]]/SUM(Tbl_Q22[No. Respondants])</calculatedColumnFormula>
    </tableColumn>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2EB6FADB-6C83-4607-A1F4-9B34D37256DE}" name="Tbl_Q2248" displayName="Tbl_Q2248" ref="ET47:EV56" totalsRowShown="0">
  <tableColumns count="3">
    <tableColumn id="1" xr3:uid="{FE1CC2E1-C29D-4EC9-AC41-476E338BF74F}" name="Annual Spend Range"/>
    <tableColumn id="2" xr3:uid="{528F7031-5FA6-427B-A92E-8DAB5E4310D9}" name="No. Respondants" dataDxfId="57">
      <calculatedColumnFormula>COUNTIFS(Tbl_Responses[Soil testing annual spend],$ET48,Tbl_Responses[[Resp_Group]:[Resp_Group]],Agronomist)</calculatedColumnFormula>
    </tableColumn>
    <tableColumn id="3" xr3:uid="{91E50186-483E-4D30-8187-E77227F45654}" name="% Respondants" dataDxfId="56" dataCellStyle="Percent">
      <calculatedColumnFormula>Tbl_Q2248[[#This Row],[No. Respondants]]/SUM(Tbl_Q2248[No. Respondants])</calculatedColumnFormula>
    </tableColumn>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93A17FC3-20A6-4645-9576-62F4A338AED0}" name="Tbl_Q23" displayName="Tbl_Q23" ref="EY3:FA7" totalsRowShown="0">
  <tableColumns count="3">
    <tableColumn id="1" xr3:uid="{576702E6-7B44-4303-A596-82FF259EDD86}" name="5 year change in testing"/>
    <tableColumn id="2" xr3:uid="{84AE1266-9272-4FFB-9D5A-57946872ABB7}" name="No. Respondants" dataDxfId="55">
      <calculatedColumnFormula>COUNTIFS(Tbl_Responses[5 year change in testing],$EY4,Tbl_Responses[[Resp_Group]:[Resp_Group]],Agronomist)</calculatedColumnFormula>
    </tableColumn>
    <tableColumn id="3" xr3:uid="{3A02FF11-9A7A-4258-9D67-5EFC7C818455}" name="% Respondants" dataDxfId="54" dataCellStyle="Percent">
      <calculatedColumnFormula>Tbl_Q23[[#This Row],[No. Respondants]]/SUM(Tbl_Q23[No. Respondants])</calculatedColumnFormula>
    </tableColumn>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E85408C-3062-4665-984B-5E99D49A98C1}" name="Tbl_Q2350" displayName="Tbl_Q2350" ref="EY47:FA51" totalsRowShown="0">
  <tableColumns count="3">
    <tableColumn id="1" xr3:uid="{7FA82C8B-BAF4-489B-AA6B-0C183910FB74}" name="5 year change in testing"/>
    <tableColumn id="2" xr3:uid="{772D1BD0-DD37-4346-B012-54BB4AB6E7E7}" name="No. Respondants" dataDxfId="53">
      <calculatedColumnFormula>COUNTIFS(Tbl_Responses[5 year change in testing],$EY48,Tbl_Responses[[Resp_Group]:[Resp_Group]],Agronomist)</calculatedColumnFormula>
    </tableColumn>
    <tableColumn id="3" xr3:uid="{EB65CADD-83F1-46CE-B761-283845058E26}" name="% Respondants" dataDxfId="52" dataCellStyle="Percent">
      <calculatedColumnFormula>Tbl_Q2350[[#This Row],[No. Respondants]]/SUM(Tbl_Q2350[No. Respondants])</calculatedColumnFormula>
    </tableColumn>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50A7455-7736-4F75-B67C-572F208637C3}" name="Tbl_Q24" displayName="Tbl_Q24" ref="FD3:FF7" totalsRowShown="0">
  <tableColumns count="3">
    <tableColumn id="1" xr3:uid="{6B043365-E460-4FCB-8156-AD8554ED3EC8}" name="Future change in testing"/>
    <tableColumn id="2" xr3:uid="{83F7A1A3-2273-4CD1-9154-B2B51DC472EB}" name="No. Respondants" dataDxfId="51">
      <calculatedColumnFormula>COUNTIFS(Tbl_Responses[5 year future testing plan],$FD4,Tbl_Responses[[Resp_Group]:[Resp_Group]],Agronomist)</calculatedColumnFormula>
    </tableColumn>
    <tableColumn id="3" xr3:uid="{3CCBD79C-549F-4077-A1FD-C184F74D90CB}" name="% Respondants" dataDxfId="50" dataCellStyle="Percent">
      <calculatedColumnFormula>Tbl_Q24[[#This Row],[No. Respondants]]/SUM(Tbl_Q24[No. Respondants])</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2B6F98-6902-4043-A545-16A6E0006594}" name="Tbl_Q4a" displayName="Tbl_Q4a" ref="S3:AB14" totalsRowShown="0">
  <tableColumns count="10">
    <tableColumn id="1" xr3:uid="{A474F2A9-C871-4795-AED4-B919E6382D57}" name="% of respondants"/>
    <tableColumn id="3" xr3:uid="{4A56FE62-95D5-463D-BF31-E246CAEFEA88}" name="0-5%" dataDxfId="239" dataCellStyle="Percent">
      <calculatedColumnFormula>COUNTIFS(Tbl_Responses[[Variable Costs]:[Variable Costs]],T$3,Tbl_Responses[[Q1: region]:[Q1: region]],$S4)/COUNTA(Tbl_Responses[[Variable Costs]:[Variable Costs]])</calculatedColumnFormula>
    </tableColumn>
    <tableColumn id="4" xr3:uid="{CA7BDBB4-C69D-4FF8-B7C0-8BF3ACDF9D47}" name="5-10%" dataDxfId="238" dataCellStyle="Percent"/>
    <tableColumn id="5" xr3:uid="{F2313D07-2EF4-42A4-845E-2D539AE7D2D4}" name="10-15%" dataDxfId="237" dataCellStyle="Percent"/>
    <tableColumn id="6" xr3:uid="{3FC7D3E0-D879-48DE-9373-0CA02AED1470}" name="15-20%" dataDxfId="236" dataCellStyle="Percent"/>
    <tableColumn id="7" xr3:uid="{4BC15111-A7D6-4A84-A236-33B36CFC317E}" name="20-25%" dataDxfId="235" dataCellStyle="Percent"/>
    <tableColumn id="8" xr3:uid="{0ADB2CF0-705F-46A6-BB0A-09BB84F11A10}" name="25-30%" dataDxfId="234" dataCellStyle="Percent"/>
    <tableColumn id="9" xr3:uid="{759B8F42-13D7-40E9-89B6-FED1C1E31002}" name="30-35%" dataDxfId="233" dataCellStyle="Percent"/>
    <tableColumn id="10" xr3:uid="{22B074A9-15D4-4AB6-87AC-152B296D913E}" name="greater than 35%" dataDxfId="232" dataCellStyle="Percent"/>
    <tableColumn id="11" xr3:uid="{32679CB6-753F-4A2B-931F-EBAC4BBA5632}" name="Unsure" dataDxfId="231" dataCellStyle="Percent"/>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67E04766-CE67-4907-9E1A-AF870303DAE7}" name="Tbl_Q2452" displayName="Tbl_Q2452" ref="FD47:FF51" totalsRowShown="0">
  <tableColumns count="3">
    <tableColumn id="1" xr3:uid="{BEC6EEA9-DAD7-49CF-88F5-A68728FEE067}" name="Future change in testing"/>
    <tableColumn id="2" xr3:uid="{25CFBFE6-67DE-4317-999C-4233C8A90FE4}" name="No. Respondants" dataDxfId="49">
      <calculatedColumnFormula>COUNTIFS(Tbl_Responses[5 year future testing plan],$FD48,Tbl_Responses[[Resp_Group]:[Resp_Group]],Agronomist)</calculatedColumnFormula>
    </tableColumn>
    <tableColumn id="3" xr3:uid="{B3E90330-0613-4F31-8C8A-6E68E0F7CB29}" name="% Respondants" dataDxfId="48" dataCellStyle="Percent">
      <calculatedColumnFormula>Tbl_Q2452[[#This Row],[No. Respondants]]/SUM(Tbl_Q2452[No. Respondants])</calculatedColumnFormula>
    </tableColumn>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731D9B98-1A4C-40E5-BFB3-C160B3859A07}" name="Tbl_Q25" displayName="Tbl_Q25" ref="FI3:FK14" totalsRowShown="0">
  <autoFilter ref="FI3:FK14" xr:uid="{6EBBE5D6-CFCE-4D86-ACE2-9251080B9873}"/>
  <tableColumns count="3">
    <tableColumn id="1" xr3:uid="{C48180E6-5489-45C4-9C71-0846050CBB2A}" name="Reason"/>
    <tableColumn id="2" xr3:uid="{7CF6CB55-C0DB-4B52-AD9D-62891A5F71E5}" name="No. Respondants"/>
    <tableColumn id="3" xr3:uid="{A8330AE8-EF6C-437B-B934-2C6910A35E3C}" name="% Respondants"/>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DCE0C2AE-E997-47EC-BD1D-A46405982322}" name="Tbl_Q26" displayName="Tbl_Q26" ref="FN3:FP10" totalsRowShown="0">
  <tableColumns count="3">
    <tableColumn id="1" xr3:uid="{1C5CA93C-198B-4A1D-89F3-8E5F6EF9C5C3}" name="Reason" dataDxfId="47"/>
    <tableColumn id="2" xr3:uid="{829D984D-21B1-426C-AFDB-B9A3786BB1D5}" name="No. Respondants" dataDxfId="46">
      <calculatedColumnFormula>COUNTIFS(Tbl_Responses[The cost of soil samplingP],$EC4,Tbl_Responses[[Resp_Group]:[Resp_Group]],Agronomist)</calculatedColumnFormula>
    </tableColumn>
    <tableColumn id="3" xr3:uid="{630C2626-B719-44A9-B7C6-2E6C82EF466A}" name="% Respondants" dataDxfId="45" dataCellStyle="Percent">
      <calculatedColumnFormula>Tbl_Q26[[#This Row],[No. Respondants]]/SUM(Tbl_Q26[No. Respondants])</calculatedColumnFormula>
    </tableColumn>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D47B931C-89F1-4E4F-9D01-C26B74F5054B}" name="Tbl_Q2655" displayName="Tbl_Q2655" ref="FN47:FP54" totalsRowShown="0">
  <tableColumns count="3">
    <tableColumn id="1" xr3:uid="{0D1C0F87-A911-4A2F-B459-0827032727ED}" name="Reason" dataDxfId="44"/>
    <tableColumn id="2" xr3:uid="{BB2D2360-5E20-4FEE-8ED1-EF03ECCB7DDE}" name="No. Respondants" dataDxfId="43">
      <calculatedColumnFormula>COUNTIFS(Tbl_Responses[The cost of soil samplingP],$EC48,Tbl_Responses[[Resp_Group]:[Resp_Group]],Agronomist)</calculatedColumnFormula>
    </tableColumn>
    <tableColumn id="3" xr3:uid="{A8FF6620-D510-4350-827A-D8B2915989C5}" name="% Respondants" dataDxfId="42" dataCellStyle="Percent">
      <calculatedColumnFormula>Tbl_Q2655[[#This Row],[No. Respondants]]/SUM(Tbl_Q2655[No. Respondants])</calculatedColumnFormula>
    </tableColumn>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4AA26C32-EDFB-4B51-AF24-1476F99D7D2B}" name="Tbl_Q2556" displayName="Tbl_Q2556" ref="FI47:FK58" totalsRowShown="0">
  <autoFilter ref="FI47:FK58" xr:uid="{500AD3A1-A5F4-44D9-927C-7D96C5DF6806}"/>
  <tableColumns count="3">
    <tableColumn id="1" xr3:uid="{FAB32AA9-8483-453A-B07E-0357E9B24EA3}" name="Reason"/>
    <tableColumn id="2" xr3:uid="{E4849D5B-4C02-4303-8BB2-CD418A7FA5D5}" name="No. Respondants"/>
    <tableColumn id="3" xr3:uid="{5FC45829-4A86-4362-8862-C053A1047DB5}" name="% Respondants"/>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17B75732-DA44-446A-97AE-9A36E00F6C88}" name="Tbl_Q27" displayName="Tbl_Q27" ref="FS3:FW6" totalsRowShown="0" dataDxfId="41">
  <tableColumns count="5">
    <tableColumn id="1" xr3:uid="{FEED9EC7-82D7-4BA7-9813-381BE56FC919}" name="Statement" dataDxfId="40"/>
    <tableColumn id="2" xr3:uid="{59455AD3-0B05-45EB-8F62-EA009B0D000A}" name="Disagree" dataDxfId="39">
      <calculatedColumnFormula>COUNTIFS(Tbl_Responses[My clients businesses would be more profitable if they did more plant testing than they do now],Tbl_Q27[[#Headers],[Disagree]],Tbl_Responses[[Resp_Group]:[Resp_Group]],Agronomist)</calculatedColumnFormula>
    </tableColumn>
    <tableColumn id="3" xr3:uid="{D569AB12-9CCC-439E-AE5E-F504BC9CE348}" name="Neutral" dataDxfId="38"/>
    <tableColumn id="4" xr3:uid="{EE492336-3792-496E-B3AF-A5CE17769BFC}" name="Agree" dataDxfId="37"/>
    <tableColumn id="5" xr3:uid="{4F19FCB7-4900-4404-BCB0-8596BD8B2330}" name="Strongly Agree" dataDxfId="36"/>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47BB660C-46FD-4C5A-92E4-1B0392325A0C}" name="Tbl_Q2758" displayName="Tbl_Q2758" ref="FS47:FW51" totalsRowShown="0" dataDxfId="35">
  <tableColumns count="5">
    <tableColumn id="1" xr3:uid="{C318E679-D46F-4230-85A1-B87F67759F19}" name="Statement" dataDxfId="34"/>
    <tableColumn id="2" xr3:uid="{5B567A96-39A8-49C0-84C6-2230FF58F2BA}" name="Disagree" dataDxfId="33">
      <calculatedColumnFormula>COUNTIFS(Tbl_Responses[My clients businesses would be more profitable if they did more plant testing than they do now],Tbl_Q2758[[#Headers],[Disagree]],Tbl_Responses[[Resp_Group]:[Resp_Group]],Agronomist)</calculatedColumnFormula>
    </tableColumn>
    <tableColumn id="3" xr3:uid="{2E42BF9D-7975-4BAC-9364-F5026B92967A}" name="Neutral" dataDxfId="32"/>
    <tableColumn id="4" xr3:uid="{468BE0B3-C9F8-4D8A-83B8-2A29EE05A80E}" name="Agree" dataDxfId="31"/>
    <tableColumn id="5" xr3:uid="{64880489-C8EA-43AA-907A-47D5CB22DDA3}" name="Strongly Agree" dataDxfId="30"/>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BECCDEBA-12D0-4A85-8F92-A5A178DE5135}" name="Tbl_Q28" displayName="Tbl_Q28" ref="FZ3:GB12" totalsRowShown="0">
  <tableColumns count="3">
    <tableColumn id="1" xr3:uid="{0B2220DF-73FC-49E6-BA7E-D01883E6754F}" name="Annual Spend Range"/>
    <tableColumn id="2" xr3:uid="{06C899A6-476F-405E-BF44-6A023FA90023}" name="No. Respondants" dataDxfId="29">
      <calculatedColumnFormula>COUNTIFS(Tbl_Responses[Average annual spend - Plant testing],$FZ4,Tbl_Responses[[Resp_Group]:[Resp_Group]],Agronomist)</calculatedColumnFormula>
    </tableColumn>
    <tableColumn id="3" xr3:uid="{C3F29EA9-C78F-489A-8EBC-6CB03B14E960}" name="% Respondants" dataDxfId="28" dataCellStyle="Percent">
      <calculatedColumnFormula>Tbl_Q28[[#This Row],[No. Respondants]]/SUM(Tbl_Q28[No. Respondants])</calculatedColumnFormula>
    </tableColumn>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8EEAF9C8-92C1-48CC-9362-5421D7A898A2}" name="Tbl_Q2860" displayName="Tbl_Q2860" ref="FZ47:GB56" totalsRowShown="0">
  <tableColumns count="3">
    <tableColumn id="1" xr3:uid="{8C59A4DC-FFED-43BA-8892-F31F0EF4F478}" name="Annual Spend Range"/>
    <tableColumn id="2" xr3:uid="{FB2ADFB8-71A8-4839-A63A-F337337EA6A5}" name="No. Respondants" dataDxfId="27">
      <calculatedColumnFormula>COUNTIFS(Tbl_Responses[Average annual spend - Plant testing],$FZ48,Tbl_Responses[[Resp_Group]:[Resp_Group]],Agronomist)</calculatedColumnFormula>
    </tableColumn>
    <tableColumn id="3" xr3:uid="{CB5F5FFC-396C-4CFA-AC4F-6DD0132A8E5D}" name="% Respondants" dataDxfId="26" dataCellStyle="Percent">
      <calculatedColumnFormula>Tbl_Q2860[[#This Row],[No. Respondants]]/SUM(Tbl_Q2860[No. Respondants])</calculatedColumnFormula>
    </tableColumn>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4F4BD20C-DCA5-4F3D-9844-BB66FE82CC85}" name="Tbl_Q2361" displayName="Tbl_Q2361" ref="GE3:GG7" totalsRowShown="0">
  <tableColumns count="3">
    <tableColumn id="1" xr3:uid="{674A8511-1739-4BCD-9B8D-A2F4DF2FCFA0}" name="5 year change in testing"/>
    <tableColumn id="2" xr3:uid="{0EF78659-7D8A-454B-9F78-A2EC8E47C97A}" name="No. Respondants" dataDxfId="25">
      <calculatedColumnFormula>COUNTIFS(Tbl_Responses[5 years ago_Plant],$GE4,Tbl_Responses[[Resp_Group]:[Resp_Group]],Agronomist)</calculatedColumnFormula>
    </tableColumn>
    <tableColumn id="3" xr3:uid="{F8867CE4-744B-4DBD-A929-D2F27A03F182}" name="% Respondants" dataDxfId="24" dataCellStyle="Percent">
      <calculatedColumnFormula>Tbl_Q2361[[#This Row],[No. Respondants]]/SUM(Tbl_Q2361[No. Respondants])</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90ADFC-CF9F-4EFD-BB50-D699337156E7}" name="Tbl_Q19" displayName="Tbl_Q19" ref="A47:D57" totalsRowShown="0">
  <tableColumns count="4">
    <tableColumn id="1" xr3:uid="{6D1DB20F-0109-4D30-9568-62AF680A53DF}" name="Region"/>
    <tableColumn id="2" xr3:uid="{698EE35B-9036-4E49-8EFC-4D5986A84AE4}" name="Respondants" dataDxfId="230">
      <calculatedColumnFormula>COUNTIFS(Tbl_Responses[Q1: region],Results!$A48,Tbl_Responses[Resp_Group],Agronomist)</calculatedColumnFormula>
    </tableColumn>
    <tableColumn id="3" xr3:uid="{298648AC-EF79-42BE-B287-B718E9145BE8}" name="%" dataDxfId="229" dataCellStyle="Percent">
      <calculatedColumnFormula>B48/SUM(Tbl_Q19[Respondants])</calculatedColumnFormula>
    </tableColumn>
    <tableColumn id="4" xr3:uid="{969B66CF-21F6-4F8B-BA40-59C3D68A5D7F}" name="Ave Ha" dataDxfId="228" dataCellStyle="Comma">
      <calculatedColumnFormula>AVERAGEIFS(Tbl_Responses[Q2: Cropped Area],Tbl_Responses[Q1: region],Tbl_Q19[[#This Row],[Region]],Tbl_Responses[[Resp_Group]:[Resp_Group]],Agronomist)</calculatedColumnFormula>
    </tableColumn>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1DEDDC92-1971-4F12-9F88-AA7FF6528992}" name="Tbl_Q2462" displayName="Tbl_Q2462" ref="GJ3:GL7" totalsRowShown="0">
  <tableColumns count="3">
    <tableColumn id="1" xr3:uid="{91720A0D-D7B5-495B-9F02-0468A7F92919}" name="Future change in testing"/>
    <tableColumn id="2" xr3:uid="{A417C8D6-D76E-41A1-9B6E-89B5C8F791CB}" name="No. Respondants" dataDxfId="23">
      <calculatedColumnFormula>COUNTIFS(Tbl_Responses[5 years'' time_Plant],$GJ4,Tbl_Responses[[Resp_Group]:[Resp_Group]],Agronomist)</calculatedColumnFormula>
    </tableColumn>
    <tableColumn id="3" xr3:uid="{FF9EDE48-1FA7-4FE9-819B-BEBBCABE72E9}" name="% Respondants" dataDxfId="22" dataCellStyle="Percent">
      <calculatedColumnFormula>Tbl_Q2462[[#This Row],[No. Respondants]]/SUM(Tbl_Q2462[No. Respondants])</calculatedColumnFormula>
    </tableColumn>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901094E1-E1EB-4675-9E31-0A1518F289D3}" name="Tbl_Q236163" displayName="Tbl_Q236163" ref="GE47:GG51" totalsRowShown="0">
  <tableColumns count="3">
    <tableColumn id="1" xr3:uid="{915DBE02-B3D4-4481-9B3C-32FD666A1E23}" name="5 year change in testing"/>
    <tableColumn id="2" xr3:uid="{2B10D497-15C6-475C-8464-7523B5A7FE79}" name="No. Respondants" dataDxfId="21">
      <calculatedColumnFormula>COUNTIFS(Tbl_Responses[5 years ago_Plant],$GE48,Tbl_Responses[[Resp_Group]:[Resp_Group]],Agronomist)</calculatedColumnFormula>
    </tableColumn>
    <tableColumn id="3" xr3:uid="{C63168AB-1DDC-4A19-8924-C7C2AD27AE6E}" name="% Respondants" dataDxfId="20" dataCellStyle="Percent">
      <calculatedColumnFormula>Tbl_Q236163[[#This Row],[No. Respondants]]/SUM(Tbl_Q236163[No. Respondants])</calculatedColumnFormula>
    </tableColumn>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C5656FC2-D6A7-40A8-9769-7F6AE9E6F194}" name="Tbl_Q246264" displayName="Tbl_Q246264" ref="GJ47:GL51" totalsRowShown="0">
  <tableColumns count="3">
    <tableColumn id="1" xr3:uid="{86ADF9EE-9D3E-49CB-A98D-79FBE0667015}" name="Future change in testing"/>
    <tableColumn id="2" xr3:uid="{5D4335EB-0F37-45E4-9629-B2AE889FBA7B}" name="No. Respondants" dataDxfId="19">
      <calculatedColumnFormula>COUNTIFS(Tbl_Responses[5 years'' time_Plant],$GJ48,Tbl_Responses[[Resp_Group]:[Resp_Group]],Agronomist)</calculatedColumnFormula>
    </tableColumn>
    <tableColumn id="3" xr3:uid="{A1F4782A-1F6A-4295-B7EA-50F0E0B6563B}" name="% Respondants" dataDxfId="18" dataCellStyle="Percent">
      <calculatedColumnFormula>Tbl_Q246264[[#This Row],[No. Respondants]]/SUM(Tbl_Q246264[No. Respondants])</calculatedColumnFormula>
    </tableColumn>
  </tableColumns>
  <tableStyleInfo name="TableStyleMedium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AD7CFD87-13BF-46F0-9F29-4D5D6727E798}" name="Tbl_1965" displayName="Tbl_1965" ref="GO3:GQ10" totalsRowShown="0">
  <tableColumns count="3">
    <tableColumn id="1" xr3:uid="{BF8F1374-8250-44B5-9793-8D7C7EDB2EFF}" name="Reason"/>
    <tableColumn id="2" xr3:uid="{356F2607-0F9D-42A3-B509-8B1F989039FB}" name="No. Responses" dataDxfId="17">
      <calculatedColumnFormula>COUNTIFS(Tbl_Responses[The ability to translate soil test results into a profitable fertiliser decision for my paddock],$EC4,Tbl_Responses[[Resp_Group]:[Resp_Group]],Agronomist)</calculatedColumnFormula>
    </tableColumn>
    <tableColumn id="3" xr3:uid="{F0C410C3-0C16-4D39-B3A6-01C165071863}" name="% Responses" dataDxfId="16" dataCellStyle="Percent">
      <calculatedColumnFormula>Tbl_1965[[#This Row],[No. Responses]]/SUM(Tbl_1965[No. Responses])</calculatedColumnFormula>
    </tableColumn>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2022F39E-62F0-461F-A835-894B91A5284D}" name="Tbl_196566" displayName="Tbl_196566" ref="GT3:GV10" totalsRowShown="0">
  <tableColumns count="3">
    <tableColumn id="1" xr3:uid="{194B9EDA-E71C-40B3-AC37-D489C0120DAF}" name="Reason"/>
    <tableColumn id="2" xr3:uid="{437A1506-068B-4F94-97C9-F21644F75120}" name="No. Responses" dataDxfId="15">
      <calculatedColumnFormula>COUNTIFS(Tbl_Responses[The ability to translate soil test results into a profitable fertiliser decision for my paddock],$EC4,Tbl_Responses[[Resp_Group]:[Resp_Group]],Agronomist)</calculatedColumnFormula>
    </tableColumn>
    <tableColumn id="3" xr3:uid="{5FA6ADD9-6988-4111-BADD-1F3359A2E2B8}" name="% Responses" dataDxfId="14" dataCellStyle="Percent">
      <calculatedColumnFormula>Tbl_196566[[#This Row],[No. Responses]]/SUM(Tbl_196566[No. Responses])</calculatedColumnFormula>
    </tableColumn>
  </tableColumns>
  <tableStyleInfo name="TableStyleMedium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D6B12FF3-BB04-4323-81CD-6CBCE5A26905}" name="Tbl_196567" displayName="Tbl_196567" ref="GO47:GQ54" totalsRowShown="0">
  <tableColumns count="3">
    <tableColumn id="1" xr3:uid="{E88A30A4-D69A-4F68-9E0F-C432343B9CAB}" name="Reason"/>
    <tableColumn id="2" xr3:uid="{AF506760-0A15-410E-8C40-124F0778FEB3}" name="No. Responses" dataDxfId="13">
      <calculatedColumnFormula>COUNTIFS(Tbl_Responses[The ability to translate soil test results into a profitable fertiliser decision for my paddock],$EC48,Tbl_Responses[[Resp_Group]:[Resp_Group]],Agronomist)</calculatedColumnFormula>
    </tableColumn>
    <tableColumn id="3" xr3:uid="{5F24709F-EC4A-4F84-9058-E0EA2203DB78}" name="% Responses" dataDxfId="12" dataCellStyle="Percent">
      <calculatedColumnFormula>Tbl_196567[[#This Row],[No. Responses]]/SUM(Tbl_196567[No. Responses])</calculatedColumnFormula>
    </tableColumn>
  </tableColumns>
  <tableStyleInfo name="TableStyleMedium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497858CA-893A-48B2-B785-E2FF971B3AA0}" name="Tbl_19656668" displayName="Tbl_19656668" ref="GT47:GV54" totalsRowShown="0">
  <tableColumns count="3">
    <tableColumn id="1" xr3:uid="{705B8A90-C7FB-4114-A8D7-03C76849D0CF}" name="Reason"/>
    <tableColumn id="2" xr3:uid="{FE655EED-7560-44CF-8769-635F423086E7}" name="No. Responses" dataDxfId="11">
      <calculatedColumnFormula>COUNTIFS(Tbl_Responses[The ability to translate soil test results into a profitable fertiliser decision for my paddock],$EC48,Tbl_Responses[[Resp_Group]:[Resp_Group]],Agronomist)</calculatedColumnFormula>
    </tableColumn>
    <tableColumn id="3" xr3:uid="{391918B2-B666-4952-80B7-D8AF5E0A7534}" name="% Responses" dataDxfId="10" dataCellStyle="Percent">
      <calculatedColumnFormula>Tbl_19656668[[#This Row],[No. Responses]]/SUM(Tbl_19656668[No. Responses])</calculatedColumnFormula>
    </tableColumn>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A9A070C0-E554-4798-AF5C-471F3AD07FC8}" name="Tbl_infoSources" displayName="Tbl_infoSources" ref="HA3:HC16" totalsRowShown="0">
  <tableColumns count="3">
    <tableColumn id="1" xr3:uid="{52CA320D-E6F7-49E6-8A92-F0D26CCE8393}" name="Source" dataDxfId="9"/>
    <tableColumn id="2" xr3:uid="{B48DE1F3-9CD2-47E4-A10F-7AB1851D1F44}" name="No. Responses" dataDxfId="8">
      <calculatedColumnFormula>COUNTIFS(Tbl_Responses[Rural newspapers],$HA4,Tbl_Responses[[Resp_Group]:[Resp_Group]],Agronomist)</calculatedColumnFormula>
    </tableColumn>
    <tableColumn id="3" xr3:uid="{E2C6AEEE-11F7-4380-A10F-F58B9CEA3025}" name="% Responses" dataDxfId="7" dataCellStyle="Percent">
      <calculatedColumnFormula>Tbl_infoSources[[#This Row],[No. Responses]]/SUM(Tbl_infoSources[No. Responses])</calculatedColumnFormula>
    </tableColumn>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5B95B6ED-FC5C-45AB-868F-3AB30B1C46DB}" name="Tbl_infoSources70" displayName="Tbl_infoSources70" ref="HA47:HC60" totalsRowShown="0">
  <tableColumns count="3">
    <tableColumn id="1" xr3:uid="{5A4F6561-3D2A-4DD1-8051-C5479F7A9715}" name="Source" dataDxfId="6"/>
    <tableColumn id="2" xr3:uid="{43716677-BB2B-49B5-9B18-3DE5E97668E1}" name="No. Responses" dataDxfId="5">
      <calculatedColumnFormula>COUNTIFS(Tbl_Responses[Rural newspapers],$HA48,Tbl_Responses[[Resp_Group]:[Resp_Group]],Agronomist)</calculatedColumnFormula>
    </tableColumn>
    <tableColumn id="3" xr3:uid="{A7B1F79B-B78C-4AF5-B6E1-FA425C8811FF}" name="% Responses" dataDxfId="4" dataCellStyle="Percent">
      <calculatedColumnFormula>Tbl_infoSources70[[#This Row],[No. Responses]]/SUM(Tbl_infoSources70[No. Responses])</calculatedColumnFormula>
    </tableColumn>
  </tableColumns>
  <tableStyleInfo name="TableStyleMedium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88ABE9-91E9-43F5-BC2E-DAEF6F02CB3D}" name="Tbl_Responses" displayName="Tbl_Responses" ref="B4:HP174" totalsRowShown="0" headerRowDxfId="3" tableBorderDxfId="2">
  <autoFilter ref="B4:HP174" xr:uid="{613D46D6-76F9-44B5-98EB-95F181D10F98}"/>
  <tableColumns count="223">
    <tableColumn id="1" xr3:uid="{1574DC27-DFE0-40CC-B5EF-F879D777226B}" name="Respondent ID"/>
    <tableColumn id="217" xr3:uid="{5E174913-7502-4767-8C14-8DC3BD9EAD67}" name="Resp_Group"/>
    <tableColumn id="2" xr3:uid="{6DAB1964-9C86-4083-917E-C0E0000F75EC}" name="Collector ID"/>
    <tableColumn id="3" xr3:uid="{5E71AABF-DC2F-4A16-AA75-7BCEA4446D1D}" name="Start Date" dataDxfId="1"/>
    <tableColumn id="4" xr3:uid="{DCAEBC67-16C9-48D4-B712-76AB825AE677}" name="End Date" dataDxfId="0"/>
    <tableColumn id="5" xr3:uid="{EA740804-55BC-49E2-A764-4C9F3277BB43}" name="IP Address"/>
    <tableColumn id="6" xr3:uid="{CD3857EB-206E-445D-A1A2-44A0FADE445F}" name="Email Address"/>
    <tableColumn id="7" xr3:uid="{F248EE78-B8C8-4919-89AB-AE92C3284D68}" name="First Name"/>
    <tableColumn id="8" xr3:uid="{85EF8EB5-877C-43EE-8296-B65DCE64C330}" name="Last Name"/>
    <tableColumn id="9" xr3:uid="{D998D681-EC16-4E2C-BE88-C3AEEA7854EF}" name="Custom Data 1"/>
    <tableColumn id="10" xr3:uid="{5BC0B232-E94A-46C9-9B38-947B64A261D7}" name="Q1: region"/>
    <tableColumn id="11" xr3:uid="{5093422E-8A7E-4976-A0A4-D7B7B9BACA2A}" name="Q1:Other"/>
    <tableColumn id="12" xr3:uid="{D3B5E1E2-4945-4262-9F51-8048137AA35B}" name="Q2: Cropped Area"/>
    <tableColumn id="13" xr3:uid="{0376E2DB-0E6D-4E50-93F3-375CA7EF71C0}" name="Cerals (wheat, barley, oats)"/>
    <tableColumn id="14" xr3:uid="{0AA62E5E-CE13-4ABE-A5C1-7137D00DE00E}" name="Canola"/>
    <tableColumn id="15" xr3:uid="{D36A1B82-EBC5-440B-AB81-920EBFD751D3}" name="Pulses (peas, beans, lupins, lentils, chickpeas)"/>
    <tableColumn id="16" xr3:uid="{9A63FDDA-3CD1-4630-B18A-8E4FE2C9AF5B}" name="Pasture"/>
    <tableColumn id="17" xr3:uid="{8F0552C5-BB9D-4E04-AF6F-3404F7F37AD4}" name="Hay"/>
    <tableColumn id="18" xr3:uid="{7AF23C02-7C42-4307-95B7-A469E935EBC1}" name="Fallow"/>
    <tableColumn id="19" xr3:uid="{A0430AB7-29EC-4991-9CF9-3262D60706DD}" name="Variable Costs"/>
    <tableColumn id="20" xr3:uid="{91E44475-710A-470B-A78C-900042EE571D}" name="Open-Ended Response"/>
    <tableColumn id="214" xr3:uid="{D3C0573A-6922-4B8B-87ED-27A4501B72CD}" name="Def_Nutrient_ID"/>
    <tableColumn id="21" xr3:uid="{48F0D8BE-1A11-4DDE-9AB7-D6357D445764}" name="Q6: Do you do/recommend soil and/or plant testing?"/>
    <tableColumn id="218" xr3:uid="{8296FB0C-E539-4EAA-94AC-F58A8B8AC659}" name="Q7: Who makes the nurtient decisions on your farm (grower only)"/>
    <tableColumn id="22" xr3:uid="{8F828C29-EFE4-4649-8707-98855B402AAC}" name="Q8: Of your clients, how many of them rely entirely on you to make the nutrient decisions?"/>
    <tableColumn id="23" xr3:uid="{5FD73B64-E6DD-438E-844D-E9A792BA3FA8}" name="Response4"/>
    <tableColumn id="24" xr3:uid="{9794C62B-AD8A-41E0-8876-94A5C57BFBA0}" name="Response5"/>
    <tableColumn id="25" xr3:uid="{A12DC71B-A726-4216-AF40-7ECF02209B08}" name="Response6"/>
    <tableColumn id="26" xr3:uid="{58E3896F-D322-46E0-B695-1B963306179B}" name="Other (please specify)"/>
    <tableColumn id="27" xr3:uid="{39B47042-6445-4487-AD9A-4BEE4400574C}" name="Response7"/>
    <tableColumn id="28" xr3:uid="{AD6DF1BE-4184-448B-B9E7-4886B2FA6621}" name="Other (please specify)8"/>
    <tableColumn id="29" xr3:uid="{9F9C7883-FFE9-40FC-90A0-46BA5D25B712}" name="Source 1"/>
    <tableColumn id="215" xr3:uid="{316DD8E9-55D9-4EFC-9CBE-E19FED5F05A9}" name="Source_1_ID"/>
    <tableColumn id="30" xr3:uid="{D332DC49-2FE4-4ED4-B928-287D304E7082}" name="Source 2"/>
    <tableColumn id="219" xr3:uid="{B4B0093D-5BD0-4A38-8387-CF86144672A7}" name="Source_2_ID"/>
    <tableColumn id="31" xr3:uid="{EBB7E813-D17A-4DF8-AD78-FA101811222B}" name="Source 3"/>
    <tableColumn id="220" xr3:uid="{9657B8FE-B1E2-46CE-9100-A7549EA845A2}" name="Source_3_ID"/>
    <tableColumn id="32" xr3:uid="{957CBE91-68AA-497A-B4D3-E522BC046A8F}" name="P"/>
    <tableColumn id="33" xr3:uid="{A19077D5-DA6F-4973-92A9-5EFEDF010A2B}" name="N"/>
    <tableColumn id="34" xr3:uid="{1D711534-3354-465C-80A2-324C23AD2B4C}" name="Micronutrients"/>
    <tableColumn id="35" xr3:uid="{3032E853-09A5-4438-8885-E55276051223}" name="What % of your clients soil tested in 2018?"/>
    <tableColumn id="36" xr3:uid="{905B0363-024E-4084-8A81-B78AB96165BE}" name="What % of your clients tested for N in 2018?"/>
    <tableColumn id="37" xr3:uid="{EF720C36-2EE3-4C27-9ED6-4171B758D193}" name="What % of your clients tested for N to at least 60cm in 2018?"/>
    <tableColumn id="38" xr3:uid="{7B578AA2-71A7-45F1-9AF3-0214AAF4C74D}" name="What % of your clients tested for P in 2018?"/>
    <tableColumn id="223" xr3:uid="{99E4B366-9550-4FA0-85CE-1EF33F04B926}" name="Other (grower only)"/>
    <tableColumn id="39" xr3:uid="{ED1A2F1A-6F9C-40C0-98F2-B29534E86F18}" name="Nitrogen 1 - Type of test"/>
    <tableColumn id="40" xr3:uid="{A2D74E36-18EB-46E7-BCC7-6003666E0FA0}" name="Nitrogen 1 - Frequency (times per season)"/>
    <tableColumn id="41" xr3:uid="{E6000A55-FD8F-44B9-9896-B333B6B71DE2}" name="Nitrogen 1 - How many representative samples per paddock"/>
    <tableColumn id="42" xr3:uid="{CC42CE85-8D32-4B8E-A10C-CF8DC865DC55}" name="Nitrogen 2 - Type of test"/>
    <tableColumn id="43" xr3:uid="{39D16EAD-2B09-4F4F-BF88-6F7B277C91C0}" name="Nitrogen 2 - Frequency (times per season)"/>
    <tableColumn id="44" xr3:uid="{C5E62511-D055-4177-8690-E8B7AE4A7DF2}" name="Nitrogen 2 - How many representative samples per paddock"/>
    <tableColumn id="45" xr3:uid="{87F4347F-EF36-4056-B12A-456452DF12AE}" name="Nitrogen 3 - Type of test"/>
    <tableColumn id="46" xr3:uid="{DAF5E38C-20E3-4036-A52B-F6E81137B8E8}" name="Nitrogen 3 - Frequency (times per season)"/>
    <tableColumn id="47" xr3:uid="{A132C016-BFA5-42DF-8C1C-95F235F63CD2}" name="Nitrogen 3 - How many representative samples per paddock"/>
    <tableColumn id="48" xr3:uid="{A3EBCC2C-F224-4308-96F0-DFE3C316CA08}" name="How frequently are paddocks tested i.e. every 3 years, every 5 years ... other?"/>
    <tableColumn id="49" xr3:uid="{D1654069-7932-40E7-AAF0-B51A084D82A1}" name="Phosphorus 1 - Type of test"/>
    <tableColumn id="50" xr3:uid="{9648EA2A-A12D-4211-AAD3-AE135215A829}" name="Phosphorus 1 - Frequency (times per season)"/>
    <tableColumn id="51" xr3:uid="{CD33D4F0-2CE1-45E0-A4C9-A4B627CF0898}" name="Phosphorus 1 - How many representative samples per paddock"/>
    <tableColumn id="52" xr3:uid="{D270F185-C297-47E5-8E09-3B0FFFCE8C72}" name="Phosphorus 2 - Type of test"/>
    <tableColumn id="53" xr3:uid="{481BF72E-DE41-4EE4-AD9C-D896C9A2A090}" name="Phosphorus 2 - Frequency (times per season)"/>
    <tableColumn id="54" xr3:uid="{DF75BC28-A9F8-4812-9850-3E73F4B058ED}" name="Phosphorus 2 - How many representative samples per paddock"/>
    <tableColumn id="55" xr3:uid="{0C580981-023A-409D-939F-79E6A4794970}" name="Phosphorus 3 - Type of test"/>
    <tableColumn id="56" xr3:uid="{5D16330E-134A-441F-9B0A-42CC8B7C1296}" name="Phosphorus 3 - Frequency (times per season)"/>
    <tableColumn id="57" xr3:uid="{547847E3-5769-4DA8-9982-8E9A2C57E190}" name="Phosphorus 3 - How many representative samples per paddock"/>
    <tableColumn id="58" xr3:uid="{1C447A60-A9A3-488D-A2DA-51A00A9513EB}" name="Phosphorus 4 - Type of test"/>
    <tableColumn id="59" xr3:uid="{31C3DCA4-340F-48AF-924D-4C643F29C15E}" name="Phosphorus 4 - Frequency (times per season)"/>
    <tableColumn id="60" xr3:uid="{31DE726E-4C03-4181-8B81-28A53028ED53}" name="Phosphorus 4 - How many representative samples per paddock"/>
    <tableColumn id="61" xr3:uid="{CE5C2F21-7F0A-4DC6-9AE6-EDA6731DBBED}" name="Phosphorus 5 - Type of test"/>
    <tableColumn id="62" xr3:uid="{28786D76-32B4-4C40-A1E3-2D4742A6BC34}" name="Phosphorus 5 - Frequency (times per season)"/>
    <tableColumn id="63" xr3:uid="{62D962E3-1E24-4C31-A7E6-3455D5544293}" name="Phosphorus 5 - How many representative samples per paddock"/>
    <tableColumn id="64" xr3:uid="{29DB45DB-013C-415D-84C0-070F24F01AB0}" name="How frequently are your clients paddocks tested i.e. every 3 years, every 5 years ... other?"/>
    <tableColumn id="65" xr3:uid="{2CA59C19-CF2A-4338-A5BB-73361534DE19}" name="Potassium 1 - Type of test"/>
    <tableColumn id="66" xr3:uid="{431B614E-DB07-4F87-B091-215A041A0C16}" name="Potassium 1 - Frequency (times per season)"/>
    <tableColumn id="67" xr3:uid="{6C2049F1-CB88-43C7-95E6-F394F7866582}" name="Potassium 1 - How many representative samples per paddock"/>
    <tableColumn id="68" xr3:uid="{0C85CC71-FC6B-4550-98E8-9375FEE3FA5E}" name="Potassium 2 - Type of test"/>
    <tableColumn id="69" xr3:uid="{8FC6F6DD-198F-4E82-9AFE-F48F65B8E8D2}" name="Potassium 2 - Frequency (times per season)"/>
    <tableColumn id="70" xr3:uid="{5C2AA36B-6555-4320-B26C-5A4014C8805B}" name="Potassium 2 - How many representative samples per paddock"/>
    <tableColumn id="71" xr3:uid="{E6FCD511-0B1B-4D28-A903-6B92B00AA7A2}" name="Potassium 3 - Type of test"/>
    <tableColumn id="72" xr3:uid="{BF1A5EA7-C439-4D72-A105-3BF6A500D18C}" name="Potassium 3 - Frequency (times per season)"/>
    <tableColumn id="73" xr3:uid="{42A6CFAB-1A1B-465D-91C1-38DEA3194CA0}" name="Potassium 3 - How many representative samples per paddock"/>
    <tableColumn id="74" xr3:uid="{6599775E-759E-459C-80DC-32A53B60717B}" name="How frequently are your clients paddocks tested i.e. every 3 years, every 5 years ... other?9"/>
    <tableColumn id="75" xr3:uid="{B628801F-D8E5-40A3-BFDD-E63CE386CD58}" name="1 - Type of test"/>
    <tableColumn id="76" xr3:uid="{7117B7FF-922F-429B-8D9D-C77C7F836A8D}" name="1 - Frequency (times per season)"/>
    <tableColumn id="77" xr3:uid="{99CA234F-C8EE-4CAE-AD6B-E2822AA9E349}" name="1 - How many cores per paddock"/>
    <tableColumn id="78" xr3:uid="{A40FCED9-89C3-41D9-9195-D9D027045F47}" name="2 - Type of test"/>
    <tableColumn id="79" xr3:uid="{50C1274A-5A8A-416B-AC97-CED067005DDC}" name="2 - Frequency (times per season)"/>
    <tableColumn id="80" xr3:uid="{4CE18F8D-795D-44B4-B3CA-6D55FB4DC802}" name="2 - How many cores per paddock"/>
    <tableColumn id="81" xr3:uid="{5BED6D44-C8D7-4A5B-BCAF-A42D0FCA0E36}" name="3 - Type of test"/>
    <tableColumn id="82" xr3:uid="{3A41D650-C28A-4048-90C9-2C17DEA19077}" name="3 - Frequency (times per season)"/>
    <tableColumn id="83" xr3:uid="{C334A388-F708-4ECD-8E82-8DB2B38A4CB5}" name="3 - How many cores per paddock"/>
    <tableColumn id="84" xr3:uid="{AEA080A1-5B0E-4A46-A4F9-0DC33E851B27}" name="4 - Type of test"/>
    <tableColumn id="85" xr3:uid="{98648AC4-0962-4E3E-9709-F9C62702A596}" name="4 - Frequency (times per season)"/>
    <tableColumn id="86" xr3:uid="{4FDA9CA8-1B67-43E2-94ED-2EC8C9693F38}" name="4 - How many cores per paddock"/>
    <tableColumn id="87" xr3:uid="{8032C95F-61A4-4C28-90AD-E33D5C1A320A}" name="5 - Type of test"/>
    <tableColumn id="88" xr3:uid="{946B1E6A-F49A-4F8D-8132-28F75406DD72}" name="5 - Frequency (times per season)"/>
    <tableColumn id="89" xr3:uid="{E4FCC5E9-8948-432E-ACCC-C118754D24A0}" name="5 - How many cores per paddock"/>
    <tableColumn id="90" xr3:uid="{DFE133E4-B864-4891-8603-383E1C031E6B}" name="6 - Type of test"/>
    <tableColumn id="91" xr3:uid="{3830263E-2DBE-44E3-BCBB-E041C3417165}" name="6 - Frequency (times per season)"/>
    <tableColumn id="92" xr3:uid="{2789DC04-FDED-44B8-BC9C-DF8D20BDB3AF}" name="6 - How many cores per paddock"/>
    <tableColumn id="93" xr3:uid="{6E488CDB-0626-46A2-8F28-7FF2DF0E2E05}" name="7 - Type of test"/>
    <tableColumn id="94" xr3:uid="{051BCF0F-5D28-4973-B33C-0182580D5279}" name="7 - Frequency (times per season)"/>
    <tableColumn id="95" xr3:uid="{3C7253FB-F169-4CD9-8B51-C6B33316D3E7}" name="7 - How many cores per paddock"/>
    <tableColumn id="96" xr3:uid="{85079351-FD3D-4A1D-860E-876022915773}" name="8 - Type of test"/>
    <tableColumn id="97" xr3:uid="{2C9DE418-B9E6-40EB-90EA-812BD41821BD}" name="8 - Frequency (times per season)"/>
    <tableColumn id="98" xr3:uid="{BA1BD31D-7D26-4965-BAED-A99A07C9AC63}" name="8 - How many cores per paddock"/>
    <tableColumn id="99" xr3:uid="{94D240A5-2DC5-4512-B6FA-F2D3FCA97776}" name="How frequently are your clients paddocks tested i.e. every 3 years, every 5 years ... other?10"/>
    <tableColumn id="100" xr3:uid="{9D3EE507-D0B6-464A-BCB2-4038523273AD}" name="1"/>
    <tableColumn id="101" xr3:uid="{A0C80CD1-D3CC-470A-87BA-74B5CA173843}" name="2"/>
    <tableColumn id="102" xr3:uid="{0F56B37A-599E-45CD-B3AA-DC41A5882706}" name="3"/>
    <tableColumn id="103" xr3:uid="{6ED99C9E-A28C-45FA-A118-281FE7DD36A2}" name="The cost of soil sampling"/>
    <tableColumn id="104" xr3:uid="{F57C53CF-292B-4319-840A-EC9BD4DE50CD}" name="The time required for soil sampling"/>
    <tableColumn id="105" xr3:uid="{DD74F601-379F-4929-AB13-69915849CCEF}" name="The cost of soil testing lab analysis"/>
    <tableColumn id="106" xr3:uid="{1AAD8A95-4368-4746-B0C5-807E579DE09D}" name="The difficulty in being able to represent the variability in a paddock"/>
    <tableColumn id="107" xr3:uid="{34402AEB-1FE8-4FDB-BE9A-A9445B790737}" name="The level of accuracy of soil testing lab analysis"/>
    <tableColumn id="108" xr3:uid="{0738F5C8-B68A-411A-98AA-C408CFAEF52B}" name="The ability to translate soil test results into a profitable fertiliser decision for my paddock"/>
    <tableColumn id="109" xr3:uid="{F5FF7429-FCEE-4B7F-A320-CD3F090FE197}" name="Not being able to get soil test results at the right time for decision making"/>
    <tableColumn id="110" xr3:uid="{BE0081E8-2A00-4761-8A03-372BF2A71692}" name="General comments:"/>
    <tableColumn id="111" xr3:uid="{2DFFD03D-5A20-4E11-AE56-D731CD067DCC}" name="The cost of soil samplingP"/>
    <tableColumn id="112" xr3:uid="{38F2212E-21BD-4AB6-ACE9-1EA07AE5998F}" name="The time required for soil samplingP"/>
    <tableColumn id="113" xr3:uid="{D4EB20B5-5491-4EF7-B9DD-312175F23A7B}" name="The cost of soil testing lab analysisP"/>
    <tableColumn id="114" xr3:uid="{ABC453B6-97CE-4485-81E0-58396FF5503C}" name="The difficulty in being able to represent the variability in a paddockP"/>
    <tableColumn id="115" xr3:uid="{F1F16613-E21F-4D4D-BD55-F36A6B47569B}" name="The level of accuracy of soil testing lab analysisP"/>
    <tableColumn id="116" xr3:uid="{AA917E13-7AC2-4EEF-A399-9EAB99DD6302}" name="The ability to translate soil test results into a profitable fertiliser decision for my paddockP"/>
    <tableColumn id="117" xr3:uid="{B27CC383-5566-4F01-BD08-C4DB4C07CCBD}" name="Not being able to get soil test results at the right time for decision makingP"/>
    <tableColumn id="118" xr3:uid="{C39C001F-227D-4CA3-90E3-FD1F373AFF94}" name="General comments:P"/>
    <tableColumn id="119" xr3:uid="{BC001D15-2A38-4BBE-8D12-75983245CC0F}" name="My clients businesses would be more profitable if they did more soil testing than they do now"/>
    <tableColumn id="120" xr3:uid="{4822BD67-E2CA-4A87-A281-F3E254290EA8}" name="Uncertainty about how the season will turn out makes it hard to get value from soil testing results"/>
    <tableColumn id="121" xr3:uid="{FA428BB6-54B2-4ACB-869D-84E6B360BB7B}" name="My clients recommend the use of regular soil testing to other local farmers"/>
    <tableColumn id="230" xr3:uid="{D23E4351-E56F-4A9A-AD4A-7EEFEE250817}" name="The use of soil testing on my farm increases my profitability (Grower only Q)"/>
    <tableColumn id="122" xr3:uid="{E7D93BEE-9543-46EE-A720-CD116B9A548B}" name="Feel free to comment on this response"/>
    <tableColumn id="123" xr3:uid="{6F858157-2F4E-47B8-9FF7-3AF19E44E822}" name="Soil testing annual spend"/>
    <tableColumn id="124" xr3:uid="{C6FE44A5-0F3E-418B-870A-29A6ED8AEEE5}" name="Other (please specify)20"/>
    <tableColumn id="125" xr3:uid="{6CE13389-5E88-438C-AB9B-1BD21A03605F}" name="5 year change in testing"/>
    <tableColumn id="126" xr3:uid="{1DA72663-EAAE-4B95-AD37-EF229B7DDBBD}" name="Other (please specify)22"/>
    <tableColumn id="127" xr3:uid="{DF5CED42-D651-4826-9767-4E4CAE458A65}" name="5 year future testing plan"/>
    <tableColumn id="128" xr3:uid="{9AEEFEE8-338F-49B7-B2AE-6691D0CF5D1B}" name="Other (please specify)24"/>
    <tableColumn id="129" xr3:uid="{39839746-DA63-4417-BA86-87289356F329}" name="Open-Ended Response25"/>
    <tableColumn id="130" xr3:uid="{BB9C503D-B923-4475-807B-9BD1D9004D43}" name="126"/>
    <tableColumn id="131" xr3:uid="{7A7719C7-EAEC-48A1-A817-CE017AEE3D9A}" name="227"/>
    <tableColumn id="132" xr3:uid="{E7061788-C1EC-4556-AEC5-AC36C449E746}" name="328"/>
    <tableColumn id="133" xr3:uid="{950E92EF-2668-4D18-947E-C4DF4D0AB75E}" name="The cost of sampling_Plant"/>
    <tableColumn id="134" xr3:uid="{35B64318-3AD8-4B21-B607-5263935EEBE0}" name="The time required for sampling_Plant"/>
    <tableColumn id="135" xr3:uid="{1F0CF711-D6D2-4771-B58A-77E463F76CAC}" name="The cost of lab analysis_Plant"/>
    <tableColumn id="136" xr3:uid="{219837FD-EC14-4519-A19B-FD04A4703FC1}" name="The difficulty in being able to represent the variability in a paddock_Plant"/>
    <tableColumn id="137" xr3:uid="{B7963639-A82E-4162-BA6D-E8B69C90311E}" name="The level of accuracy of lab analysis_Plant"/>
    <tableColumn id="138" xr3:uid="{36230713-7B31-4BBB-9FBB-FD177853CABC}" name="The ability to translate test results into a profitable decision_Plant"/>
    <tableColumn id="139" xr3:uid="{5A14C276-3E68-4F76-97F5-5D94E2C836CA}" name="Not being able to get test results at the right time for decision making_Plant"/>
    <tableColumn id="140" xr3:uid="{C30DCFD6-6FAC-4F55-B996-C88492001811}" name="General comments:30"/>
    <tableColumn id="141" xr3:uid="{A1D666C3-3B7D-4753-B924-044AF335462D}" name="My clients businesses would be more profitable if they did more plant testing than they do now"/>
    <tableColumn id="142" xr3:uid="{C71826DA-54E2-4053-9D0E-9D8A2F3FE99C}" name="Uncertainty about how the season will turn out makes it hard to get value from plant testing results"/>
    <tableColumn id="143" xr3:uid="{C1767EFE-E1B9-426B-840A-1A0A8B1493F7}" name="My clients recommend the use of regular plant testing to other local farmers"/>
    <tableColumn id="231" xr3:uid="{5FCA2C23-3703-4FB3-B831-537F910549E3}" name="The use of plant testing on my farm increases my profitability(Grower Only Q)"/>
    <tableColumn id="144" xr3:uid="{785EAD65-9B59-4A85-916D-B2007207A05F}" name="Feel free to comment on this response31"/>
    <tableColumn id="145" xr3:uid="{3A3B8513-D9BE-40F0-B3B4-8A7712129BF9}" name="Average annual spend - Plant testing"/>
    <tableColumn id="146" xr3:uid="{CE3E059C-82C2-4045-A902-19D8D1E9CF8C}" name="Other (please specify)33"/>
    <tableColumn id="147" xr3:uid="{A5CEEA72-E1B6-40F5-9F6B-5660F4747C27}" name="5 years ago_Plant"/>
    <tableColumn id="148" xr3:uid="{F4AA7CFE-6284-4A0D-B4DC-C4B0BD6BA2B2}" name="5 years' time_Plant"/>
    <tableColumn id="232" xr3:uid="{45992D8A-20FB-40AD-ADB1-DA2E1CEB3F02}" name="Is the use of soil testing on your farm increasing your profitability? N(Grower Only Q)"/>
    <tableColumn id="149" xr3:uid="{AB43DFC6-23D0-4DEB-A07C-E36F4719C793}" name="The cost of soil sampling_PL"/>
    <tableColumn id="150" xr3:uid="{10B04EA4-A93C-4198-8C3B-F4195281E2E1}" name="The time required for soil sampling_PL"/>
    <tableColumn id="151" xr3:uid="{AAE1DBE5-66D1-45E0-8F7C-0958C8103F24}" name="The cost of soil testing lab analysis_PL"/>
    <tableColumn id="152" xr3:uid="{8389C48D-B84D-4D01-AB74-64E5E18B4763}" name="The difficulty in being able to represent the variability in a paddock_PL"/>
    <tableColumn id="153" xr3:uid="{73854041-AF09-4F28-B096-F386C44577D1}" name="The level of accuracy of soil testing lab analysis_PL"/>
    <tableColumn id="154" xr3:uid="{FCC41123-C9B8-44C3-BEBF-8AE7691A6975}" name="The ability to translate soil test results into a profitable fertiliser decision for my paddock_PL"/>
    <tableColumn id="155" xr3:uid="{657E848A-FE73-4390-9C42-77735C3CB4D1}" name="Not being able to get soil test results at the right time for decision making_PL"/>
    <tableColumn id="156" xr3:uid="{0EB51A8B-6058-4295-8375-1046BF2EB9EB}" name="General comments:43"/>
    <tableColumn id="157" xr3:uid="{0800704C-B9DF-4C1E-8D39-AC5DB7E68A78}" name="The cost of soil sampling_PLP"/>
    <tableColumn id="158" xr3:uid="{22C99498-5AA2-4CA9-86E7-FBB8136AEFE9}" name="The time required for soil sampling_PLP"/>
    <tableColumn id="159" xr3:uid="{F4F063A7-648A-4140-B3E8-1C8CA5749844}" name="The cost of soil testing lab analysis_PLP"/>
    <tableColumn id="160" xr3:uid="{346C5379-0AD2-4111-A723-5FCF5C40D95F}" name="The difficulty in being able to represent the variability in a paddock_PLP"/>
    <tableColumn id="161" xr3:uid="{DE32B2ED-1644-446A-94F6-C3B212C0553C}" name="The level of accuracy of soil testing lab analysis_PLP"/>
    <tableColumn id="162" xr3:uid="{F8F58E81-6CB7-4E5C-A158-4B5CB2AEF561}" name="The ability to translate soil test results into a profitable fertiliser decision for my paddock_PLP"/>
    <tableColumn id="163" xr3:uid="{7CF26EC6-9D42-4907-A440-CFF7CEE87883}" name="Not being able to get soil test results at the right time for decision making_PLP"/>
    <tableColumn id="164" xr3:uid="{4DC2618F-75F5-4422-B6D4-32E1D22AEF26}" name="General comments:51"/>
    <tableColumn id="165" xr3:uid="{894BD7CA-0E82-45D9-91A2-8A4A99CBA7B2}" name="My clients businesses would be more profitable if they did more soil testing than they do now52"/>
    <tableColumn id="166" xr3:uid="{3662D9B8-2710-49F2-96B0-A493E242B8FB}" name="Uncertainty about how the season will turn out makes it hard to get value from soil testing results53"/>
    <tableColumn id="167" xr3:uid="{331FB755-FA1F-4C7B-865A-5EA65BBCFB1A}" name="Feel free to comment on this response54"/>
    <tableColumn id="168" xr3:uid="{5CC38603-AFB4-40E0-AFF2-A71208D67077}" name="The cost of plant sampling"/>
    <tableColumn id="169" xr3:uid="{E7B08F79-539D-4B33-B05B-713ED53B17BE}" name="The time required for plant sampling"/>
    <tableColumn id="170" xr3:uid="{2419AA72-D91E-438F-9585-1D0D973F5935}" name="The cost of plant analysis"/>
    <tableColumn id="171" xr3:uid="{CC49530F-B87F-468B-A77D-EC0F4D8FA24C}" name="The difficulty in being able to represent the variability in a paddock55"/>
    <tableColumn id="172" xr3:uid="{24D76D06-ACCA-4C25-AF94-7AD1BE1D8ACB}" name="The level of accuracy of plant analysis"/>
    <tableColumn id="173" xr3:uid="{630BD7C7-991C-4D79-89B1-3354FE93DDE6}" name="The ability to translate plant test results into a profitable fertiliser decision for my paddock"/>
    <tableColumn id="174" xr3:uid="{60DEEA17-3DBF-42B7-99F1-2710A9E0F871}" name="Not being able to get plant test results at the right time for decision making"/>
    <tableColumn id="175" xr3:uid="{0EE44708-2EA4-4853-8C3E-89196FB15BF5}" name="Comment"/>
    <tableColumn id="176" xr3:uid="{DE12E0A2-BBBB-49C4-8EF3-DA3737985C68}" name="My clients businesses would be more profitable if they did more plant testing than they do now56"/>
    <tableColumn id="177" xr3:uid="{388D789D-1AE0-4A3B-A155-FCB58C7E7323}" name="Uncertainty about how the season will turn out makes it hard to get value from plant testing results57"/>
    <tableColumn id="178" xr3:uid="{0CAD4606-BF2E-4F5B-9FC3-57F3AD922D4C}" name="Feel free to comment on this response58"/>
    <tableColumn id="179" xr3:uid="{ADA54924-2B4C-412F-BF41-B8BB67054204}" name="Soil testing? - Sampling cost"/>
    <tableColumn id="180" xr3:uid="{9E5C443D-949A-41AF-9D2C-E278C5088557}" name="Soil testing? - Analysis cost"/>
    <tableColumn id="181" xr3:uid="{6B07C436-8D67-4AFD-A05F-7D04DE6F726C}" name="Soil testing? - Sampling time"/>
    <tableColumn id="182" xr3:uid="{0B7C79FD-0A81-46AE-ACA0-DA3A2BC0B2FF}" name="Soil testing? - Analysis time"/>
    <tableColumn id="183" xr3:uid="{2D4C0DC1-B738-431B-BDCF-8F14DB7A2430}" name="Soil testing? - Understanding / interpreting results"/>
    <tableColumn id="184" xr3:uid="{AF36F791-1560-4C2C-8BE0-C7BE7D7C424D}" name="Soil testing? - Sampling method"/>
    <tableColumn id="185" xr3:uid="{098C15D1-FCFB-4731-B88B-CAD8C2D621DB}" name="Plant testing? - Sampling cost"/>
    <tableColumn id="186" xr3:uid="{C26DBA57-2F91-4CC8-A1DF-58776BD38BC6}" name="Plant testing? - Analysis cost"/>
    <tableColumn id="187" xr3:uid="{73AE1120-A126-4053-9A37-B72E9B97602C}" name="Plant testing? - Sampling time"/>
    <tableColumn id="188" xr3:uid="{EA33BE2D-8951-44D1-A53B-0F6FE5FBB11A}" name="Plant testing? - Analysis time"/>
    <tableColumn id="189" xr3:uid="{243FC1E0-70BC-4ED8-BEB7-4D121415308C}" name="Plant testing? - Understanding / interpreting results"/>
    <tableColumn id="190" xr3:uid="{441700B0-73C5-433F-B0A7-8D9ADCBCAA78}" name="Plant testing? - Sampling method"/>
    <tableColumn id="191" xr3:uid="{AFF7D575-6331-4275-81E4-1576C8F6B72D}" name="Other (please specify)59"/>
    <tableColumn id="192" xr3:uid="{AED4B034-2A14-4210-9243-0FFF08C68604}" name="Open-Ended Response60"/>
    <tableColumn id="193" xr3:uid="{7F15AC49-374F-48BB-B8B4-61A904715EE5}" name="Open-Ended Response61"/>
    <tableColumn id="194" xr3:uid="{25B395B8-8DF6-4C40-99ED-543EB6148590}" name="Rural newspapers"/>
    <tableColumn id="195" xr3:uid="{8A76C2A9-4E4C-469F-809C-716B8D5F16A7}" name="Farm consultants"/>
    <tableColumn id="196" xr3:uid="{99C1590E-6FA8-410D-AB99-4BB3C0CD5301}" name="Workshops"/>
    <tableColumn id="197" xr3:uid="{82125BC4-50FF-4358-B9EF-BB965CEE29C7}" name="Merchandise companies"/>
    <tableColumn id="198" xr3:uid="{9F8C60B2-C817-4537-A760-6FEA267E9101}" name="Government agencies"/>
    <tableColumn id="199" xr3:uid="{7F2860A2-1511-408A-A9B6-9EB6E5D97498}" name="Field days"/>
    <tableColumn id="200" xr3:uid="{709349DB-6A4A-41BE-BD91-9DEC2AB842E6}" name="Brochures / booklets"/>
    <tableColumn id="201" xr3:uid="{FFC10B4C-3C1E-4BBE-88CF-FCC0EAAD1EE9}" name="Local trials"/>
    <tableColumn id="202" xr3:uid="{D47A833C-D8EF-4C5E-93B6-FF0286849B8A}" name="Fertilizer company information, e.g. fact sheets"/>
    <tableColumn id="203" xr3:uid="{EAD3B0B3-64E2-4658-970F-08609B66F758}" name="Soil or plant testing companies"/>
    <tableColumn id="204" xr3:uid="{27DAF64E-39F3-449D-B8A8-7C0344D6C21F}" name="Researchers"/>
    <tableColumn id="205" xr3:uid="{302768EB-3920-4FAA-8730-578F0C32DAB0}" name="Google"/>
    <tableColumn id="206" xr3:uid="{7F09C044-A3D3-45A6-A49F-D7EA785D2B86}" name="Social media"/>
    <tableColumn id="207" xr3:uid="{E8F42BC4-C353-4771-A367-C51F2C4AA1E9}" name="Other (please specify)62"/>
    <tableColumn id="208" xr3:uid="{38D79AF6-09FA-4C35-BA0E-25BA63BB57C7}" name="Open-Ended Response63"/>
    <tableColumn id="209" xr3:uid="{13568CB7-CF08-4A43-BB49-AA0AADCD3B4F}" name="Open-Ended Response64"/>
    <tableColumn id="210" xr3:uid="{4F78C6FB-EE74-4F98-86D0-C90F4057346E}" name="Open-Ended Response65"/>
    <tableColumn id="211" xr3:uid="{4FBB3B68-3024-4BC2-8BDE-1C646ABDAEED}" name="Open-Ended Response66"/>
    <tableColumn id="212" xr3:uid="{6F69E788-2120-497A-937A-5E568699FFB6}" name="Open-Ended Response67"/>
    <tableColumn id="213" xr3:uid="{95441E4B-C6C7-48E8-967E-9C1CC791C6E0}" name="Open-Ended Response6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D93459D-3CFF-4E7E-889C-9B807E2096C9}" name="Tbl_Q210" displayName="Tbl_Q210" ref="F47:J55" totalsRowShown="0">
  <tableColumns count="5">
    <tableColumn id="1" xr3:uid="{F9A555B5-86E2-443E-92B2-F88525938B13}" name="Area_From"/>
    <tableColumn id="2" xr3:uid="{15C9243D-5570-442A-A119-7FCA689BA03E}" name="Area_To"/>
    <tableColumn id="3" xr3:uid="{C3C1C689-58D3-499F-9028-FEC2CB312331}" name="Range_Name">
      <calculatedColumnFormula>F48&amp;"-"&amp;G48</calculatedColumnFormula>
    </tableColumn>
    <tableColumn id="4" xr3:uid="{6787268C-BE4E-42E9-9CA1-21FCD9487C98}" name="Number" dataDxfId="227">
      <calculatedColumnFormula>COUNTIFS(Tbl_Responses[Q2: Cropped Area],"&gt;"&amp;F48,Tbl_Responses[Q2: Cropped Area],"&lt;="&amp;G48,Tbl_Responses[Resp_Group],Agronomist)</calculatedColumnFormula>
    </tableColumn>
    <tableColumn id="5" xr3:uid="{2CBD570C-88EB-46A9-B607-D3CE737F3F03}" name="%" dataDxfId="226" dataCellStyle="Percent">
      <calculatedColumnFormula>I48/SUM(Tbl_Q210[Number])</calculatedColumnFormula>
    </tableColumn>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373AC77-D0D4-4388-960F-B13FDD5BDECB}" name="Tbl_Q311" displayName="Tbl_Q311" ref="M47:P53" totalsRowShown="0">
  <tableColumns count="4">
    <tableColumn id="1" xr3:uid="{92BE2FFF-125C-4775-B974-B860C4B763BC}" name="Crop"/>
    <tableColumn id="2" xr3:uid="{23680A53-4957-4606-BBB0-338D76EEEA68}" name="Ave %" dataDxfId="225" dataCellStyle="Percent"/>
    <tableColumn id="3" xr3:uid="{3CBE2CB3-1F96-4C49-A532-9F716C397C88}" name="Weighted Area" dataDxfId="224"/>
    <tableColumn id="4" xr3:uid="{AB40BD8B-EAF2-4EB6-8008-C6679F1F7600}" name="Weighted %" dataDxfId="223" dataCellStyle="Percent">
      <calculatedColumnFormula>O48/SUM($O$4:$O$9)</calculatedColumnFormula>
    </tableColumn>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733BA26-1627-4764-884F-AE4A4AF8E097}" name="Tbl_Q4a12" displayName="Tbl_Q4a12" ref="S47:AB58" totalsRowShown="0">
  <tableColumns count="10">
    <tableColumn id="1" xr3:uid="{591D7C65-2DDD-4B49-B75A-65E59E1B338D}" name="% of respondants"/>
    <tableColumn id="3" xr3:uid="{06442BF6-2C9C-4612-8A84-F4C17A0EBD07}" name="0-5%" dataDxfId="222" dataCellStyle="Percent">
      <calculatedColumnFormula>COUNTIFS(Tbl_Responses[[Variable Costs]:[Variable Costs]],T$3,Tbl_Responses[[Q1: region]:[Q1: region]],$S48)/COUNTA(Tbl_Responses[[Variable Costs]:[Variable Costs]])</calculatedColumnFormula>
    </tableColumn>
    <tableColumn id="4" xr3:uid="{054ADA53-0294-42E7-BB35-AC37E9CE5386}" name="5-10%" dataDxfId="221" dataCellStyle="Percent"/>
    <tableColumn id="5" xr3:uid="{64A63620-17EA-434C-BCD4-C95C4CB594BB}" name="10-15%" dataDxfId="220" dataCellStyle="Percent"/>
    <tableColumn id="6" xr3:uid="{FAA8E301-170A-4884-ADA8-9DF193E5E66B}" name="15-20%" dataDxfId="219" dataCellStyle="Percent"/>
    <tableColumn id="7" xr3:uid="{3FBA4192-3A19-46BC-A892-11DDD77B5950}" name="20-25%" dataDxfId="218" dataCellStyle="Percent"/>
    <tableColumn id="8" xr3:uid="{F6A97EB9-8F4F-417A-A2AC-84C0818E2BD7}" name="25-30%" dataDxfId="217" dataCellStyle="Percent"/>
    <tableColumn id="9" xr3:uid="{BE22AA2F-E074-463C-88BF-9696E937ECAE}" name="30-35%" dataDxfId="216" dataCellStyle="Percent"/>
    <tableColumn id="10" xr3:uid="{60C7C65A-D258-4703-94D8-6A3D6B15D5AB}" name="greater than 35%" dataDxfId="215" dataCellStyle="Percent"/>
    <tableColumn id="11" xr3:uid="{095F51B5-7E1C-48E1-9575-EA427D248674}" name="Unsure" dataDxfId="214"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table" Target="../tables/table25.xml"/><Relationship Id="rId21" Type="http://schemas.openxmlformats.org/officeDocument/2006/relationships/table" Target="../tables/table20.xml"/><Relationship Id="rId42" Type="http://schemas.openxmlformats.org/officeDocument/2006/relationships/table" Target="../tables/table41.xml"/><Relationship Id="rId47" Type="http://schemas.openxmlformats.org/officeDocument/2006/relationships/table" Target="../tables/table46.xml"/><Relationship Id="rId63" Type="http://schemas.openxmlformats.org/officeDocument/2006/relationships/table" Target="../tables/table62.xml"/><Relationship Id="rId68" Type="http://schemas.openxmlformats.org/officeDocument/2006/relationships/table" Target="../tables/table67.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9" Type="http://schemas.openxmlformats.org/officeDocument/2006/relationships/table" Target="../tables/table28.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45" Type="http://schemas.openxmlformats.org/officeDocument/2006/relationships/table" Target="../tables/table44.xml"/><Relationship Id="rId53" Type="http://schemas.openxmlformats.org/officeDocument/2006/relationships/table" Target="../tables/table52.xml"/><Relationship Id="rId58" Type="http://schemas.openxmlformats.org/officeDocument/2006/relationships/table" Target="../tables/table57.xml"/><Relationship Id="rId66" Type="http://schemas.openxmlformats.org/officeDocument/2006/relationships/table" Target="../tables/table65.xml"/><Relationship Id="rId5" Type="http://schemas.openxmlformats.org/officeDocument/2006/relationships/table" Target="../tables/table4.xml"/><Relationship Id="rId61" Type="http://schemas.openxmlformats.org/officeDocument/2006/relationships/table" Target="../tables/table60.xml"/><Relationship Id="rId19" Type="http://schemas.openxmlformats.org/officeDocument/2006/relationships/table" Target="../tables/table1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43" Type="http://schemas.openxmlformats.org/officeDocument/2006/relationships/table" Target="../tables/table42.xml"/><Relationship Id="rId48" Type="http://schemas.openxmlformats.org/officeDocument/2006/relationships/table" Target="../tables/table47.xml"/><Relationship Id="rId56" Type="http://schemas.openxmlformats.org/officeDocument/2006/relationships/table" Target="../tables/table55.xml"/><Relationship Id="rId64" Type="http://schemas.openxmlformats.org/officeDocument/2006/relationships/table" Target="../tables/table63.xml"/><Relationship Id="rId69" Type="http://schemas.openxmlformats.org/officeDocument/2006/relationships/table" Target="../tables/table68.xml"/><Relationship Id="rId8" Type="http://schemas.openxmlformats.org/officeDocument/2006/relationships/table" Target="../tables/table7.xml"/><Relationship Id="rId51" Type="http://schemas.openxmlformats.org/officeDocument/2006/relationships/table" Target="../tables/table50.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 Id="rId46" Type="http://schemas.openxmlformats.org/officeDocument/2006/relationships/table" Target="../tables/table45.xml"/><Relationship Id="rId59" Type="http://schemas.openxmlformats.org/officeDocument/2006/relationships/table" Target="../tables/table58.xml"/><Relationship Id="rId67" Type="http://schemas.openxmlformats.org/officeDocument/2006/relationships/table" Target="../tables/table66.xml"/><Relationship Id="rId20" Type="http://schemas.openxmlformats.org/officeDocument/2006/relationships/table" Target="../tables/table19.xml"/><Relationship Id="rId41" Type="http://schemas.openxmlformats.org/officeDocument/2006/relationships/table" Target="../tables/table40.xml"/><Relationship Id="rId54" Type="http://schemas.openxmlformats.org/officeDocument/2006/relationships/table" Target="../tables/table53.xml"/><Relationship Id="rId62" Type="http://schemas.openxmlformats.org/officeDocument/2006/relationships/table" Target="../tables/table61.xml"/><Relationship Id="rId1" Type="http://schemas.openxmlformats.org/officeDocument/2006/relationships/printerSettings" Target="../printerSettings/printerSettings1.bin"/><Relationship Id="rId6" Type="http://schemas.openxmlformats.org/officeDocument/2006/relationships/table" Target="../tables/table5.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49" Type="http://schemas.openxmlformats.org/officeDocument/2006/relationships/table" Target="../tables/table48.xml"/><Relationship Id="rId57" Type="http://schemas.openxmlformats.org/officeDocument/2006/relationships/table" Target="../tables/table56.xml"/><Relationship Id="rId10" Type="http://schemas.openxmlformats.org/officeDocument/2006/relationships/table" Target="../tables/table9.xml"/><Relationship Id="rId31" Type="http://schemas.openxmlformats.org/officeDocument/2006/relationships/table" Target="../tables/table30.xml"/><Relationship Id="rId44" Type="http://schemas.openxmlformats.org/officeDocument/2006/relationships/table" Target="../tables/table43.xml"/><Relationship Id="rId52" Type="http://schemas.openxmlformats.org/officeDocument/2006/relationships/table" Target="../tables/table51.xml"/><Relationship Id="rId60" Type="http://schemas.openxmlformats.org/officeDocument/2006/relationships/table" Target="../tables/table59.xml"/><Relationship Id="rId65" Type="http://schemas.openxmlformats.org/officeDocument/2006/relationships/table" Target="../tables/table64.xml"/><Relationship Id="rId4" Type="http://schemas.openxmlformats.org/officeDocument/2006/relationships/table" Target="../tables/table3.xml"/><Relationship Id="rId9" Type="http://schemas.openxmlformats.org/officeDocument/2006/relationships/table" Target="../tables/table8.xml"/><Relationship Id="rId13" Type="http://schemas.openxmlformats.org/officeDocument/2006/relationships/table" Target="../tables/table12.xml"/><Relationship Id="rId18" Type="http://schemas.openxmlformats.org/officeDocument/2006/relationships/table" Target="../tables/table17.xml"/><Relationship Id="rId39" Type="http://schemas.openxmlformats.org/officeDocument/2006/relationships/table" Target="../tables/table38.xml"/><Relationship Id="rId34" Type="http://schemas.openxmlformats.org/officeDocument/2006/relationships/table" Target="../tables/table33.xml"/><Relationship Id="rId50" Type="http://schemas.openxmlformats.org/officeDocument/2006/relationships/table" Target="../tables/table49.xml"/><Relationship Id="rId55" Type="http://schemas.openxmlformats.org/officeDocument/2006/relationships/table" Target="../tables/table5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69.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97C91-042E-40ED-96CE-9FCDBE9C8AE2}">
  <dimension ref="A1:JF83"/>
  <sheetViews>
    <sheetView workbookViewId="0">
      <selection activeCell="D11" sqref="D11"/>
    </sheetView>
  </sheetViews>
  <sheetFormatPr defaultRowHeight="15" x14ac:dyDescent="0.25"/>
  <cols>
    <col min="1" max="1" width="42.7109375" customWidth="1"/>
    <col min="2" max="2" width="12.28515625" customWidth="1"/>
    <col min="3" max="3" width="10" customWidth="1"/>
    <col min="4" max="4" width="11.7109375" customWidth="1"/>
    <col min="6" max="6" width="12.85546875" customWidth="1"/>
    <col min="7" max="7" width="12" customWidth="1"/>
    <col min="8" max="8" width="16" customWidth="1"/>
    <col min="9" max="9" width="10.42578125" customWidth="1"/>
    <col min="13" max="14" width="11.42578125" customWidth="1"/>
    <col min="15" max="15" width="18" customWidth="1"/>
    <col min="16" max="16" width="14" customWidth="1"/>
    <col min="19" max="19" width="33.28515625" customWidth="1"/>
    <col min="20" max="20" width="16.7109375" customWidth="1"/>
    <col min="21" max="26" width="10.42578125" customWidth="1"/>
    <col min="27" max="27" width="16.28515625" customWidth="1"/>
    <col min="28" max="28" width="10.42578125" customWidth="1"/>
    <col min="29" max="32" width="5" customWidth="1"/>
    <col min="33" max="33" width="36.42578125" customWidth="1"/>
    <col min="34" max="34" width="9.42578125" customWidth="1"/>
    <col min="45" max="45" width="14.5703125" bestFit="1" customWidth="1"/>
    <col min="48" max="48" width="34.7109375" customWidth="1"/>
    <col min="49" max="49" width="15" customWidth="1"/>
    <col min="51" max="51" width="17.28515625" style="3" customWidth="1"/>
    <col min="53" max="53" width="34.42578125" customWidth="1"/>
    <col min="54" max="56" width="19.85546875" customWidth="1"/>
    <col min="57" max="57" width="83.140625" customWidth="1"/>
    <col min="58" max="58" width="66" customWidth="1"/>
    <col min="60" max="60" width="39.140625" customWidth="1"/>
    <col min="61" max="61" width="16.28515625" customWidth="1"/>
    <col min="62" max="62" width="19.85546875" customWidth="1"/>
    <col min="64" max="64" width="40.5703125" customWidth="1"/>
    <col min="67" max="67" width="19" customWidth="1"/>
    <col min="69" max="69" width="14.85546875" customWidth="1"/>
    <col min="70" max="70" width="17.7109375" customWidth="1"/>
    <col min="71" max="71" width="11.85546875" customWidth="1"/>
    <col min="72" max="72" width="15.5703125" customWidth="1"/>
    <col min="73" max="73" width="15.140625" customWidth="1"/>
    <col min="74" max="75" width="4.42578125" customWidth="1"/>
    <col min="76" max="76" width="29.42578125" customWidth="1"/>
    <col min="77" max="77" width="18.28515625" customWidth="1"/>
    <col min="78" max="79" width="4.42578125" customWidth="1"/>
    <col min="80" max="80" width="17.140625" customWidth="1"/>
    <col min="81" max="81" width="23.140625" customWidth="1"/>
    <col min="82" max="82" width="31.42578125" customWidth="1"/>
    <col min="83" max="83" width="39.5703125" customWidth="1"/>
    <col min="84" max="84" width="32.28515625" customWidth="1"/>
    <col min="85" max="86" width="5.140625" customWidth="1"/>
    <col min="87" max="87" width="17.28515625" customWidth="1"/>
    <col min="88" max="88" width="25.42578125" customWidth="1"/>
    <col min="89" max="90" width="5.140625" customWidth="1"/>
    <col min="91" max="91" width="17.7109375" customWidth="1"/>
    <col min="92" max="95" width="23" customWidth="1"/>
    <col min="96" max="96" width="23.85546875" customWidth="1"/>
    <col min="97" max="97" width="32" customWidth="1"/>
    <col min="98" max="99" width="5.140625" customWidth="1"/>
    <col min="100" max="100" width="33" customWidth="1"/>
    <col min="101" max="101" width="20.140625" customWidth="1"/>
    <col min="102" max="103" width="4.85546875" customWidth="1"/>
    <col min="104" max="104" width="17.7109375" customWidth="1"/>
    <col min="105" max="107" width="41.140625" customWidth="1"/>
    <col min="108" max="109" width="4.85546875" customWidth="1"/>
    <col min="110" max="110" width="37.42578125" customWidth="1"/>
    <col min="111" max="111" width="20.28515625" customWidth="1"/>
    <col min="112" max="113" width="5.42578125" customWidth="1"/>
    <col min="114" max="114" width="17.7109375" customWidth="1"/>
    <col min="115" max="115" width="13.28515625" customWidth="1"/>
    <col min="116" max="116" width="36.140625" customWidth="1"/>
    <col min="117" max="117" width="36" customWidth="1"/>
    <col min="118" max="118" width="34" customWidth="1"/>
    <col min="119" max="119" width="10" customWidth="1"/>
    <col min="120" max="120" width="19.7109375" customWidth="1"/>
    <col min="121" max="121" width="10.7109375" customWidth="1"/>
    <col min="122" max="122" width="8.42578125" customWidth="1"/>
    <col min="123" max="123" width="15.140625" customWidth="1"/>
    <col min="124" max="124" width="21.42578125" customWidth="1"/>
    <col min="125" max="125" width="14.42578125" customWidth="1"/>
    <col min="126" max="126" width="35.7109375" customWidth="1"/>
    <col min="129" max="129" width="49" customWidth="1"/>
    <col min="130" max="130" width="17.140625" customWidth="1"/>
    <col min="133" max="133" width="95" customWidth="1"/>
    <col min="134" max="134" width="16.140625" customWidth="1"/>
    <col min="135" max="135" width="14.5703125" customWidth="1"/>
    <col min="138" max="138" width="93.42578125" customWidth="1"/>
    <col min="139" max="139" width="16.140625" customWidth="1"/>
    <col min="140" max="140" width="14.5703125" customWidth="1"/>
    <col min="143" max="143" width="87.7109375" customWidth="1"/>
    <col min="144" max="144" width="10.85546875" customWidth="1"/>
    <col min="145" max="145" width="9.85546875" customWidth="1"/>
    <col min="147" max="147" width="16.140625" customWidth="1"/>
    <col min="150" max="150" width="34" customWidth="1"/>
    <col min="151" max="152" width="23.28515625" customWidth="1"/>
    <col min="155" max="155" width="33.85546875" customWidth="1"/>
    <col min="156" max="157" width="21.85546875" customWidth="1"/>
    <col min="160" max="160" width="35.7109375" customWidth="1"/>
    <col min="161" max="162" width="19.28515625" customWidth="1"/>
    <col min="165" max="165" width="27.140625" customWidth="1"/>
    <col min="166" max="166" width="18.140625" customWidth="1"/>
    <col min="167" max="167" width="16.5703125" customWidth="1"/>
    <col min="170" max="170" width="64.7109375" customWidth="1"/>
    <col min="171" max="171" width="18.140625" customWidth="1"/>
    <col min="172" max="172" width="17.140625" customWidth="1"/>
    <col min="175" max="175" width="88.140625" customWidth="1"/>
    <col min="176" max="176" width="10.85546875" customWidth="1"/>
    <col min="177" max="177" width="9.85546875" customWidth="1"/>
    <col min="179" max="179" width="16.140625" customWidth="1"/>
    <col min="182" max="182" width="39.42578125" customWidth="1"/>
    <col min="183" max="184" width="21.85546875" customWidth="1"/>
    <col min="187" max="187" width="33" customWidth="1"/>
    <col min="188" max="189" width="22.140625" customWidth="1"/>
    <col min="192" max="192" width="33.42578125" customWidth="1"/>
    <col min="193" max="194" width="20.140625" customWidth="1"/>
    <col min="197" max="197" width="81.85546875" customWidth="1"/>
    <col min="198" max="199" width="15.140625" customWidth="1"/>
    <col min="202" max="202" width="80.140625" customWidth="1"/>
    <col min="203" max="204" width="15.28515625" customWidth="1"/>
    <col min="205" max="208" width="4.28515625" customWidth="1"/>
    <col min="209" max="209" width="43.7109375" customWidth="1"/>
    <col min="210" max="211" width="18" customWidth="1"/>
  </cols>
  <sheetData>
    <row r="1" spans="1:266" x14ac:dyDescent="0.25">
      <c r="A1" s="25" t="s">
        <v>1459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39"/>
      <c r="AZ1" s="26"/>
      <c r="BA1" s="26"/>
      <c r="BB1" s="26"/>
      <c r="BC1" s="26"/>
      <c r="BD1" s="26"/>
      <c r="BE1" s="26"/>
      <c r="BF1" s="26"/>
      <c r="BG1" s="26"/>
      <c r="BH1" s="26"/>
      <c r="BI1" s="26"/>
      <c r="BJ1" s="26"/>
      <c r="BK1" s="26"/>
      <c r="BL1" s="26"/>
      <c r="BM1" s="26"/>
      <c r="BN1" s="26"/>
      <c r="BO1" s="26"/>
      <c r="BP1" s="26"/>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row>
    <row r="2" spans="1:266" ht="32.25" customHeight="1" x14ac:dyDescent="0.25">
      <c r="A2" s="115" t="s">
        <v>1257</v>
      </c>
      <c r="B2" s="115"/>
      <c r="C2" s="115"/>
      <c r="D2" s="115"/>
      <c r="E2" s="35"/>
      <c r="F2" s="115" t="s">
        <v>1258</v>
      </c>
      <c r="G2" s="115"/>
      <c r="H2" s="115"/>
      <c r="I2" s="115"/>
      <c r="J2" s="115"/>
      <c r="K2" s="35"/>
      <c r="L2" s="35"/>
      <c r="M2" s="115" t="s">
        <v>1308</v>
      </c>
      <c r="N2" s="115"/>
      <c r="O2" s="115"/>
      <c r="P2" s="115"/>
      <c r="Q2" s="35"/>
      <c r="R2" s="35"/>
      <c r="S2" s="114" t="s">
        <v>1317</v>
      </c>
      <c r="T2" s="114"/>
      <c r="U2" s="114"/>
      <c r="V2" s="114"/>
      <c r="W2" s="114"/>
      <c r="X2" s="114"/>
      <c r="Y2" s="114"/>
      <c r="Z2" s="114"/>
      <c r="AA2" s="114"/>
      <c r="AB2" s="114"/>
      <c r="AC2" s="35"/>
      <c r="AD2" s="35"/>
      <c r="AE2" s="35"/>
      <c r="AF2" s="35"/>
      <c r="AG2" s="114" t="s">
        <v>1319</v>
      </c>
      <c r="AH2" s="114"/>
      <c r="AI2" s="114"/>
      <c r="AJ2" s="114"/>
      <c r="AK2" s="114"/>
      <c r="AL2" s="114"/>
      <c r="AM2" s="114"/>
      <c r="AN2" s="114"/>
      <c r="AO2" s="114"/>
      <c r="AP2" s="114"/>
      <c r="AQ2" s="114"/>
      <c r="AR2" s="114"/>
      <c r="AS2" s="114"/>
      <c r="AT2" s="35"/>
      <c r="AU2" s="35"/>
      <c r="AV2" s="114" t="s">
        <v>2387</v>
      </c>
      <c r="AW2" s="114"/>
      <c r="AX2" s="114"/>
      <c r="AY2" s="114"/>
      <c r="AZ2" s="35"/>
      <c r="BA2" s="35"/>
      <c r="BB2" s="114" t="s">
        <v>2428</v>
      </c>
      <c r="BC2" s="114"/>
      <c r="BD2" s="114"/>
      <c r="BE2" s="35" t="s">
        <v>2432</v>
      </c>
      <c r="BF2" s="35" t="s">
        <v>2433</v>
      </c>
      <c r="BG2" s="35"/>
      <c r="BH2" s="114" t="s">
        <v>2452</v>
      </c>
      <c r="BI2" s="114"/>
      <c r="BJ2" s="114"/>
      <c r="BL2" s="114" t="s">
        <v>2456</v>
      </c>
      <c r="BM2" s="114"/>
      <c r="BN2" s="114"/>
      <c r="BO2" s="114"/>
      <c r="BQ2" s="114" t="s">
        <v>2464</v>
      </c>
      <c r="BR2" s="114"/>
      <c r="BS2" s="114"/>
      <c r="BT2" s="114"/>
      <c r="BU2" s="114"/>
      <c r="BV2" s="36"/>
      <c r="BX2" s="33" t="s">
        <v>2481</v>
      </c>
      <c r="CB2" s="116" t="s">
        <v>2503</v>
      </c>
      <c r="CC2" s="116"/>
      <c r="CD2" s="116"/>
      <c r="CE2" s="116"/>
      <c r="CF2" s="116"/>
      <c r="CG2" s="33"/>
      <c r="CH2" s="33"/>
      <c r="CI2" s="33" t="s">
        <v>2485</v>
      </c>
      <c r="CJ2" s="33"/>
      <c r="CK2" s="33"/>
      <c r="CL2" s="33"/>
      <c r="CM2" s="116" t="s">
        <v>2500</v>
      </c>
      <c r="CN2" s="116"/>
      <c r="CO2" s="116"/>
      <c r="CP2" s="116"/>
      <c r="CQ2" s="116"/>
      <c r="CR2" s="116"/>
      <c r="CS2" s="77"/>
      <c r="CT2" s="33"/>
      <c r="CU2" s="33"/>
      <c r="CV2" s="116" t="s">
        <v>2488</v>
      </c>
      <c r="CW2" s="116"/>
      <c r="CX2" s="33"/>
      <c r="CY2" s="33"/>
      <c r="CZ2" s="116" t="s">
        <v>2504</v>
      </c>
      <c r="DA2" s="116"/>
      <c r="DB2" s="116"/>
      <c r="DC2" s="116"/>
      <c r="DD2" s="33"/>
      <c r="DE2" s="33"/>
      <c r="DF2" s="116" t="s">
        <v>2492</v>
      </c>
      <c r="DG2" s="116"/>
      <c r="DH2" s="33"/>
      <c r="DI2" s="33"/>
      <c r="DJ2" s="116" t="s">
        <v>2506</v>
      </c>
      <c r="DK2" s="116"/>
      <c r="DL2" s="116"/>
      <c r="DM2" s="116"/>
      <c r="DN2" s="116"/>
      <c r="DO2" s="116"/>
      <c r="DP2" s="116"/>
      <c r="DQ2" s="116"/>
      <c r="DR2" s="116"/>
      <c r="DS2" s="116"/>
      <c r="DT2" s="116"/>
      <c r="DU2" s="116"/>
      <c r="DV2" s="116"/>
      <c r="DY2" s="113" t="s">
        <v>2494</v>
      </c>
      <c r="DZ2" s="113"/>
      <c r="EC2" s="33" t="s">
        <v>2508</v>
      </c>
      <c r="EH2" s="33" t="s">
        <v>2511</v>
      </c>
      <c r="EM2" s="59" t="s">
        <v>2522</v>
      </c>
      <c r="ET2" s="59" t="s">
        <v>2529</v>
      </c>
      <c r="EY2" s="113" t="s">
        <v>2536</v>
      </c>
      <c r="EZ2" s="113"/>
      <c r="FA2" s="113"/>
      <c r="FD2" s="59" t="s">
        <v>2540</v>
      </c>
      <c r="FI2" s="59" t="s">
        <v>2544</v>
      </c>
      <c r="FN2" s="113" t="s">
        <v>2545</v>
      </c>
      <c r="FO2" s="113"/>
      <c r="FP2" s="113"/>
      <c r="FS2" s="113" t="s">
        <v>2554</v>
      </c>
      <c r="FT2" s="113"/>
      <c r="FU2" s="113"/>
      <c r="FV2" s="113"/>
      <c r="FW2" s="113"/>
      <c r="FZ2" s="113" t="s">
        <v>2558</v>
      </c>
      <c r="GA2" s="113"/>
      <c r="GB2" s="113"/>
      <c r="GE2" s="113" t="s">
        <v>2560</v>
      </c>
      <c r="GF2" s="113"/>
      <c r="GG2" s="113"/>
      <c r="GJ2" s="113" t="s">
        <v>2562</v>
      </c>
      <c r="GK2" s="113"/>
      <c r="GL2" s="113"/>
      <c r="GO2" s="59" t="s">
        <v>2586</v>
      </c>
      <c r="GT2" s="90" t="s">
        <v>2578</v>
      </c>
      <c r="HA2" s="59" t="s">
        <v>2588</v>
      </c>
    </row>
    <row r="3" spans="1:266" ht="15.75" thickBot="1" x14ac:dyDescent="0.3">
      <c r="A3" t="s">
        <v>1299</v>
      </c>
      <c r="B3" s="3" t="s">
        <v>1320</v>
      </c>
      <c r="C3" s="3" t="s">
        <v>1301</v>
      </c>
      <c r="D3" t="s">
        <v>1321</v>
      </c>
      <c r="F3" t="s">
        <v>1302</v>
      </c>
      <c r="G3" t="s">
        <v>1303</v>
      </c>
      <c r="H3" t="s">
        <v>1304</v>
      </c>
      <c r="I3" s="3" t="s">
        <v>1300</v>
      </c>
      <c r="J3" s="3" t="s">
        <v>1301</v>
      </c>
      <c r="M3" t="s">
        <v>1311</v>
      </c>
      <c r="N3" s="3" t="s">
        <v>1312</v>
      </c>
      <c r="O3" s="3" t="s">
        <v>1313</v>
      </c>
      <c r="P3" s="3" t="s">
        <v>1314</v>
      </c>
      <c r="S3" t="s">
        <v>1382</v>
      </c>
      <c r="T3" s="3" t="s">
        <v>1252</v>
      </c>
      <c r="U3" s="3" t="s">
        <v>401</v>
      </c>
      <c r="V3" s="3" t="s">
        <v>322</v>
      </c>
      <c r="W3" s="3" t="s">
        <v>261</v>
      </c>
      <c r="X3" s="3" t="s">
        <v>216</v>
      </c>
      <c r="Y3" s="3" t="s">
        <v>494</v>
      </c>
      <c r="Z3" s="3" t="s">
        <v>330</v>
      </c>
      <c r="AA3" s="29" t="s">
        <v>1381</v>
      </c>
      <c r="AB3" s="3" t="s">
        <v>313</v>
      </c>
      <c r="AG3" t="s">
        <v>1378</v>
      </c>
      <c r="AH3" s="3" t="s">
        <v>45</v>
      </c>
      <c r="AI3" s="3" t="s">
        <v>44</v>
      </c>
      <c r="AJ3" s="3" t="s">
        <v>799</v>
      </c>
      <c r="AK3" s="3" t="s">
        <v>1337</v>
      </c>
      <c r="AL3" s="3" t="s">
        <v>1372</v>
      </c>
      <c r="AM3" s="3" t="s">
        <v>1373</v>
      </c>
      <c r="AN3" s="3" t="s">
        <v>1374</v>
      </c>
      <c r="AO3" s="3" t="s">
        <v>1375</v>
      </c>
      <c r="AP3" s="3" t="s">
        <v>1376</v>
      </c>
      <c r="AQ3" s="3" t="s">
        <v>1377</v>
      </c>
      <c r="AR3" s="9" t="s">
        <v>186</v>
      </c>
      <c r="AS3" s="30" t="s">
        <v>2418</v>
      </c>
      <c r="AV3" t="s">
        <v>2426</v>
      </c>
      <c r="AW3" s="3" t="s">
        <v>166</v>
      </c>
      <c r="AX3" s="3" t="s">
        <v>312</v>
      </c>
      <c r="AY3" s="3" t="s">
        <v>2470</v>
      </c>
      <c r="BA3" t="s">
        <v>2427</v>
      </c>
      <c r="BB3" s="3" t="s">
        <v>2429</v>
      </c>
      <c r="BC3" s="3" t="s">
        <v>2430</v>
      </c>
      <c r="BD3" s="3" t="s">
        <v>2431</v>
      </c>
      <c r="BE3" s="3" t="s">
        <v>2435</v>
      </c>
      <c r="BF3" s="3" t="s">
        <v>2434</v>
      </c>
      <c r="BH3" t="s">
        <v>2457</v>
      </c>
      <c r="BI3" s="3" t="s">
        <v>2453</v>
      </c>
      <c r="BJ3" s="3" t="s">
        <v>2454</v>
      </c>
      <c r="BL3" t="s">
        <v>2458</v>
      </c>
      <c r="BM3" t="s">
        <v>2459</v>
      </c>
      <c r="BN3" t="s">
        <v>2460</v>
      </c>
      <c r="BO3" t="s">
        <v>2461</v>
      </c>
      <c r="BQ3" s="31" t="s">
        <v>2463</v>
      </c>
      <c r="BR3" s="3" t="s">
        <v>2465</v>
      </c>
      <c r="BS3" s="3" t="s">
        <v>2466</v>
      </c>
      <c r="BT3" s="3" t="s">
        <v>2467</v>
      </c>
      <c r="BU3" s="3" t="s">
        <v>2468</v>
      </c>
      <c r="BX3" t="s">
        <v>2497</v>
      </c>
      <c r="BY3" s="3" t="s">
        <v>1382</v>
      </c>
      <c r="CB3" s="41" t="s">
        <v>2496</v>
      </c>
      <c r="CC3" s="42" t="s">
        <v>178</v>
      </c>
      <c r="CD3" s="42" t="s">
        <v>176</v>
      </c>
      <c r="CE3" s="42" t="s">
        <v>402</v>
      </c>
      <c r="CF3" s="42" t="s">
        <v>2498</v>
      </c>
      <c r="CG3" s="71"/>
      <c r="CH3" s="71"/>
      <c r="CI3" s="79" t="s">
        <v>2497</v>
      </c>
      <c r="CJ3" s="71" t="s">
        <v>1382</v>
      </c>
      <c r="CK3" s="71"/>
      <c r="CL3" s="71"/>
      <c r="CM3" s="54" t="s">
        <v>2496</v>
      </c>
      <c r="CN3" s="65" t="s">
        <v>182</v>
      </c>
      <c r="CO3" s="42" t="s">
        <v>181</v>
      </c>
      <c r="CP3" s="42" t="s">
        <v>180</v>
      </c>
      <c r="CQ3" s="42" t="s">
        <v>183</v>
      </c>
      <c r="CR3" s="42" t="s">
        <v>679</v>
      </c>
      <c r="CS3" s="65" t="s">
        <v>2499</v>
      </c>
      <c r="CT3" s="71"/>
      <c r="CU3" s="71"/>
      <c r="CV3" s="79" t="s">
        <v>2497</v>
      </c>
      <c r="CW3" s="71" t="s">
        <v>1382</v>
      </c>
      <c r="CX3" s="71"/>
      <c r="CY3" s="71"/>
      <c r="CZ3" s="54" t="s">
        <v>2496</v>
      </c>
      <c r="DA3" s="65" t="s">
        <v>184</v>
      </c>
      <c r="DB3" s="42" t="s">
        <v>185</v>
      </c>
      <c r="DC3" s="65" t="s">
        <v>2505</v>
      </c>
      <c r="DD3" s="71"/>
      <c r="DE3" s="71"/>
      <c r="DF3" s="79" t="s">
        <v>2497</v>
      </c>
      <c r="DG3" s="71" t="s">
        <v>1382</v>
      </c>
      <c r="DH3" s="71"/>
      <c r="DI3" s="71"/>
      <c r="DJ3" s="54" t="s">
        <v>2496</v>
      </c>
      <c r="DK3" s="65" t="s">
        <v>186</v>
      </c>
      <c r="DL3" s="42" t="s">
        <v>191</v>
      </c>
      <c r="DM3" s="42" t="s">
        <v>323</v>
      </c>
      <c r="DN3" s="42" t="s">
        <v>192</v>
      </c>
      <c r="DO3" s="42" t="s">
        <v>187</v>
      </c>
      <c r="DP3" s="42" t="s">
        <v>188</v>
      </c>
      <c r="DQ3" s="42" t="s">
        <v>224</v>
      </c>
      <c r="DR3" s="42" t="s">
        <v>190</v>
      </c>
      <c r="DS3" s="42" t="s">
        <v>193</v>
      </c>
      <c r="DT3" s="42" t="s">
        <v>189</v>
      </c>
      <c r="DU3" s="42" t="s">
        <v>1011</v>
      </c>
      <c r="DV3" s="71" t="s">
        <v>2505</v>
      </c>
      <c r="DY3" t="s">
        <v>2507</v>
      </c>
      <c r="DZ3" t="s">
        <v>2477</v>
      </c>
      <c r="EC3" t="s">
        <v>2507</v>
      </c>
      <c r="ED3" s="3" t="s">
        <v>2509</v>
      </c>
      <c r="EE3" s="3" t="s">
        <v>2510</v>
      </c>
      <c r="EH3" t="s">
        <v>2507</v>
      </c>
      <c r="EI3" s="3" t="s">
        <v>2509</v>
      </c>
      <c r="EJ3" s="3" t="s">
        <v>2510</v>
      </c>
      <c r="EM3" t="s">
        <v>2523</v>
      </c>
      <c r="EN3" s="3" t="s">
        <v>199</v>
      </c>
      <c r="EO3" s="3" t="s">
        <v>200</v>
      </c>
      <c r="EP3" s="3" t="s">
        <v>198</v>
      </c>
      <c r="EQ3" s="3" t="s">
        <v>2524</v>
      </c>
      <c r="ET3" t="s">
        <v>2532</v>
      </c>
      <c r="EU3" s="3" t="s">
        <v>2470</v>
      </c>
      <c r="EV3" s="3" t="s">
        <v>2533</v>
      </c>
      <c r="EY3" t="s">
        <v>2537</v>
      </c>
      <c r="EZ3" s="3" t="s">
        <v>2470</v>
      </c>
      <c r="FA3" s="3" t="s">
        <v>2533</v>
      </c>
      <c r="FD3" t="s">
        <v>2542</v>
      </c>
      <c r="FE3" s="3" t="s">
        <v>2470</v>
      </c>
      <c r="FF3" s="3" t="s">
        <v>2533</v>
      </c>
      <c r="FI3" t="s">
        <v>2507</v>
      </c>
      <c r="FJ3" t="s">
        <v>2470</v>
      </c>
      <c r="FK3" t="s">
        <v>2533</v>
      </c>
      <c r="FN3" t="s">
        <v>2507</v>
      </c>
      <c r="FO3" s="3" t="s">
        <v>2470</v>
      </c>
      <c r="FP3" s="3" t="s">
        <v>2533</v>
      </c>
      <c r="FS3" t="s">
        <v>2523</v>
      </c>
      <c r="FT3" s="3" t="s">
        <v>199</v>
      </c>
      <c r="FU3" s="3" t="s">
        <v>200</v>
      </c>
      <c r="FV3" s="3" t="s">
        <v>198</v>
      </c>
      <c r="FW3" s="3" t="s">
        <v>2524</v>
      </c>
      <c r="FZ3" t="s">
        <v>2532</v>
      </c>
      <c r="GA3" s="3" t="s">
        <v>2470</v>
      </c>
      <c r="GB3" s="3" t="s">
        <v>2533</v>
      </c>
      <c r="GE3" t="s">
        <v>2537</v>
      </c>
      <c r="GF3" s="3" t="s">
        <v>2470</v>
      </c>
      <c r="GG3" s="3" t="s">
        <v>2533</v>
      </c>
      <c r="GJ3" t="s">
        <v>2542</v>
      </c>
      <c r="GK3" s="3" t="s">
        <v>2470</v>
      </c>
      <c r="GL3" s="3" t="s">
        <v>2533</v>
      </c>
      <c r="GO3" t="s">
        <v>2507</v>
      </c>
      <c r="GP3" s="3" t="s">
        <v>2509</v>
      </c>
      <c r="GQ3" s="3" t="s">
        <v>2510</v>
      </c>
      <c r="GT3" t="s">
        <v>2507</v>
      </c>
      <c r="GU3" s="3" t="s">
        <v>2509</v>
      </c>
      <c r="GV3" s="3" t="s">
        <v>2510</v>
      </c>
      <c r="HA3" t="s">
        <v>2457</v>
      </c>
      <c r="HB3" s="3" t="s">
        <v>2509</v>
      </c>
      <c r="HC3" s="3" t="s">
        <v>2510</v>
      </c>
    </row>
    <row r="4" spans="1:266" ht="15.75" thickTop="1" x14ac:dyDescent="0.25">
      <c r="A4" t="s">
        <v>291</v>
      </c>
      <c r="B4" s="3">
        <f>COUNTIFS(Tbl_Responses[Q1: region],Results!$A4,Tbl_Responses[Resp_Group],Agronomist)</f>
        <v>4</v>
      </c>
      <c r="C4" s="4">
        <f>B4/SUM(Tbl_Q1[Respondants])</f>
        <v>5.6338028169014086E-2</v>
      </c>
      <c r="D4" s="7">
        <f>AVERAGEIFS(Tbl_Responses[Q2: Cropped Area],Tbl_Responses[Q1: region],Tbl_Q1[[#This Row],[Region]],Tbl_Responses[[Resp_Group]:[Resp_Group]],Agronomist)</f>
        <v>16800</v>
      </c>
      <c r="F4">
        <v>0</v>
      </c>
      <c r="G4">
        <v>1000</v>
      </c>
      <c r="H4" t="str">
        <f>F4&amp;"-"&amp;G4</f>
        <v>0-1000</v>
      </c>
      <c r="I4" s="3">
        <f>COUNTIFS(Tbl_Responses[Q2: Cropped Area],"&gt;"&amp;F4,Tbl_Responses[Q2: Cropped Area],"&lt;="&amp;G4,Tbl_Responses[Resp_Group],Agronomist)</f>
        <v>11</v>
      </c>
      <c r="J4" s="4">
        <f>I4/SUM(Tbl_Q2[Number])</f>
        <v>0.16417910447761194</v>
      </c>
      <c r="M4" t="s">
        <v>1309</v>
      </c>
      <c r="N4" s="4">
        <f>AVERAGEIF(Tbl_Responses[Resp_Group],Agronomist,Tbl_Responses[Cerals (wheat, barley, oats)])/100</f>
        <v>0.56056338028169017</v>
      </c>
      <c r="O4" s="6">
        <f>SUMPRODUCT(--(Group="Agronomist"),Tbl_Responses[Q2: Cropped Area],Tbl_Responses[Cerals (wheat, barley, oats)])/100</f>
        <v>639832</v>
      </c>
      <c r="P4" s="4">
        <f>O4/SUM($O$4:$O$9)</f>
        <v>0.550842321308043</v>
      </c>
      <c r="S4" t="s">
        <v>1379</v>
      </c>
      <c r="T4" s="4">
        <f>COUNTIFS(Tbl_Responses[[Variable Costs]:[Variable Costs]],T$3,Tbl_Responses[[Resp_Group]:[Resp_Group]],Agronomist)/COUNTIFS(Tbl_Responses[[Variable Costs]:[Variable Costs]],"&lt;&gt;"&amp;"",Tbl_Responses[[Resp_Group]:[Resp_Group]],Agronomist)</f>
        <v>1.4084507042253521E-2</v>
      </c>
      <c r="U4" s="4">
        <f>COUNTIFS(Tbl_Responses[[Variable Costs]:[Variable Costs]],U$3,Tbl_Responses[[Resp_Group]:[Resp_Group]],Agronomist)/COUNTIFS(Tbl_Responses[[Variable Costs]:[Variable Costs]],"&lt;&gt;"&amp;"",Tbl_Responses[[Resp_Group]:[Resp_Group]],Agronomist)</f>
        <v>1.4084507042253521E-2</v>
      </c>
      <c r="V4" s="4">
        <f>COUNTIFS(Tbl_Responses[[Variable Costs]:[Variable Costs]],V$3,Tbl_Responses[[Resp_Group]:[Resp_Group]],Agronomist)/COUNTIFS(Tbl_Responses[[Variable Costs]:[Variable Costs]],"&lt;&gt;"&amp;"",Tbl_Responses[[Resp_Group]:[Resp_Group]],Agronomist)</f>
        <v>7.0422535211267609E-2</v>
      </c>
      <c r="W4" s="4">
        <f>COUNTIFS(Tbl_Responses[[Variable Costs]:[Variable Costs]],W$3,Tbl_Responses[[Resp_Group]:[Resp_Group]],Agronomist)/COUNTIFS(Tbl_Responses[[Variable Costs]:[Variable Costs]],"&lt;&gt;"&amp;"",Tbl_Responses[[Resp_Group]:[Resp_Group]],Agronomist)</f>
        <v>0.11267605633802817</v>
      </c>
      <c r="X4" s="4">
        <f>COUNTIFS(Tbl_Responses[[Variable Costs]:[Variable Costs]],X$3,Tbl_Responses[[Resp_Group]:[Resp_Group]],Agronomist)/COUNTIFS(Tbl_Responses[[Variable Costs]:[Variable Costs]],"&lt;&gt;"&amp;"",Tbl_Responses[[Resp_Group]:[Resp_Group]],Agronomist)</f>
        <v>0.23943661971830985</v>
      </c>
      <c r="Y4" s="4">
        <f>COUNTIFS(Tbl_Responses[[Variable Costs]:[Variable Costs]],Y$3,Tbl_Responses[[Resp_Group]:[Resp_Group]],Agronomist)/COUNTIFS(Tbl_Responses[[Variable Costs]:[Variable Costs]],"&lt;&gt;"&amp;"",Tbl_Responses[[Resp_Group]:[Resp_Group]],Agronomist)</f>
        <v>0.14084507042253522</v>
      </c>
      <c r="Z4" s="4">
        <f>COUNTIFS(Tbl_Responses[[Variable Costs]:[Variable Costs]],Z$3,Tbl_Responses[[Resp_Group]:[Resp_Group]],Agronomist)/COUNTIFS(Tbl_Responses[[Variable Costs]:[Variable Costs]],"&lt;&gt;"&amp;"",Tbl_Responses[[Resp_Group]:[Resp_Group]],Agronomist)</f>
        <v>9.8591549295774641E-2</v>
      </c>
      <c r="AA4" s="4">
        <f>COUNTIFS(Tbl_Responses[[Variable Costs]:[Variable Costs]],AA$3,Tbl_Responses[[Resp_Group]:[Resp_Group]],Agronomist)/COUNTIFS(Tbl_Responses[[Variable Costs]:[Variable Costs]],"&lt;&gt;"&amp;"",Tbl_Responses[[Resp_Group]:[Resp_Group]],Agronomist)</f>
        <v>0.26760563380281688</v>
      </c>
      <c r="AB4" s="4">
        <f>COUNTIFS(Tbl_Responses[[Variable Costs]:[Variable Costs]],AB$3,Tbl_Responses[[Resp_Group]:[Resp_Group]],Agronomist)/COUNTIFS(Tbl_Responses[[Variable Costs]:[Variable Costs]],"&lt;&gt;"&amp;"",Tbl_Responses[[Resp_Group]:[Resp_Group]],Agronomist)</f>
        <v>4.2253521126760563E-2</v>
      </c>
      <c r="AG4" t="s">
        <v>1379</v>
      </c>
      <c r="AH4" s="4">
        <f>COUNTIFS(Tbl_Responses[[Def_Nutrient_ID]:[Def_Nutrient_ID]],"*N*",Tbl_Responses[[Resp_Group]:[Resp_Group]],Agronomist)/COUNTIFS(Tbl_Responses[[Def_Nutrient_ID]:[Def_Nutrient_ID]],"&lt;&gt;"&amp;"",Tbl_Responses[[Resp_Group]:[Resp_Group]],Agronomist)</f>
        <v>0.8571428571428571</v>
      </c>
      <c r="AI4" s="4">
        <f>COUNTIFS(Tbl_Responses[[Def_Nutrient_ID]:[Def_Nutrient_ID]],"*P*",Tbl_Responses[[Resp_Group]:[Resp_Group]],Agronomist)/COUNTIFS(Tbl_Responses[[Def_Nutrient_ID]:[Def_Nutrient_ID]],"&lt;&gt;"&amp;"",Tbl_Responses[[Resp_Group]:[Resp_Group]],Agronomist)</f>
        <v>0.7142857142857143</v>
      </c>
      <c r="AJ4" s="4">
        <f>COUNTIFS(Tbl_Responses[[Def_Nutrient_ID]:[Def_Nutrient_ID]],"*K*",Tbl_Responses[[Resp_Group]:[Resp_Group]],Agronomist)/COUNTIFS(Tbl_Responses[[Def_Nutrient_ID]:[Def_Nutrient_ID]],"&lt;&gt;"&amp;"",Tbl_Responses[[Resp_Group]:[Resp_Group]],Agronomist)</f>
        <v>0.12857142857142856</v>
      </c>
      <c r="AK4" s="4">
        <f>COUNTIFS(Tbl_Responses[[Def_Nutrient_ID]:[Def_Nutrient_ID]],"*S*",Tbl_Responses[[Resp_Group]:[Resp_Group]],Agronomist)/COUNTIFS(Tbl_Responses[[Def_Nutrient_ID]:[Def_Nutrient_ID]],"&lt;&gt;"&amp;"",Tbl_Responses[[Resp_Group]:[Resp_Group]],Agronomist)</f>
        <v>0.35714285714285715</v>
      </c>
      <c r="AL4" s="4">
        <f>COUNTIFS(Tbl_Responses[[Def_Nutrient_ID]:[Def_Nutrient_ID]],"*Zn*",Tbl_Responses[[Resp_Group]:[Resp_Group]],Agronomist)/COUNTIFS(Tbl_Responses[[Def_Nutrient_ID]:[Def_Nutrient_ID]],"&lt;&gt;"&amp;"",Tbl_Responses[[Resp_Group]:[Resp_Group]],Agronomist)</f>
        <v>0.35714285714285715</v>
      </c>
      <c r="AM4" s="4">
        <f>COUNTIFS(Tbl_Responses[[Def_Nutrient_ID]:[Def_Nutrient_ID]],"*Mn*",Tbl_Responses[[Resp_Group]:[Resp_Group]],Agronomist)/COUNTIFS(Tbl_Responses[[Def_Nutrient_ID]:[Def_Nutrient_ID]],"&lt;&gt;"&amp;"",Tbl_Responses[[Resp_Group]:[Resp_Group]],Agronomist)</f>
        <v>0.15714285714285714</v>
      </c>
      <c r="AN4" s="4">
        <f>COUNTIFS(Tbl_Responses[[Def_Nutrient_ID]:[Def_Nutrient_ID]],"*Mg*",Tbl_Responses[[Resp_Group]:[Resp_Group]],Agronomist)/COUNTIFS(Tbl_Responses[[Def_Nutrient_ID]:[Def_Nutrient_ID]],"&lt;&gt;"&amp;"",Tbl_Responses[[Resp_Group]:[Resp_Group]],Agronomist)</f>
        <v>5.7142857142857141E-2</v>
      </c>
      <c r="AO4" s="4">
        <f>COUNTIFS(Tbl_Responses[[Def_Nutrient_ID]:[Def_Nutrient_ID]],"*Cu*",Tbl_Responses[[Resp_Group]:[Resp_Group]],Agronomist)/COUNTIFS(Tbl_Responses[[Def_Nutrient_ID]:[Def_Nutrient_ID]],"&lt;&gt;"&amp;"",Tbl_Responses[[Resp_Group]:[Resp_Group]],Agronomist)</f>
        <v>0.18571428571428572</v>
      </c>
      <c r="AP4" s="4">
        <f>COUNTIFS(Tbl_Responses[[Def_Nutrient_ID]:[Def_Nutrient_ID]],"*B*",Tbl_Responses[[Resp_Group]:[Resp_Group]],Agronomist)/COUNTIFS(Tbl_Responses[[Def_Nutrient_ID]:[Def_Nutrient_ID]],"&lt;&gt;"&amp;"",Tbl_Responses[[Resp_Group]:[Resp_Group]],Agronomist)</f>
        <v>1.4285714285714285E-2</v>
      </c>
      <c r="AQ4" s="4">
        <f>COUNTIFS(Tbl_Responses[[Def_Nutrient_ID]:[Def_Nutrient_ID]],"*Ca*",Tbl_Responses[[Resp_Group]:[Resp_Group]],Agronomist)/COUNTIFS(Tbl_Responses[[Def_Nutrient_ID]:[Def_Nutrient_ID]],"&lt;&gt;"&amp;"",Tbl_Responses[[Resp_Group]:[Resp_Group]],Agronomist)</f>
        <v>1.4285714285714285E-2</v>
      </c>
      <c r="AR4" s="4">
        <f>COUNTIFS(Tbl_Responses[[Def_Nutrient_ID]:[Def_Nutrient_ID]],"*pH*",Tbl_Responses[[Resp_Group]:[Resp_Group]],Agronomist)/COUNTIFS(Tbl_Responses[[Def_Nutrient_ID]:[Def_Nutrient_ID]],"&lt;&gt;"&amp;"",Tbl_Responses[[Resp_Group]:[Resp_Group]],Agronomist)</f>
        <v>0.15714285714285714</v>
      </c>
      <c r="AS4" s="4">
        <f>COUNTIFS(Tbl_Responses[[Def_Nutrient_ID]:[Def_Nutrient_ID]],"*T*",Tbl_Responses[[Resp_Group]:[Resp_Group]],Agronomist)/COUNTIFS(Tbl_Responses[[Def_Nutrient_ID]:[Def_Nutrient_ID]],"&lt;&gt;"&amp;"",Tbl_Responses[[Resp_Group]:[Resp_Group]],Agronomist)</f>
        <v>0</v>
      </c>
      <c r="AV4" t="s">
        <v>1379</v>
      </c>
      <c r="AW4" s="4">
        <f>COUNTIFS(Tbl_Responses[[Q6: Do you do/recommend soil and/or plant testing?]:[Q6: Do you do/recommend soil and/or plant testing?]],"Yes",Tbl_Responses[[Resp_Group]:[Resp_Group]],Agronomist)/COUNTIFS(Tbl_Responses[[Q6: Do you do/recommend soil and/or plant testing?]:[Q6: Do you do/recommend soil and/or plant testing?]],"&lt;&gt;"&amp;"",Tbl_Responses[[Resp_Group]:[Resp_Group]],Agronomist)</f>
        <v>0.971830985915493</v>
      </c>
      <c r="AX4" s="4">
        <f>COUNTIFS(Tbl_Responses[[Q6: Do you do/recommend soil and/or plant testing?]:[Q6: Do you do/recommend soil and/or plant testing?]],"No",Tbl_Responses[[Resp_Group]:[Resp_Group]],Agronomist)/COUNTIFS(Tbl_Responses[[Q6: Do you do/recommend soil and/or plant testing?]:[Q6: Do you do/recommend soil and/or plant testing?]],"&lt;&gt;"&amp;"",Tbl_Responses[[Resp_Group]:[Resp_Group]],Agronomist)</f>
        <v>2.8169014084507043E-2</v>
      </c>
      <c r="AY4" s="3">
        <f>COUNTIFS(Tbl_Responses[[Q6: Do you do/recommend soil and/or plant testing?]:[Q6: Do you do/recommend soil and/or plant testing?]],"&gt;""",Tbl_Responses[[Resp_Group]:[Resp_Group]],Agronomist)</f>
        <v>71</v>
      </c>
      <c r="BA4" t="s">
        <v>2502</v>
      </c>
      <c r="BB4" s="3">
        <f>COUNTIFS(Tbl_Responses[Q8: Of your clients, how many of them rely entirely on you to make the nutrient decisions?],$BA4,Tbl_Responses[[Resp_Group]:[Resp_Group]],Agronomist)</f>
        <v>5</v>
      </c>
      <c r="BC4" s="3">
        <f>COUNTIFS(Tbl_Responses[Response4],$BA4,Tbl_Responses[[Resp_Group]:[Resp_Group]],Agronomist)</f>
        <v>7</v>
      </c>
      <c r="BD4" s="3">
        <f>COUNTIFS(Tbl_Responses[Response5],$BA4,Tbl_Responses[[Resp_Group]:[Resp_Group]],Agronomist)</f>
        <v>45</v>
      </c>
      <c r="BE4" s="3">
        <f>COUNTIFS(Tbl_Responses[Response6],$BA4,Tbl_Responses[[Resp_Group]:[Resp_Group]],Agronomist)</f>
        <v>6</v>
      </c>
      <c r="BF4" s="3">
        <f>COUNTIFS(Tbl_Responses[Response7],$BA4,Tbl_Responses[[Resp_Group]:[Resp_Group]],Agronomist)</f>
        <v>0</v>
      </c>
      <c r="BH4" t="s">
        <v>169</v>
      </c>
      <c r="BI4" s="3">
        <f>COUNTIFS(Tbl_Responses[Source_1_ID],$BH4,Tbl_Responses[[Resp_Group]:[Resp_Group]],Agronomist)+COUNTIFS(Tbl_Responses[Source_2_ID],$BH4,Tbl_Responses[[Resp_Group]:[Resp_Group]],Agronomist)+COUNTIFS(Tbl_Responses[Source_3_ID],$BH4,Tbl_Responses[[Resp_Group]:[Resp_Group]],Agronomist)</f>
        <v>50</v>
      </c>
      <c r="BJ4" s="4">
        <f>Tbl_Q11[[#This Row],[Q11 Response]]/SUM(Tbl_Q11[Q11 Response])</f>
        <v>0.3048780487804878</v>
      </c>
      <c r="BQ4" s="31">
        <v>0</v>
      </c>
      <c r="BR4" s="4">
        <f>COUNTIFS(Tbl_Responses[What % of your clients soil tested in 2018?],$BQ4,Tbl_Responses[[Resp_Group]:[Resp_Group]],Agronomist)/COUNTIFS(Tbl_Responses[What % of your clients soil tested in 2018?],"&gt;""",Tbl_Responses[[Resp_Group]:[Resp_Group]],Agronomist)</f>
        <v>1.6666666666666666E-2</v>
      </c>
      <c r="BS4" s="4">
        <f>COUNTIFS(Tbl_Responses[What % of your clients tested for N in 2018?],$BQ4,Tbl_Responses[[Resp_Group]:[Resp_Group]],Agronomist)/COUNTIFS(Tbl_Responses[What % of your clients tested for N in 2018?],"&gt;""",Tbl_Responses[[Resp_Group]:[Resp_Group]],Agronomist)</f>
        <v>7.0175438596491224E-2</v>
      </c>
      <c r="BT4" s="4">
        <f>COUNTIFS(Tbl_Responses[What % of your clients tested for N to at least 60cm in 2018?],$BQ4,Tbl_Responses[[Resp_Group]:[Resp_Group]],Agronomist)/COUNTIFS(Tbl_Responses[What % of your clients tested for N to at least 60cm in 2018?],"&gt;""",Tbl_Responses[[Resp_Group]:[Resp_Group]],Agronomist)</f>
        <v>0.22</v>
      </c>
      <c r="BU4" s="4">
        <f>COUNTIFS(Tbl_Responses[What % of your clients tested for P in 2018?],$BQ4,Tbl_Responses[[Resp_Group]:[Resp_Group]],Agronomist)/COUNTIFS(Tbl_Responses[What % of your clients tested for P in 2018?],"&gt;""",Tbl_Responses[[Resp_Group]:[Resp_Group]],Agronomist)</f>
        <v>3.3898305084745763E-2</v>
      </c>
      <c r="BX4" t="s">
        <v>178</v>
      </c>
      <c r="BY4" s="4">
        <f>(COUNTIFS(Tbl_Responses[Nitrogen 1 - Type of test],$BX4,Tbl_Responses[[Resp_Group]:[Resp_Group]],Agronomist)+COUNTIFS(Tbl_Responses[Nitrogen 2 - Type of test],$BX4,Tbl_Responses[[Resp_Group]:[Resp_Group]],Agronomist)+COUNTIFS(Tbl_Responses[Nitrogen 3 - Type of test],$BX4,Tbl_Responses[[Resp_Group]:[Resp_Group]],Agronomist))/(COUNTIFS(Tbl_Responses[Nitrogen 1 - Type of test],"&gt;""",Tbl_Responses[[Resp_Group]:[Resp_Group]],Agronomist)+COUNTIFS(Tbl_Responses[Nitrogen 2 - Type of test],"&gt;""",Tbl_Responses[[Resp_Group]:[Resp_Group]],Agronomist)+COUNTIFS(Tbl_Responses[Nitrogen 3 - Type of test],"&gt;""",Tbl_Responses[[Resp_Group]:[Resp_Group]],Agronomist))</f>
        <v>0.38793103448275862</v>
      </c>
      <c r="CB4" s="43" t="s">
        <v>177</v>
      </c>
      <c r="CC4" s="60">
        <f>(COUNTIFS(Tbl_Responses[Nitrogen 1 - Type of test],Tbl_14_sampling[[#Headers],[Organic Carbon]],Tbl_Responses[Nitrogen 1 - How many representative samples per paddock],$CB4,Tbl_Responses[[Resp_Group]:[Resp_Group]],Agronomist)+COUNTIFS(Tbl_Responses[Nitrogen 2 - Type of test],Tbl_14_sampling[[#Headers],[Organic Carbon]],Tbl_Responses[Nitrogen 2 - How many representative samples per paddock],$CB4,Tbl_Responses[[Resp_Group]:[Resp_Group]],Agronomist)+COUNTIFS(Tbl_Responses[Nitrogen 3 - Type of test],Tbl_14_sampling[[#Headers],[Organic Carbon]],Tbl_Responses[Nitrogen 3 - How many representative samples per paddock],$CB4,Tbl_Responses[[Resp_Group]:[Resp_Group]],Agronomist))/(COUNTIFS(Tbl_Responses[Nitrogen 1 - Type of test],Tbl_14_sampling[[#Headers],[Organic Carbon]],Tbl_Responses[Nitrogen 1 - How many representative samples per paddock],"&gt;""",Tbl_Responses[[Resp_Group]:[Resp_Group]],Agronomist)+COUNTIFS(Tbl_Responses[Nitrogen 2 - Type of test],Tbl_14_sampling[[#Headers],[Organic Carbon]],Tbl_Responses[Nitrogen 2 - How many representative samples per paddock],"&gt;""",Tbl_Responses[[Resp_Group]:[Resp_Group]],Agronomist)+COUNTIFS(Tbl_Responses[Nitrogen 3 - Type of test],Tbl_14_sampling[[#Headers],[Organic Carbon]],Tbl_Responses[Nitrogen 3 - How many representative samples per paddock],"&gt;""",Tbl_Responses[[Resp_Group]:[Resp_Group]],Agronomist))</f>
        <v>0.27272727272727271</v>
      </c>
      <c r="CD4" s="60">
        <f>(COUNTIFS(Tbl_Responses[Nitrogen 1 - Type of test],Tbl_14_sampling[[#Headers],[Mineral N (Nitrate/Ammonium)]],Tbl_Responses[Nitrogen 1 - How many representative samples per paddock],$CB4,Tbl_Responses[[Resp_Group]:[Resp_Group]],Agronomist)+COUNTIFS(Tbl_Responses[Nitrogen 2 - Type of test],Tbl_14_sampling[[#Headers],[Mineral N (Nitrate/Ammonium)]],Tbl_Responses[Nitrogen 2 - How many representative samples per paddock],$CB4,Tbl_Responses[[Resp_Group]:[Resp_Group]],Agronomist)+COUNTIFS(Tbl_Responses[Nitrogen 3 - Type of test],Tbl_14_sampling[[#Headers],[Mineral N (Nitrate/Ammonium)]],Tbl_Responses[Nitrogen 3 - How many representative samples per paddock],$CB4,Tbl_Responses[[Resp_Group]:[Resp_Group]],Agronomist))/(COUNTIFS(Tbl_Responses[Nitrogen 1 - Type of test],Tbl_14_sampling[[#Headers],[Mineral N (Nitrate/Ammonium)]],Tbl_Responses[Nitrogen 1 - How many representative samples per paddock],"&gt;""",Tbl_Responses[[Resp_Group]:[Resp_Group]],Agronomist)+COUNTIFS(Tbl_Responses[Nitrogen 2 - Type of test],Tbl_14_sampling[[#Headers],[Mineral N (Nitrate/Ammonium)]],Tbl_Responses[Nitrogen 2 - How many representative samples per paddock],"&gt;""",Tbl_Responses[[Resp_Group]:[Resp_Group]],Agronomist)+COUNTIFS(Tbl_Responses[Nitrogen 3 - Type of test],Tbl_14_sampling[[#Headers],[Mineral N (Nitrate/Ammonium)]],Tbl_Responses[Nitrogen 3 - How many representative samples per paddock],"&gt;""",Tbl_Responses[[Resp_Group]:[Resp_Group]],Agronomist))</f>
        <v>0.21621621621621623</v>
      </c>
      <c r="CE4" s="60">
        <f>(COUNTIFS(Tbl_Responses[Nitrogen 1 - Type of test],Tbl_14_sampling[[#Headers],[Total N]],Tbl_Responses[Nitrogen 1 - How many representative samples per paddock],$CB4,Tbl_Responses[[Resp_Group]:[Resp_Group]],Agronomist)+COUNTIFS(Tbl_Responses[Nitrogen 2 - Type of test],Tbl_14_sampling[[#Headers],[Total N]],Tbl_Responses[Nitrogen 2 - How many representative samples per paddock],$CB4,Tbl_Responses[[Resp_Group]:[Resp_Group]],Agronomist)+COUNTIFS(Tbl_Responses[Nitrogen 3 - Type of test],Tbl_14_sampling[[#Headers],[Total N]],Tbl_Responses[Nitrogen 3 - How many representative samples per paddock],$CB4,Tbl_Responses[[Resp_Group]:[Resp_Group]],Agronomist))/(COUNTIFS(Tbl_Responses[Nitrogen 1 - Type of test],Tbl_14_sampling[[#Headers],[Total N]],Tbl_Responses[Nitrogen 1 - How many representative samples per paddock],"&gt;""",Tbl_Responses[[Resp_Group]:[Resp_Group]],Agronomist)+COUNTIFS(Tbl_Responses[Nitrogen 2 - Type of test],Tbl_14_sampling[[#Headers],[Total N]],Tbl_Responses[Nitrogen 2 - How many representative samples per paddock],"&gt;""",Tbl_Responses[[Resp_Group]:[Resp_Group]],Agronomist)+COUNTIFS(Tbl_Responses[Nitrogen 3 - Type of test],Tbl_14_sampling[[#Headers],[Total N]],Tbl_Responses[Nitrogen 3 - How many representative samples per paddock],"&gt;""",Tbl_Responses[[Resp_Group]:[Resp_Group]],Agronomist))</f>
        <v>0.12</v>
      </c>
      <c r="CF4" s="60">
        <f>(COUNTIFS(Tbl_Responses[Nitrogen 1 - How many representative samples per paddock],$CB4,Tbl_Responses[[Resp_Group]:[Resp_Group]],Agronomist)+COUNTIFS(Tbl_Responses[Nitrogen 2 - How many representative samples per paddock],$CB4,Tbl_Responses[[Resp_Group]:[Resp_Group]],Agronomist)+COUNTIFS(Tbl_Responses[Nitrogen 3 - How many representative samples per paddock],$CB4,Tbl_Responses[[Resp_Group]:[Resp_Group]],Agronomist))/(COUNTIFS(Tbl_Responses[Nitrogen 1 - How many representative samples per paddock],"&gt;""",Tbl_Responses[[Resp_Group]:[Resp_Group]],Agronomist)+COUNTIFS(Tbl_Responses[Nitrogen 2 - How many representative samples per paddock],"&gt;""",Tbl_Responses[[Resp_Group]:[Resp_Group]],Agronomist)+COUNTIFS(Tbl_Responses[Nitrogen 3 - How many representative samples per paddock],"&gt;""",Tbl_Responses[[Resp_Group]:[Resp_Group]],Agronomist))</f>
        <v>0.21052631578947367</v>
      </c>
      <c r="CG4" s="72"/>
      <c r="CH4" s="72"/>
      <c r="CI4" s="80" t="s">
        <v>182</v>
      </c>
      <c r="CJ4" s="72">
        <f>(COUNTIFS(Tbl_Responses[Phosphorus 1 - Type of test],CI4,Tbl_Responses[[Resp_Group]:[Resp_Group]],Agronomist)+COUNTIFS(Tbl_Responses[Phosphorus 2 - Type of test],CI4,Tbl_Responses[[Resp_Group]:[Resp_Group]],Agronomist)+COUNTIFS(Tbl_Responses[Phosphorus 3 - Type of test],CI4,Tbl_Responses[[Resp_Group]:[Resp_Group]],Agronomist)+COUNTIFS(Tbl_Responses[Phosphorus 4 - Type of test],CI4,Tbl_Responses[[Resp_Group]:[Resp_Group]],Agronomist)+COUNTIFS(Tbl_Responses[Phosphorus 5 - Type of test],CI4,Tbl_Responses[[Resp_Group]:[Resp_Group]],Agronomist))/(COUNTIFS(Tbl_Responses[Phosphorus 1 - Type of test],"&gt;""",Tbl_Responses[[Resp_Group]:[Resp_Group]],Agronomist)+COUNTIFS(Tbl_Responses[Phosphorus 2 - Type of test],"&gt;""",Tbl_Responses[[Resp_Group]:[Resp_Group]],Agronomist)+COUNTIFS(Tbl_Responses[Phosphorus 3 - Type of test],"&gt;""",Tbl_Responses[[Resp_Group]:[Resp_Group]],Agronomist)+COUNTIFS(Tbl_Responses[Phosphorus 4 - Type of test],"&gt;""",Tbl_Responses[[Resp_Group]:[Resp_Group]],Agronomist)+COUNTIFS(Tbl_Responses[Phosphorus 5 - Type of test],"&gt;""",Tbl_Responses[[Resp_Group]:[Resp_Group]],Agronomist))</f>
        <v>0.40145985401459855</v>
      </c>
      <c r="CK4" s="72"/>
      <c r="CL4" s="72"/>
      <c r="CM4" s="74" t="s">
        <v>177</v>
      </c>
      <c r="CN4" s="66">
        <f>(COUNTIFS(Tbl_Responses[Phosphorus 1 - Type of test],Tbl_Q15_sampling[[#Headers],[Colwell P]],Tbl_Responses[Phosphorus 1 - How many representative samples per paddock],$CM4,Tbl_Responses[[Resp_Group]:[Resp_Group]],Agronomist)+COUNTIFS(Tbl_Responses[Phosphorus 2 - Type of test],Tbl_Q15_sampling[[#Headers],[Colwell P]],Tbl_Responses[Phosphorus 2 - How many representative samples per paddock],$CM4,Tbl_Responses[[Resp_Group]:[Resp_Group]],Agronomist)+COUNTIFS(Tbl_Responses[Phosphorus 3 - Type of test],Tbl_Q15_sampling[[#Headers],[Colwell P]],Tbl_Responses[Phosphorus 3 - How many representative samples per paddock],$CM4,Tbl_Responses[[Resp_Group]:[Resp_Group]],Agronomist)+COUNTIFS(Tbl_Responses[Phosphorus 4 - Type of test],Tbl_Q15_sampling[[#Headers],[Colwell P]],Tbl_Responses[Phosphorus 4 - How many representative samples per paddock],$CM4,Tbl_Responses[[Resp_Group]:[Resp_Group]],Agronomist)+COUNTIFS(Tbl_Responses[Phosphorus 5 - Type of test],Tbl_Q15_sampling[[#Headers],[Colwell P]],Tbl_Responses[Phosphorus 5 - How many representative samples per paddock],$CM4,Tbl_Responses[[Resp_Group]:[Resp_Group]],Agronomist))/(COUNTIFS(Tbl_Responses[Phosphorus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f>
        <v>0.21276595744680851</v>
      </c>
      <c r="CO4" s="60">
        <f>(COUNTIFS(Tbl_Responses[Phosphorus 1 - Type of test],Tbl_Q15_sampling[[#Headers],[Olsen-Bray P]],Tbl_Responses[Phosphorus 1 - How many representative samples per paddock],$CM4,Tbl_Responses[[Resp_Group]:[Resp_Group]],Agronomist)+COUNTIFS(Tbl_Responses[Phosphorus 2 - Type of test],Tbl_Q15_sampling[[#Headers],[Olsen-Bray P]],Tbl_Responses[Phosphorus 2 - How many representative samples per paddock],$CM4,Tbl_Responses[[Resp_Group]:[Resp_Group]],Agronomist)+COUNTIFS(Tbl_Responses[Phosphorus 3 - Type of test],Tbl_Q15_sampling[[#Headers],[Olsen-Bray P]],Tbl_Responses[Phosphorus 3 - How many representative samples per paddock],$CM4,Tbl_Responses[[Resp_Group]:[Resp_Group]],Agronomist)+COUNTIFS(Tbl_Responses[Phosphorus 4 - Type of test],Tbl_Q15_sampling[[#Headers],[Olsen-Bray P]],Tbl_Responses[Phosphorus 4 - How many representative samples per paddock],$CM4,Tbl_Responses[[Resp_Group]:[Resp_Group]],Agronomist)+COUNTIFS(Tbl_Responses[Phosphorus 5 - Type of test],Tbl_Q15_sampling[[#Headers],[Olsen-Bray P]],Tbl_Responses[Phosphorus 5 - How many representative samples per paddock],$CM4,Tbl_Responses[[Resp_Group]:[Resp_Group]],Agronomist))/(COUNTIFS(Tbl_Responses[Phosphorus 1 - Type of test],Tbl_Q15_sampling[[#Headers],[Olsen-Bray P]],Tbl_Responses[Phosphorus 1 - How many representative samples per paddock],"&gt;""",Tbl_Responses[[Resp_Group]:[Resp_Group]],Agronomist)+COUNTIFS(Tbl_Responses[Phosphorus 2 - Type of test],Tbl_Q15_sampling[[#Headers],[Olsen-Bray P]],Tbl_Responses[Phosphorus 2 - How many representative samples per paddock],"&gt;""",Tbl_Responses[[Resp_Group]:[Resp_Group]],Agronomist)+COUNTIFS(Tbl_Responses[Phosphorus 3 - Type of test],Tbl_Q15_sampling[[#Headers],[Olsen-Bray P]],Tbl_Responses[Phosphorus 3 - How many representative samples per paddock],"&gt;""",Tbl_Responses[[Resp_Group]:[Resp_Group]],Agronomist)+COUNTIFS(Tbl_Responses[Phosphorus 4 - Type of test],Tbl_Q15_sampling[[#Headers],[Olsen-Bray P]],Tbl_Responses[Phosphorus 4 - How many representative samples per paddock],"&gt;""",Tbl_Responses[[Resp_Group]:[Resp_Group]],Agronomist)+COUNTIFS(Tbl_Responses[Phosphorus 5 - Type of test],Tbl_Q15_sampling[[#Headers],[Olsen-Bray P]],Tbl_Responses[Phosphorus 5 - How many representative samples per paddock],"&gt;""",Tbl_Responses[[Resp_Group]:[Resp_Group]],Agronomist))</f>
        <v>0.18181818181818182</v>
      </c>
      <c r="CP4" s="60">
        <f>(COUNTIFS(Tbl_Responses[Phosphorus 1 - Type of test],Tbl_Q15_sampling[[#Headers],[PBI (Phosphorus Buffering Index)]],Tbl_Responses[Phosphorus 1 - How many representative samples per paddock],$CM4,Tbl_Responses[[Resp_Group]:[Resp_Group]],Agronomist)+COUNTIFS(Tbl_Responses[Phosphorus 2 - Type of test],Tbl_Q15_sampling[[#Headers],[PBI (Phosphorus Buffering Index)]],Tbl_Responses[Phosphorus 2 - How many representative samples per paddock],$CM4,Tbl_Responses[[Resp_Group]:[Resp_Group]],Agronomist)+COUNTIFS(Tbl_Responses[Phosphorus 3 - Type of test],Tbl_Q15_sampling[[#Headers],[PBI (Phosphorus Buffering Index)]],Tbl_Responses[Phosphorus 3 - How many representative samples per paddock],$CM4,Tbl_Responses[[Resp_Group]:[Resp_Group]],Agronomist)+COUNTIFS(Tbl_Responses[Phosphorus 4 - Type of test],Tbl_Q15_sampling[[#Headers],[PBI (Phosphorus Buffering Index)]],Tbl_Responses[Phosphorus 4 - How many representative samples per paddock],$CM4,Tbl_Responses[[Resp_Group]:[Resp_Group]],Agronomist)+COUNTIFS(Tbl_Responses[Phosphorus 5 - Type of test],Tbl_Q15_sampling[[#Headers],[PBI (Phosphorus Buffering Index)]],Tbl_Responses[Phosphorus 5 - How many representative samples per paddock],$CM4,Tbl_Responses[[Resp_Group]:[Resp_Group]],Agronomist))/(COUNTIFS(Tbl_Responses[Phosphorus 1 - Type of test],Tbl_Q15_sampling[[#Headers],[PBI (Phosphorus Buffering Index)]],Tbl_Responses[Phosphorus 1 - How many representative samples per paddock],"&gt;""",Tbl_Responses[[Resp_Group]:[Resp_Group]],Agronomist)+COUNTIFS(Tbl_Responses[Phosphorus 2 - Type of test],Tbl_Q15_sampling[[#Headers],[PBI (Phosphorus Buffering Index)]],Tbl_Responses[Phosphorus 2 - How many representative samples per paddock],"&gt;""",Tbl_Responses[[Resp_Group]:[Resp_Group]],Agronomist)+COUNTIFS(Tbl_Responses[Phosphorus 3 - Type of test],Tbl_Q15_sampling[[#Headers],[PBI (Phosphorus Buffering Index)]],Tbl_Responses[Phosphorus 3 - How many representative samples per paddock],"&gt;""",Tbl_Responses[[Resp_Group]:[Resp_Group]],Agronomist)+COUNTIFS(Tbl_Responses[Phosphorus 4 - Type of test],Tbl_Q15_sampling[[#Headers],[PBI (Phosphorus Buffering Index)]],Tbl_Responses[Phosphorus 4 - How many representative samples per paddock],"&gt;""",Tbl_Responses[[Resp_Group]:[Resp_Group]],Agronomist)+COUNTIFS(Tbl_Responses[Phosphorus 5 - Type of test],Tbl_Q15_sampling[[#Headers],[PBI (Phosphorus Buffering Index)]],Tbl_Responses[Phosphorus 5 - How many representative samples per paddock],"&gt;""",Tbl_Responses[[Resp_Group]:[Resp_Group]],Agronomist))</f>
        <v>0.22580645161290322</v>
      </c>
      <c r="CQ4" s="60">
        <f>(COUNTIFS(Tbl_Responses[Phosphorus 1 - Type of test],Tbl_Q15_sampling[[#Headers],[DGT]],Tbl_Responses[Phosphorus 1 - How many representative samples per paddock],$CM4,Tbl_Responses[[Resp_Group]:[Resp_Group]],Agronomist)+COUNTIFS(Tbl_Responses[Phosphorus 2 - Type of test],Tbl_Q15_sampling[[#Headers],[DGT]],Tbl_Responses[Phosphorus 2 - How many representative samples per paddock],$CM4,Tbl_Responses[[Resp_Group]:[Resp_Group]],Agronomist)+COUNTIFS(Tbl_Responses[Phosphorus 3 - Type of test],Tbl_Q15_sampling[[#Headers],[DGT]],Tbl_Responses[Phosphorus 3 - How many representative samples per paddock],$CM4,Tbl_Responses[[Resp_Group]:[Resp_Group]],Agronomist)+COUNTIFS(Tbl_Responses[Phosphorus 4 - Type of test],Tbl_Q15_sampling[[#Headers],[DGT]],Tbl_Responses[Phosphorus 4 - How many representative samples per paddock],$CM4,Tbl_Responses[[Resp_Group]:[Resp_Group]],Agronomist)+COUNTIFS(Tbl_Responses[Phosphorus 5 - Type of test],Tbl_Q15_sampling[[#Headers],[DGT]],Tbl_Responses[Phosphorus 5 - How many representative samples per paddock],$CM4,Tbl_Responses[[Resp_Group]:[Resp_Group]],Agronomist))/(COUNTIFS(Tbl_Responses[Phosphorus 1 - Type of test],Tbl_Q15_sampling[[#Headers],[DGT]],Tbl_Responses[Phosphorus 1 - How many representative samples per paddock],"&gt;""",Tbl_Responses[[Resp_Group]:[Resp_Group]],Agronomist)+COUNTIFS(Tbl_Responses[Phosphorus 2 - Type of test],Tbl_Q15_sampling[[#Headers],[DGT]],Tbl_Responses[Phosphorus 2 - How many representative samples per paddock],"&gt;""",Tbl_Responses[[Resp_Group]:[Resp_Group]],Agronomist)+COUNTIFS(Tbl_Responses[Phosphorus 3 - Type of test],Tbl_Q15_sampling[[#Headers],[DGT]],Tbl_Responses[Phosphorus 3 - How many representative samples per paddock],"&gt;""",Tbl_Responses[[Resp_Group]:[Resp_Group]],Agronomist)+COUNTIFS(Tbl_Responses[Phosphorus 4 - Type of test],Tbl_Q15_sampling[[#Headers],[DGT]],Tbl_Responses[Phosphorus 4 - How many representative samples per paddock],"&gt;""",Tbl_Responses[[Resp_Group]:[Resp_Group]],Agronomist)+COUNTIFS(Tbl_Responses[Phosphorus 5 - Type of test],Tbl_Q15_sampling[[#Headers],[DGT]],Tbl_Responses[Phosphorus 5 - How many representative samples per paddock],"&gt;""",Tbl_Responses[[Resp_Group]:[Resp_Group]],Agronomist))</f>
        <v>0.20833333333333334</v>
      </c>
      <c r="CR4" s="60">
        <f>(COUNTIFS(Tbl_Responses[Phosphorus 1 - Type of test],Tbl_Q15_sampling[[#Headers],[Total P]],Tbl_Responses[Phosphorus 1 - How many representative samples per paddock],$CM4,Tbl_Responses[[Resp_Group]:[Resp_Group]],Agronomist)+COUNTIFS(Tbl_Responses[Phosphorus 2 - Type of test],Tbl_Q15_sampling[[#Headers],[Total P]],Tbl_Responses[Phosphorus 2 - How many representative samples per paddock],$CM4,Tbl_Responses[[Resp_Group]:[Resp_Group]],Agronomist)+COUNTIFS(Tbl_Responses[Phosphorus 3 - Type of test],Tbl_Q15_sampling[[#Headers],[Total P]],Tbl_Responses[Phosphorus 3 - How many representative samples per paddock],$CM4,Tbl_Responses[[Resp_Group]:[Resp_Group]],Agronomist)+COUNTIFS(Tbl_Responses[Phosphorus 4 - Type of test],Tbl_Q15_sampling[[#Headers],[Total P]],Tbl_Responses[Phosphorus 4 - How many representative samples per paddock],$CM4,Tbl_Responses[[Resp_Group]:[Resp_Group]],Agronomist)+COUNTIFS(Tbl_Responses[Phosphorus 5 - Type of test],Tbl_Q15_sampling[[#Headers],[Total P]],Tbl_Responses[Phosphorus 5 - How many representative samples per paddock],$CM4,Tbl_Responses[[Resp_Group]:[Resp_Group]],Agronomist))/(COUNTIFS(Tbl_Responses[Phosphorus 1 - Type of test],Tbl_Q15_sampling[[#Headers],[Total P]],Tbl_Responses[Phosphorus 1 - How many representative samples per paddock],"&gt;""",Tbl_Responses[[Resp_Group]:[Resp_Group]],Agronomist)+COUNTIFS(Tbl_Responses[Phosphorus 2 - Type of test],Tbl_Q15_sampling[[#Headers],[Total P]],Tbl_Responses[Phosphorus 2 - How many representative samples per paddock],"&gt;""",Tbl_Responses[[Resp_Group]:[Resp_Group]],Agronomist)+COUNTIFS(Tbl_Responses[Phosphorus 3 - Type of test],Tbl_Q15_sampling[[#Headers],[Total P]],Tbl_Responses[Phosphorus 3 - How many representative samples per paddock],"&gt;""",Tbl_Responses[[Resp_Group]:[Resp_Group]],Agronomist)+COUNTIFS(Tbl_Responses[Phosphorus 4 - Type of test],Tbl_Q15_sampling[[#Headers],[Total P]],Tbl_Responses[Phosphorus 4 - How many representative samples per paddock],"&gt;""",Tbl_Responses[[Resp_Group]:[Resp_Group]],Agronomist)+COUNTIFS(Tbl_Responses[Phosphorus 5 - Type of test],Tbl_Q15_sampling[[#Headers],[Total P]],Tbl_Responses[Phosphorus 5 - How many representative samples per paddock],"&gt;""",Tbl_Responses[[Resp_Group]:[Resp_Group]],Agronomist))</f>
        <v>0.25</v>
      </c>
      <c r="CS4" s="82">
        <f>(COUNTIFS(Tbl_Responses[Phosphorus 1 - How many representative samples per paddock],$CM4,Tbl_Responses[[Resp_Group]:[Resp_Group]],Agronomist)+COUNTIFS(Tbl_Responses[Phosphorus 2 - How many representative samples per paddock],$CM4,Tbl_Responses[[Resp_Group]:[Resp_Group]],Agronomist)+COUNTIFS(Tbl_Responses[Phosphorus 3 - How many representative samples per paddock],$CM4,Tbl_Responses[[Resp_Group]:[Resp_Group]],Agronomist)+COUNTIFS(Tbl_Responses[Phosphorus 4 - How many representative samples per paddock],$CM4,Tbl_Responses[[Resp_Group]:[Resp_Group]],Agronomist)+COUNTIFS(Tbl_Responses[Phosphorus 5 - How many representative samples per paddock],$CM4,Tbl_Responses[[Resp_Group]:[Resp_Group]],Agronomist))/(COUNTIFS(Tbl_Responses[Phosphorus 1 - How many representative samples per paddock],"&gt;""",Tbl_Responses[[Resp_Group]:[Resp_Group]],Agronomist)+COUNTIFS(Tbl_Responses[Phosphorus 2 - How many representative samples per paddock],"&gt;""",Tbl_Responses[[Resp_Group]:[Resp_Group]],Agronomist)+COUNTIFS(Tbl_Responses[Phosphorus 3 - How many representative samples per paddock],"&gt;""",Tbl_Responses[[Resp_Group]:[Resp_Group]],Agronomist)+COUNTIFS(Tbl_Responses[Phosphorus 4 - How many representative samples per paddock],"&gt;""",Tbl_Responses[[Resp_Group]:[Resp_Group]],Agronomist)+COUNTIFS(Tbl_Responses[Phosphorus 5 - How many representative samples per paddock],"&gt;""",Tbl_Responses[[Resp_Group]:[Resp_Group]],Agronomist))</f>
        <v>0.21367521367521367</v>
      </c>
      <c r="CT4" s="72"/>
      <c r="CU4" s="72"/>
      <c r="CV4" s="80" t="s">
        <v>184</v>
      </c>
      <c r="CW4" s="72">
        <f>(COUNTIFS(Tbl_Responses[Potassium 1 - Type of test],$CV4,Tbl_Responses[[Resp_Group]:[Resp_Group]],Agronomist)+COUNTIFS(Tbl_Responses[Potassium 2 - Type of test],$CV4,Tbl_Responses[[Resp_Group]:[Resp_Group]],Agronomist)+COUNTIFS(Tbl_Responses[Potassium 3 - Type of test],$CV4,Tbl_Responses[[Resp_Group]:[Resp_Group]],Agronomist))/(COUNTIFS(Tbl_Responses[Potassium 1 - Type of test],"&gt;""",Tbl_Responses[[Resp_Group]:[Resp_Group]],Agronomist)+COUNTIFS(Tbl_Responses[Potassium 2 - Type of test],"&gt;""",Tbl_Responses[[Resp_Group]:[Resp_Group]],Agronomist)+COUNTIFS(Tbl_Responses[Potassium 3 - Type of test],"&gt;""",Tbl_Responses[[Resp_Group]:[Resp_Group]],Agronomist))</f>
        <v>0.625</v>
      </c>
      <c r="CX4" s="72"/>
      <c r="CY4" s="72"/>
      <c r="CZ4" s="74" t="s">
        <v>177</v>
      </c>
      <c r="DA4" s="66">
        <f>(COUNTIFS(Tbl_Responses[Potassium 1 - Type of test],Tbl_Q16_sampling[[#Headers],[Colwell K]],Tbl_Responses[Potassium 1 - How many representative samples per paddock],$CZ4,Tbl_Responses[[Resp_Group]:[Resp_Group]],Agronomist)+COUNTIFS(Tbl_Responses[Potassium 2 - Type of test],Tbl_Q16_sampling[[#Headers],[Colwell K]],Tbl_Responses[Potassium 2 - How many representative samples per paddock],$CZ4,Tbl_Responses[[Resp_Group]:[Resp_Group]],Agronomist)+COUNTIFS(Tbl_Responses[Potassium 3 - Type of test],Tbl_Q16_sampling[[#Headers],[Colwell K]],Tbl_Responses[Potassium 3 - How many representative samples per paddock],$CZ4,Tbl_Responses[[Resp_Group]:[Resp_Group]],Agronomist))/(COUNTIFS(Tbl_Responses[Potassium 1 - Type of test],Tbl_Q16_sampling[[#Headers],[Colwell K]],Tbl_Responses[Potassium 1 - How many representative samples per paddock],"&gt;""",Tbl_Responses[[Resp_Group]:[Resp_Group]],Agronomist)+COUNTIFS(Tbl_Responses[Potassium 2 - Type of test],Tbl_Q16_sampling[[#Headers],[Colwell K]],Tbl_Responses[Potassium 2 - How many representative samples per paddock],"&gt;""",Tbl_Responses[[Resp_Group]:[Resp_Group]],Agronomist)+COUNTIFS(Tbl_Responses[Potassium 3 - Type of test],Tbl_Q16_sampling[[#Headers],[Colwell K]],Tbl_Responses[Potassium 3 - How many representative samples per paddock],"&gt;""",Tbl_Responses[[Resp_Group]:[Resp_Group]],Agronomist))</f>
        <v>0.29032258064516131</v>
      </c>
      <c r="DB4" s="60">
        <f>(COUNTIFS(Tbl_Responses[Potassium 1 - Type of test],Tbl_Q16_sampling[[#Headers],[Exchangable Cations (Ca, Mg, K, Na)]],Tbl_Responses[Potassium 1 - How many representative samples per paddock],$CZ4,Tbl_Responses[[Resp_Group]:[Resp_Group]],Agronomist)+COUNTIFS(Tbl_Responses[Potassium 2 - Type of test],Tbl_Q16_sampling[[#Headers],[Exchangable Cations (Ca, Mg, K, Na)]],Tbl_Responses[Potassium 2 - How many representative samples per paddock],$CZ4,Tbl_Responses[[Resp_Group]:[Resp_Group]],Agronomist)+COUNTIFS(Tbl_Responses[Potassium 3 - Type of test],Tbl_Q16_sampling[[#Headers],[Exchangable Cations (Ca, Mg, K, Na)]],Tbl_Responses[Potassium 3 - How many representative samples per paddock],$CZ4,Tbl_Responses[[Resp_Group]:[Resp_Group]],Agronomist))/(COUNTIFS(Tbl_Responses[Potassium 1 - Type of test],Tbl_Q16_sampling[[#Headers],[Exchangable Cations (Ca, Mg, K, Na)]],Tbl_Responses[Potassium 1 - How many representative samples per paddock],"&gt;""",Tbl_Responses[[Resp_Group]:[Resp_Group]],Agronomist)+COUNTIFS(Tbl_Responses[Potassium 2 - Type of test],Tbl_Q16_sampling[[#Headers],[Exchangable Cations (Ca, Mg, K, Na)]],Tbl_Responses[Potassium 2 - How many representative samples per paddock],"&gt;""",Tbl_Responses[[Resp_Group]:[Resp_Group]],Agronomist)+COUNTIFS(Tbl_Responses[Potassium 3 - Type of test],Tbl_Q16_sampling[[#Headers],[Exchangable Cations (Ca, Mg, K, Na)]],Tbl_Responses[Potassium 3 - How many representative samples per paddock],"&gt;""",Tbl_Responses[[Resp_Group]:[Resp_Group]],Agronomist))</f>
        <v>0.27272727272727271</v>
      </c>
      <c r="DC4" s="69">
        <f>(COUNTIFS(Tbl_Responses[Potassium 1 - How many representative samples per paddock],$CZ4,Tbl_Responses[[Resp_Group]:[Resp_Group]],Agronomist)+COUNTIFS(Tbl_Responses[Potassium 2 - How many representative samples per paddock],$CZ4,Tbl_Responses[[Resp_Group]:[Resp_Group]],Agronomist)+COUNTIFS(Tbl_Responses[Potassium 3 - How many representative samples per paddock],$CZ4,Tbl_Responses[[Resp_Group]:[Resp_Group]],Agronomist))/(COUNTIFS(Tbl_Responses[Potassium 1 - How many representative samples per paddock],"&gt;""",Tbl_Responses[[Resp_Group]:[Resp_Group]],Agronomist)+COUNTIFS(Tbl_Responses[Potassium 2 - How many representative samples per paddock],"&gt;""",Tbl_Responses[[Resp_Group]:[Resp_Group]],Agronomist)+COUNTIFS(Tbl_Responses[Potassium 3 - How many representative samples per paddock],"&gt;""",Tbl_Responses[[Resp_Group]:[Resp_Group]],Agronomist))</f>
        <v>0.28301886792452829</v>
      </c>
      <c r="DD4" s="72"/>
      <c r="DE4" s="72"/>
      <c r="DF4" s="80" t="s">
        <v>186</v>
      </c>
      <c r="DG4" s="72">
        <f>(COUNTIFS(Tbl_Responses[1 - Type of test],DF4,Tbl_Responses[[Resp_Group]:[Resp_Group]],Agronomist)+COUNTIFS(Tbl_Responses[2 - Type of test],DF4,Tbl_Responses[[Resp_Group]:[Resp_Group]],Agronomist)+COUNTIFS(Tbl_Responses[3 - Type of test],DF4,Tbl_Responses[[Resp_Group]:[Resp_Group]],Agronomist)+COUNTIFS(Tbl_Responses[4 - Type of test],DF4,Tbl_Responses[[Resp_Group]:[Resp_Group]],Agronomist)+COUNTIFS(Tbl_Responses[5 - Type of test],DF4,Tbl_Responses[[Resp_Group]:[Resp_Group]],Agronomist))/(COUNTIFS(Tbl_Responses[1 -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f>
        <v>0.1965065502183406</v>
      </c>
      <c r="DH4" s="72"/>
      <c r="DI4" s="72"/>
      <c r="DJ4" s="74" t="s">
        <v>177</v>
      </c>
      <c r="DK4" s="66">
        <f>(COUNTIFS(Tbl_Responses[1 - Type of test],Tbl_Q17_sampling[[#Headers],[pH]],Tbl_Responses[1 - How many cores per paddock],$DJ4,Tbl_Responses[[Resp_Group]:[Resp_Group]],Agronomist)+COUNTIFS(Tbl_Responses[2 - Type of test],Tbl_Q17_sampling[[#Headers],[pH]],Tbl_Responses[2 - How many cores per paddock],$DJ4,Tbl_Responses[[Resp_Group]:[Resp_Group]],Agronomist)+COUNTIFS(Tbl_Responses[3 - Type of test],Tbl_Q17_sampling[[#Headers],[pH]],Tbl_Responses[3 - How many cores per paddock],$DJ4,Tbl_Responses[[Resp_Group]:[Resp_Group]],Agronomist)+COUNTIFS(Tbl_Responses[4 - Type of test],Tbl_Q17_sampling[[#Headers],[pH]],Tbl_Responses[4 - How many cores per paddock],$DJ4,Tbl_Responses[[Resp_Group]:[Resp_Group]],Agronomist)+COUNTIFS(Tbl_Responses[5 - Type of test],Tbl_Q17_sampling[[#Headers],[pH]],Tbl_Responses[5 - How many cores per paddock],$DJ4,Tbl_Responses[[Resp_Group]:[Resp_Group]],Agronomist)+COUNTIFS(Tbl_Responses[6 - Type of test],Tbl_Q17_sampling[[#Headers],[pH]],Tbl_Responses[6 - How many cores per paddock],$DJ4,Tbl_Responses[[Resp_Group]:[Resp_Group]],Agronomist)+COUNTIFS(Tbl_Responses[7 - Type of test],Tbl_Q17_sampling[[#Headers],[pH]],Tbl_Responses[7 - How many cores per paddock],$DJ4,Tbl_Responses[[Resp_Group]:[Resp_Group]],Agronomist)+COUNTIFS(Tbl_Responses[8 - Type of test],Tbl_Q17_sampling[[#Headers],[pH]],Tbl_Responses[8 - How many cores per paddock],$DJ4,Tbl_Responses[[Resp_Group]:[Resp_Group]],Agronomist))/(COUNTIFS(Tbl_Responses[1 -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f>
        <v>0.40540540540540543</v>
      </c>
      <c r="DL4" s="60">
        <f>(COUNTIFS(Tbl_Responses[1 - Type of test],Tbl_Q17_sampling[[#Headers],[Trace elements (DTPA) Cu, Zn, Mg, Fe]],Tbl_Responses[1 - How many cores per paddock],$DJ4,Tbl_Responses[[Resp_Group]:[Resp_Group]],Agronomist)+COUNTIFS(Tbl_Responses[2 - Type of test],Tbl_Q17_sampling[[#Headers],[Trace elements (DTPA) Cu, Zn, Mg, Fe]],Tbl_Responses[2 - How many cores per paddock],$DJ4,Tbl_Responses[[Resp_Group]:[Resp_Group]],Agronomist)+COUNTIFS(Tbl_Responses[3 - Type of test],Tbl_Q17_sampling[[#Headers],[Trace elements (DTPA) Cu, Zn, Mg, Fe]],Tbl_Responses[3 - How many cores per paddock],$DJ4,Tbl_Responses[[Resp_Group]:[Resp_Group]],Agronomist)+COUNTIFS(Tbl_Responses[4 - Type of test],Tbl_Q17_sampling[[#Headers],[Trace elements (DTPA) Cu, Zn, Mg, Fe]],Tbl_Responses[4 - How many cores per paddock],$DJ4,Tbl_Responses[[Resp_Group]:[Resp_Group]],Agronomist)+COUNTIFS(Tbl_Responses[5 - Type of test],Tbl_Q17_sampling[[#Headers],[Trace elements (DTPA) Cu, Zn, Mg, Fe]],Tbl_Responses[5 - How many cores per paddock],$DJ4,Tbl_Responses[[Resp_Group]:[Resp_Group]],Agronomist)+COUNTIFS(Tbl_Responses[6 - Type of test],Tbl_Q17_sampling[[#Headers],[Trace elements (DTPA) Cu, Zn, Mg, Fe]],Tbl_Responses[6 - How many cores per paddock],$DJ4,Tbl_Responses[[Resp_Group]:[Resp_Group]],Agronomist)+COUNTIFS(Tbl_Responses[7 - Type of test],Tbl_Q17_sampling[[#Headers],[Trace elements (DTPA) Cu, Zn, Mg, Fe]],Tbl_Responses[7 - How many cores per paddock],$DJ4,Tbl_Responses[[Resp_Group]:[Resp_Group]],Agronomist)+COUNTIFS(Tbl_Responses[8 - Type of test],Tbl_Q17_sampling[[#Headers],[Trace elements (DTPA) Cu, Zn, Mg, Fe]],Tbl_Responses[8 - How many cores per paddock],$DJ4,Tbl_Responses[[Resp_Group]:[Resp_Group]],Agronomist))/(COUNTIFS(Tbl_Responses[1 - Type of test],Tbl_Q17_sampling[[#Headers],[Trace elements (DTPA) Cu, Zn, Mg, Fe]],Tbl_Responses[1 - How many cores per paddock],"&gt;""",Tbl_Responses[[Resp_Group]:[Resp_Group]],Agronomist)+COUNTIFS(Tbl_Responses[2 - Type of test],Tbl_Q17_sampling[[#Headers],[Trace elements (DTPA) Cu, Zn, Mg, Fe]],Tbl_Responses[2 - How many cores per paddock],"&gt;""",Tbl_Responses[[Resp_Group]:[Resp_Group]],Agronomist)+COUNTIFS(Tbl_Responses[3 - Type of test],Tbl_Q17_sampling[[#Headers],[Trace elements (DTPA) Cu, Zn, Mg, Fe]],Tbl_Responses[3 - How many cores per paddock],"&gt;""",Tbl_Responses[[Resp_Group]:[Resp_Group]],Agronomist)+COUNTIFS(Tbl_Responses[4 - Type of test],Tbl_Q17_sampling[[#Headers],[Trace elements (DTPA) Cu, Zn, Mg, Fe]],Tbl_Responses[4 - How many cores per paddock],"&gt;""",Tbl_Responses[[Resp_Group]:[Resp_Group]],Agronomist)+COUNTIFS(Tbl_Responses[5 - Type of test],Tbl_Q17_sampling[[#Headers],[Trace elements (DTPA) Cu, Zn, Mg, Fe]],Tbl_Responses[5 - How many cores per paddock],"&gt;""",Tbl_Responses[[Resp_Group]:[Resp_Group]],Agronomist)+COUNTIFS(Tbl_Responses[6 - Type of test],Tbl_Q17_sampling[[#Headers],[Trace elements (DTPA) Cu, Zn, Mg, Fe]],Tbl_Responses[6 - How many cores per paddock],"&gt;""",Tbl_Responses[[Resp_Group]:[Resp_Group]],Agronomist)+COUNTIFS(Tbl_Responses[7 - Type of test],Tbl_Q17_sampling[[#Headers],[Trace elements (DTPA) Cu, Zn, Mg, Fe]],Tbl_Responses[7 - How many cores per paddock],"&gt;""",Tbl_Responses[[Resp_Group]:[Resp_Group]],Agronomist)+COUNTIFS(Tbl_Responses[8 - Type of test],Tbl_Q17_sampling[[#Headers],[Trace elements (DTPA) Cu, Zn, Mg, Fe]],Tbl_Responses[8 - How many cores per paddock],"&gt;""",Tbl_Responses[[Resp_Group]:[Resp_Group]],Agronomist))</f>
        <v>0.47222222222222221</v>
      </c>
      <c r="DM4" s="60">
        <f>(COUNTIFS(Tbl_Responses[1 - Type of test],Tbl_Q17_sampling[[#Headers],[Trace elements (EDTA) Cu, Zn, Mg, Fe]],Tbl_Responses[1 - How many cores per paddock],$DJ4,Tbl_Responses[[Resp_Group]:[Resp_Group]],Agronomist)+COUNTIFS(Tbl_Responses[2 - Type of test],Tbl_Q17_sampling[[#Headers],[Trace elements (EDTA) Cu, Zn, Mg, Fe]],Tbl_Responses[2 - How many cores per paddock],$DJ4,Tbl_Responses[[Resp_Group]:[Resp_Group]],Agronomist)+COUNTIFS(Tbl_Responses[3 - Type of test],Tbl_Q17_sampling[[#Headers],[Trace elements (EDTA) Cu, Zn, Mg, Fe]],Tbl_Responses[3 - How many cores per paddock],$DJ4,Tbl_Responses[[Resp_Group]:[Resp_Group]],Agronomist)+COUNTIFS(Tbl_Responses[4 - Type of test],Tbl_Q17_sampling[[#Headers],[Trace elements (EDTA) Cu, Zn, Mg, Fe]],Tbl_Responses[4 - How many cores per paddock],$DJ4,Tbl_Responses[[Resp_Group]:[Resp_Group]],Agronomist)+COUNTIFS(Tbl_Responses[5 - Type of test],Tbl_Q17_sampling[[#Headers],[Trace elements (EDTA) Cu, Zn, Mg, Fe]],Tbl_Responses[5 - How many cores per paddock],$DJ4,Tbl_Responses[[Resp_Group]:[Resp_Group]],Agronomist)+COUNTIFS(Tbl_Responses[6 - Type of test],Tbl_Q17_sampling[[#Headers],[Trace elements (EDTA) Cu, Zn, Mg, Fe]],Tbl_Responses[6 - How many cores per paddock],$DJ4,Tbl_Responses[[Resp_Group]:[Resp_Group]],Agronomist)+COUNTIFS(Tbl_Responses[7 - Type of test],Tbl_Q17_sampling[[#Headers],[Trace elements (EDTA) Cu, Zn, Mg, Fe]],Tbl_Responses[7 - How many cores per paddock],$DJ4,Tbl_Responses[[Resp_Group]:[Resp_Group]],Agronomist)+COUNTIFS(Tbl_Responses[8 - Type of test],Tbl_Q17_sampling[[#Headers],[Trace elements (EDTA) Cu, Zn, Mg, Fe]],Tbl_Responses[8 - How many cores per paddock],$DJ4,Tbl_Responses[[Resp_Group]:[Resp_Group]],Agronomist))/(COUNTIFS(Tbl_Responses[1 - Type of test],Tbl_Q17_sampling[[#Headers],[Trace elements (EDTA) Cu, Zn, Mg, Fe]],Tbl_Responses[1 - How many cores per paddock],"&gt;""",Tbl_Responses[[Resp_Group]:[Resp_Group]],Agronomist)+COUNTIFS(Tbl_Responses[2 - Type of test],Tbl_Q17_sampling[[#Headers],[Trace elements (EDTA) Cu, Zn, Mg, Fe]],Tbl_Responses[2 - How many cores per paddock],"&gt;""",Tbl_Responses[[Resp_Group]:[Resp_Group]],Agronomist)+COUNTIFS(Tbl_Responses[3 - Type of test],Tbl_Q17_sampling[[#Headers],[Trace elements (EDTA) Cu, Zn, Mg, Fe]],Tbl_Responses[3 - How many cores per paddock],"&gt;""",Tbl_Responses[[Resp_Group]:[Resp_Group]],Agronomist)+COUNTIFS(Tbl_Responses[4 - Type of test],Tbl_Q17_sampling[[#Headers],[Trace elements (EDTA) Cu, Zn, Mg, Fe]],Tbl_Responses[4 - How many cores per paddock],"&gt;""",Tbl_Responses[[Resp_Group]:[Resp_Group]],Agronomist)+COUNTIFS(Tbl_Responses[5 - Type of test],Tbl_Q17_sampling[[#Headers],[Trace elements (EDTA) Cu, Zn, Mg, Fe]],Tbl_Responses[5 - How many cores per paddock],"&gt;""",Tbl_Responses[[Resp_Group]:[Resp_Group]],Agronomist)+COUNTIFS(Tbl_Responses[6 - Type of test],Tbl_Q17_sampling[[#Headers],[Trace elements (EDTA) Cu, Zn, Mg, Fe]],Tbl_Responses[6 - How many cores per paddock],"&gt;""",Tbl_Responses[[Resp_Group]:[Resp_Group]],Agronomist)+COUNTIFS(Tbl_Responses[7 - Type of test],Tbl_Q17_sampling[[#Headers],[Trace elements (EDTA) Cu, Zn, Mg, Fe]],Tbl_Responses[7 - How many cores per paddock],"&gt;""",Tbl_Responses[[Resp_Group]:[Resp_Group]],Agronomist)+COUNTIFS(Tbl_Responses[8 - Type of test],Tbl_Q17_sampling[[#Headers],[Trace elements (EDTA) Cu, Zn, Mg, Fe]],Tbl_Responses[8 - How many cores per paddock],"&gt;""",Tbl_Responses[[Resp_Group]:[Resp_Group]],Agronomist))</f>
        <v>0.5714285714285714</v>
      </c>
      <c r="DN4" s="60">
        <f>(COUNTIFS(Tbl_Responses[1 - Type of test],Tbl_Q17_sampling[[#Headers],[Exchangable cations - Ca, Mg, Na, K]],Tbl_Responses[1 - How many cores per paddock],$DJ4,Tbl_Responses[[Resp_Group]:[Resp_Group]],Agronomist)+COUNTIFS(Tbl_Responses[2 - Type of test],Tbl_Q17_sampling[[#Headers],[Exchangable cations - Ca, Mg, Na, K]],Tbl_Responses[2 - How many cores per paddock],$DJ4,Tbl_Responses[[Resp_Group]:[Resp_Group]],Agronomist)+COUNTIFS(Tbl_Responses[3 - Type of test],Tbl_Q17_sampling[[#Headers],[Exchangable cations - Ca, Mg, Na, K]],Tbl_Responses[3 - How many cores per paddock],$DJ4,Tbl_Responses[[Resp_Group]:[Resp_Group]],Agronomist)+COUNTIFS(Tbl_Responses[4 - Type of test],Tbl_Q17_sampling[[#Headers],[Exchangable cations - Ca, Mg, Na, K]],Tbl_Responses[4 - How many cores per paddock],$DJ4,Tbl_Responses[[Resp_Group]:[Resp_Group]],Agronomist)+COUNTIFS(Tbl_Responses[5 - Type of test],Tbl_Q17_sampling[[#Headers],[Exchangable cations - Ca, Mg, Na, K]],Tbl_Responses[5 - How many cores per paddock],$DJ4,Tbl_Responses[[Resp_Group]:[Resp_Group]],Agronomist)+COUNTIFS(Tbl_Responses[6 - Type of test],Tbl_Q17_sampling[[#Headers],[Exchangable cations - Ca, Mg, Na, K]],Tbl_Responses[6 - How many cores per paddock],$DJ4,Tbl_Responses[[Resp_Group]:[Resp_Group]],Agronomist)+COUNTIFS(Tbl_Responses[7 - Type of test],Tbl_Q17_sampling[[#Headers],[Exchangable cations - Ca, Mg, Na, K]],Tbl_Responses[7 - How many cores per paddock],$DJ4,Tbl_Responses[[Resp_Group]:[Resp_Group]],Agronomist)+COUNTIFS(Tbl_Responses[8 - Type of test],Tbl_Q17_sampling[[#Headers],[Exchangable cations - Ca, Mg, Na, K]],Tbl_Responses[8 - How many cores per paddock],$DJ4,Tbl_Responses[[Resp_Group]:[Resp_Group]],Agronomist))/(COUNTIFS(Tbl_Responses[1 - Type of test],Tbl_Q17_sampling[[#Headers],[Exchangable cations - Ca, Mg, Na, K]],Tbl_Responses[1 - How many cores per paddock],"&gt;""",Tbl_Responses[[Resp_Group]:[Resp_Group]],Agronomist)+COUNTIFS(Tbl_Responses[2 - Type of test],Tbl_Q17_sampling[[#Headers],[Exchangable cations - Ca, Mg, Na, K]],Tbl_Responses[2 - How many cores per paddock],"&gt;""",Tbl_Responses[[Resp_Group]:[Resp_Group]],Agronomist)+COUNTIFS(Tbl_Responses[3 - Type of test],Tbl_Q17_sampling[[#Headers],[Exchangable cations - Ca, Mg, Na, K]],Tbl_Responses[3 - How many cores per paddock],"&gt;""",Tbl_Responses[[Resp_Group]:[Resp_Group]],Agronomist)+COUNTIFS(Tbl_Responses[4 - Type of test],Tbl_Q17_sampling[[#Headers],[Exchangable cations - Ca, Mg, Na, K]],Tbl_Responses[4 - How many cores per paddock],"&gt;""",Tbl_Responses[[Resp_Group]:[Resp_Group]],Agronomist)+COUNTIFS(Tbl_Responses[5 - Type of test],Tbl_Q17_sampling[[#Headers],[Exchangable cations - Ca, Mg, Na, K]],Tbl_Responses[5 - How many cores per paddock],"&gt;""",Tbl_Responses[[Resp_Group]:[Resp_Group]],Agronomist)+COUNTIFS(Tbl_Responses[6 - Type of test],Tbl_Q17_sampling[[#Headers],[Exchangable cations - Ca, Mg, Na, K]],Tbl_Responses[6 - How many cores per paddock],"&gt;""",Tbl_Responses[[Resp_Group]:[Resp_Group]],Agronomist)+COUNTIFS(Tbl_Responses[7 - Type of test],Tbl_Q17_sampling[[#Headers],[Exchangable cations - Ca, Mg, Na, K]],Tbl_Responses[7 - How many cores per paddock],"&gt;""",Tbl_Responses[[Resp_Group]:[Resp_Group]],Agronomist)+COUNTIFS(Tbl_Responses[8 - Type of test],Tbl_Q17_sampling[[#Headers],[Exchangable cations - Ca, Mg, Na, K]],Tbl_Responses[8 - How many cores per paddock],"&gt;""",Tbl_Responses[[Resp_Group]:[Resp_Group]],Agronomist))</f>
        <v>0.375</v>
      </c>
      <c r="DO4" s="60">
        <f>(COUNTIFS(Tbl_Responses[1 - Type of test],Tbl_Q17_sampling[[#Headers],[Texture]],Tbl_Responses[1 - How many cores per paddock],$DJ4,Tbl_Responses[[Resp_Group]:[Resp_Group]],Agronomist)+COUNTIFS(Tbl_Responses[2 - Type of test],Tbl_Q17_sampling[[#Headers],[Texture]],Tbl_Responses[2 - How many cores per paddock],$DJ4,Tbl_Responses[[Resp_Group]:[Resp_Group]],Agronomist)+COUNTIFS(Tbl_Responses[3 - Type of test],Tbl_Q17_sampling[[#Headers],[Texture]],Tbl_Responses[3 - How many cores per paddock],$DJ4,Tbl_Responses[[Resp_Group]:[Resp_Group]],Agronomist)+COUNTIFS(Tbl_Responses[4 - Type of test],Tbl_Q17_sampling[[#Headers],[Texture]],Tbl_Responses[4 - How many cores per paddock],$DJ4,Tbl_Responses[[Resp_Group]:[Resp_Group]],Agronomist)+COUNTIFS(Tbl_Responses[5 - Type of test],Tbl_Q17_sampling[[#Headers],[Texture]],Tbl_Responses[5 - How many cores per paddock],$DJ4,Tbl_Responses[[Resp_Group]:[Resp_Group]],Agronomist)+COUNTIFS(Tbl_Responses[6 - Type of test],Tbl_Q17_sampling[[#Headers],[Texture]],Tbl_Responses[6 - How many cores per paddock],$DJ4,Tbl_Responses[[Resp_Group]:[Resp_Group]],Agronomist)+COUNTIFS(Tbl_Responses[7 - Type of test],Tbl_Q17_sampling[[#Headers],[Texture]],Tbl_Responses[7 - How many cores per paddock],$DJ4,Tbl_Responses[[Resp_Group]:[Resp_Group]],Agronomist)+COUNTIFS(Tbl_Responses[8 - Type of test],Tbl_Q17_sampling[[#Headers],[Texture]],Tbl_Responses[8 - How many cores per paddock],$DJ4,Tbl_Responses[[Resp_Group]:[Resp_Group]],Agronomist))/(COUNTIFS(Tbl_Responses[1 - Type of test],Tbl_Q17_sampling[[#Headers],[Texture]],Tbl_Responses[1 - How many cores per paddock],"&gt;""",Tbl_Responses[[Resp_Group]:[Resp_Group]],Agronomist)+COUNTIFS(Tbl_Responses[2 - Type of test],Tbl_Q17_sampling[[#Headers],[Texture]],Tbl_Responses[2 - How many cores per paddock],"&gt;""",Tbl_Responses[[Resp_Group]:[Resp_Group]],Agronomist)+COUNTIFS(Tbl_Responses[3 - Type of test],Tbl_Q17_sampling[[#Headers],[Texture]],Tbl_Responses[3 - How many cores per paddock],"&gt;""",Tbl_Responses[[Resp_Group]:[Resp_Group]],Agronomist)+COUNTIFS(Tbl_Responses[4 - Type of test],Tbl_Q17_sampling[[#Headers],[Texture]],Tbl_Responses[4 - How many cores per paddock],"&gt;""",Tbl_Responses[[Resp_Group]:[Resp_Group]],Agronomist)+COUNTIFS(Tbl_Responses[5 - Type of test],Tbl_Q17_sampling[[#Headers],[Texture]],Tbl_Responses[5 - How many cores per paddock],"&gt;""",Tbl_Responses[[Resp_Group]:[Resp_Group]],Agronomist)+COUNTIFS(Tbl_Responses[6 - Type of test],Tbl_Q17_sampling[[#Headers],[Texture]],Tbl_Responses[6 - How many cores per paddock],"&gt;""",Tbl_Responses[[Resp_Group]:[Resp_Group]],Agronomist)+COUNTIFS(Tbl_Responses[7 - Type of test],Tbl_Q17_sampling[[#Headers],[Texture]],Tbl_Responses[7 - How many cores per paddock],"&gt;""",Tbl_Responses[[Resp_Group]:[Resp_Group]],Agronomist)+COUNTIFS(Tbl_Responses[8 - Type of test],Tbl_Q17_sampling[[#Headers],[Texture]],Tbl_Responses[8 - How many cores per paddock],"&gt;""",Tbl_Responses[[Resp_Group]:[Resp_Group]],Agronomist))</f>
        <v>0.43333333333333335</v>
      </c>
      <c r="DP4" s="60">
        <f>(COUNTIFS(Tbl_Responses[1 - Type of test],Tbl_Q17_sampling[[#Headers],[Aluminium (CaCl2)]],Tbl_Responses[1 - How many cores per paddock],$DJ4,Tbl_Responses[[Resp_Group]:[Resp_Group]],Agronomist)+COUNTIFS(Tbl_Responses[2 - Type of test],Tbl_Q17_sampling[[#Headers],[Aluminium (CaCl2)]],Tbl_Responses[2 - How many cores per paddock],$DJ4,Tbl_Responses[[Resp_Group]:[Resp_Group]],Agronomist)+COUNTIFS(Tbl_Responses[3 - Type of test],Tbl_Q17_sampling[[#Headers],[Aluminium (CaCl2)]],Tbl_Responses[3 - How many cores per paddock],$DJ4,Tbl_Responses[[Resp_Group]:[Resp_Group]],Agronomist)+COUNTIFS(Tbl_Responses[4 - Type of test],Tbl_Q17_sampling[[#Headers],[Aluminium (CaCl2)]],Tbl_Responses[4 - How many cores per paddock],$DJ4,Tbl_Responses[[Resp_Group]:[Resp_Group]],Agronomist)+COUNTIFS(Tbl_Responses[5 - Type of test],Tbl_Q17_sampling[[#Headers],[Aluminium (CaCl2)]],Tbl_Responses[5 - How many cores per paddock],$DJ4,Tbl_Responses[[Resp_Group]:[Resp_Group]],Agronomist)+COUNTIFS(Tbl_Responses[6 - Type of test],Tbl_Q17_sampling[[#Headers],[Aluminium (CaCl2)]],Tbl_Responses[6 - How many cores per paddock],$DJ4,Tbl_Responses[[Resp_Group]:[Resp_Group]],Agronomist)+COUNTIFS(Tbl_Responses[7 - Type of test],Tbl_Q17_sampling[[#Headers],[Aluminium (CaCl2)]],Tbl_Responses[7 - How many cores per paddock],$DJ4,Tbl_Responses[[Resp_Group]:[Resp_Group]],Agronomist)+COUNTIFS(Tbl_Responses[8 - Type of test],Tbl_Q17_sampling[[#Headers],[Aluminium (CaCl2)]],Tbl_Responses[8 - How many cores per paddock],$DJ4,Tbl_Responses[[Resp_Group]:[Resp_Group]],Agronomist))/(COUNTIFS(Tbl_Responses[1 - Type of test],Tbl_Q17_sampling[[#Headers],[Aluminium (CaCl2)]],Tbl_Responses[1 - How many cores per paddock],"&gt;""",Tbl_Responses[[Resp_Group]:[Resp_Group]],Agronomist)+COUNTIFS(Tbl_Responses[2 - Type of test],Tbl_Q17_sampling[[#Headers],[Aluminium (CaCl2)]],Tbl_Responses[2 - How many cores per paddock],"&gt;""",Tbl_Responses[[Resp_Group]:[Resp_Group]],Agronomist)+COUNTIFS(Tbl_Responses[3 - Type of test],Tbl_Q17_sampling[[#Headers],[Aluminium (CaCl2)]],Tbl_Responses[3 - How many cores per paddock],"&gt;""",Tbl_Responses[[Resp_Group]:[Resp_Group]],Agronomist)+COUNTIFS(Tbl_Responses[4 - Type of test],Tbl_Q17_sampling[[#Headers],[Aluminium (CaCl2)]],Tbl_Responses[4 - How many cores per paddock],"&gt;""",Tbl_Responses[[Resp_Group]:[Resp_Group]],Agronomist)+COUNTIFS(Tbl_Responses[5 - Type of test],Tbl_Q17_sampling[[#Headers],[Aluminium (CaCl2)]],Tbl_Responses[5 - How many cores per paddock],"&gt;""",Tbl_Responses[[Resp_Group]:[Resp_Group]],Agronomist)+COUNTIFS(Tbl_Responses[6 - Type of test],Tbl_Q17_sampling[[#Headers],[Aluminium (CaCl2)]],Tbl_Responses[6 - How many cores per paddock],"&gt;""",Tbl_Responses[[Resp_Group]:[Resp_Group]],Agronomist)+COUNTIFS(Tbl_Responses[7 - Type of test],Tbl_Q17_sampling[[#Headers],[Aluminium (CaCl2)]],Tbl_Responses[7 - How many cores per paddock],"&gt;""",Tbl_Responses[[Resp_Group]:[Resp_Group]],Agronomist)+COUNTIFS(Tbl_Responses[8 - Type of test],Tbl_Q17_sampling[[#Headers],[Aluminium (CaCl2)]],Tbl_Responses[8 - How many cores per paddock],"&gt;""",Tbl_Responses[[Resp_Group]:[Resp_Group]],Agronomist))</f>
        <v>0.38709677419354838</v>
      </c>
      <c r="DQ4" s="60">
        <f>(COUNTIFS(Tbl_Responses[1 - Type of test],Tbl_Q17_sampling[[#Headers],[Chloride]],Tbl_Responses[1 - How many cores per paddock],$DJ4,Tbl_Responses[[Resp_Group]:[Resp_Group]],Agronomist)+COUNTIFS(Tbl_Responses[2 - Type of test],Tbl_Q17_sampling[[#Headers],[Chloride]],Tbl_Responses[2 - How many cores per paddock],$DJ4,Tbl_Responses[[Resp_Group]:[Resp_Group]],Agronomist)+COUNTIFS(Tbl_Responses[3 - Type of test],Tbl_Q17_sampling[[#Headers],[Chloride]],Tbl_Responses[3 - How many cores per paddock],$DJ4,Tbl_Responses[[Resp_Group]:[Resp_Group]],Agronomist)+COUNTIFS(Tbl_Responses[4 - Type of test],Tbl_Q17_sampling[[#Headers],[Chloride]],Tbl_Responses[4 - How many cores per paddock],$DJ4,Tbl_Responses[[Resp_Group]:[Resp_Group]],Agronomist)+COUNTIFS(Tbl_Responses[5 - Type of test],Tbl_Q17_sampling[[#Headers],[Chloride]],Tbl_Responses[5 - How many cores per paddock],$DJ4,Tbl_Responses[[Resp_Group]:[Resp_Group]],Agronomist)+COUNTIFS(Tbl_Responses[6 - Type of test],Tbl_Q17_sampling[[#Headers],[Chloride]],Tbl_Responses[6 - How many cores per paddock],$DJ4,Tbl_Responses[[Resp_Group]:[Resp_Group]],Agronomist)+COUNTIFS(Tbl_Responses[7 - Type of test],Tbl_Q17_sampling[[#Headers],[Chloride]],Tbl_Responses[7 - How many cores per paddock],$DJ4,Tbl_Responses[[Resp_Group]:[Resp_Group]],Agronomist)+COUNTIFS(Tbl_Responses[8 - Type of test],Tbl_Q17_sampling[[#Headers],[Chloride]],Tbl_Responses[8 - How many cores per paddock],$DJ4,Tbl_Responses[[Resp_Group]:[Resp_Group]],Agronomist))/(COUNTIFS(Tbl_Responses[1 - Type of test],Tbl_Q17_sampling[[#Headers],[Chloride]],Tbl_Responses[1 - How many cores per paddock],"&gt;""",Tbl_Responses[[Resp_Group]:[Resp_Group]],Agronomist)+COUNTIFS(Tbl_Responses[2 - Type of test],Tbl_Q17_sampling[[#Headers],[Chloride]],Tbl_Responses[2 - How many cores per paddock],"&gt;""",Tbl_Responses[[Resp_Group]:[Resp_Group]],Agronomist)+COUNTIFS(Tbl_Responses[3 - Type of test],Tbl_Q17_sampling[[#Headers],[Chloride]],Tbl_Responses[3 - How many cores per paddock],"&gt;""",Tbl_Responses[[Resp_Group]:[Resp_Group]],Agronomist)+COUNTIFS(Tbl_Responses[4 - Type of test],Tbl_Q17_sampling[[#Headers],[Chloride]],Tbl_Responses[4 - How many cores per paddock],"&gt;""",Tbl_Responses[[Resp_Group]:[Resp_Group]],Agronomist)+COUNTIFS(Tbl_Responses[5 - Type of test],Tbl_Q17_sampling[[#Headers],[Chloride]],Tbl_Responses[5 - How many cores per paddock],"&gt;""",Tbl_Responses[[Resp_Group]:[Resp_Group]],Agronomist)+COUNTIFS(Tbl_Responses[6 - Type of test],Tbl_Q17_sampling[[#Headers],[Chloride]],Tbl_Responses[6 - How many cores per paddock],"&gt;""",Tbl_Responses[[Resp_Group]:[Resp_Group]],Agronomist)+COUNTIFS(Tbl_Responses[7 - Type of test],Tbl_Q17_sampling[[#Headers],[Chloride]],Tbl_Responses[7 - How many cores per paddock],"&gt;""",Tbl_Responses[[Resp_Group]:[Resp_Group]],Agronomist)+COUNTIFS(Tbl_Responses[8 - Type of test],Tbl_Q17_sampling[[#Headers],[Chloride]],Tbl_Responses[8 - How many cores per paddock],"&gt;""",Tbl_Responses[[Resp_Group]:[Resp_Group]],Agronomist))</f>
        <v>0.25</v>
      </c>
      <c r="DR4" s="60">
        <f>(COUNTIFS(Tbl_Responses[1 - Type of test],Tbl_Q17_sampling[[#Headers],[Boron]],Tbl_Responses[1 - How many cores per paddock],$DJ4,Tbl_Responses[[Resp_Group]:[Resp_Group]],Agronomist)+COUNTIFS(Tbl_Responses[2 - Type of test],Tbl_Q17_sampling[[#Headers],[Boron]],Tbl_Responses[2 - How many cores per paddock],$DJ4,Tbl_Responses[[Resp_Group]:[Resp_Group]],Agronomist)+COUNTIFS(Tbl_Responses[3 - Type of test],Tbl_Q17_sampling[[#Headers],[Boron]],Tbl_Responses[3 - How many cores per paddock],$DJ4,Tbl_Responses[[Resp_Group]:[Resp_Group]],Agronomist)+COUNTIFS(Tbl_Responses[4 - Type of test],Tbl_Q17_sampling[[#Headers],[Boron]],Tbl_Responses[4 - How many cores per paddock],$DJ4,Tbl_Responses[[Resp_Group]:[Resp_Group]],Agronomist)+COUNTIFS(Tbl_Responses[5 - Type of test],Tbl_Q17_sampling[[#Headers],[Boron]],Tbl_Responses[5 - How many cores per paddock],$DJ4,Tbl_Responses[[Resp_Group]:[Resp_Group]],Agronomist)+COUNTIFS(Tbl_Responses[6 - Type of test],Tbl_Q17_sampling[[#Headers],[Boron]],Tbl_Responses[6 - How many cores per paddock],$DJ4,Tbl_Responses[[Resp_Group]:[Resp_Group]],Agronomist)+COUNTIFS(Tbl_Responses[7 - Type of test],Tbl_Q17_sampling[[#Headers],[Boron]],Tbl_Responses[7 - How many cores per paddock],$DJ4,Tbl_Responses[[Resp_Group]:[Resp_Group]],Agronomist)+COUNTIFS(Tbl_Responses[8 - Type of test],Tbl_Q17_sampling[[#Headers],[Boron]],Tbl_Responses[8 - How many cores per paddock],$DJ4,Tbl_Responses[[Resp_Group]:[Resp_Group]],Agronomist))/(COUNTIFS(Tbl_Responses[1 - Type of test],Tbl_Q17_sampling[[#Headers],[Boron]],Tbl_Responses[1 - How many cores per paddock],"&gt;""",Tbl_Responses[[Resp_Group]:[Resp_Group]],Agronomist)+COUNTIFS(Tbl_Responses[2 - Type of test],Tbl_Q17_sampling[[#Headers],[Boron]],Tbl_Responses[2 - How many cores per paddock],"&gt;""",Tbl_Responses[[Resp_Group]:[Resp_Group]],Agronomist)+COUNTIFS(Tbl_Responses[3 - Type of test],Tbl_Q17_sampling[[#Headers],[Boron]],Tbl_Responses[3 - How many cores per paddock],"&gt;""",Tbl_Responses[[Resp_Group]:[Resp_Group]],Agronomist)+COUNTIFS(Tbl_Responses[4 - Type of test],Tbl_Q17_sampling[[#Headers],[Boron]],Tbl_Responses[4 - How many cores per paddock],"&gt;""",Tbl_Responses[[Resp_Group]:[Resp_Group]],Agronomist)+COUNTIFS(Tbl_Responses[5 - Type of test],Tbl_Q17_sampling[[#Headers],[Boron]],Tbl_Responses[5 - How many cores per paddock],"&gt;""",Tbl_Responses[[Resp_Group]:[Resp_Group]],Agronomist)+COUNTIFS(Tbl_Responses[6 - Type of test],Tbl_Q17_sampling[[#Headers],[Boron]],Tbl_Responses[6 - How many cores per paddock],"&gt;""",Tbl_Responses[[Resp_Group]:[Resp_Group]],Agronomist)+COUNTIFS(Tbl_Responses[7 - Type of test],Tbl_Q17_sampling[[#Headers],[Boron]],Tbl_Responses[7 - How many cores per paddock],"&gt;""",Tbl_Responses[[Resp_Group]:[Resp_Group]],Agronomist)+COUNTIFS(Tbl_Responses[8 - Type of test],Tbl_Q17_sampling[[#Headers],[Boron]],Tbl_Responses[8 - How many cores per paddock],"&gt;""",Tbl_Responses[[Resp_Group]:[Resp_Group]],Agronomist))</f>
        <v>0.38709677419354838</v>
      </c>
      <c r="DS4" s="60">
        <f>(COUNTIFS(Tbl_Responses[1 - Type of test],Tbl_Q17_sampling[[#Headers],[Sulfur (KCl40)]],Tbl_Responses[1 - How many cores per paddock],$DJ4,Tbl_Responses[[Resp_Group]:[Resp_Group]],Agronomist)+COUNTIFS(Tbl_Responses[2 - Type of test],Tbl_Q17_sampling[[#Headers],[Sulfur (KCl40)]],Tbl_Responses[2 - How many cores per paddock],$DJ4,Tbl_Responses[[Resp_Group]:[Resp_Group]],Agronomist)+COUNTIFS(Tbl_Responses[3 - Type of test],Tbl_Q17_sampling[[#Headers],[Sulfur (KCl40)]],Tbl_Responses[3 - How many cores per paddock],$DJ4,Tbl_Responses[[Resp_Group]:[Resp_Group]],Agronomist)+COUNTIFS(Tbl_Responses[4 - Type of test],Tbl_Q17_sampling[[#Headers],[Sulfur (KCl40)]],Tbl_Responses[4 - How many cores per paddock],$DJ4,Tbl_Responses[[Resp_Group]:[Resp_Group]],Agronomist)+COUNTIFS(Tbl_Responses[5 - Type of test],Tbl_Q17_sampling[[#Headers],[Sulfur (KCl40)]],Tbl_Responses[5 - How many cores per paddock],$DJ4,Tbl_Responses[[Resp_Group]:[Resp_Group]],Agronomist)+COUNTIFS(Tbl_Responses[6 - Type of test],Tbl_Q17_sampling[[#Headers],[Sulfur (KCl40)]],Tbl_Responses[6 - How many cores per paddock],$DJ4,Tbl_Responses[[Resp_Group]:[Resp_Group]],Agronomist)+COUNTIFS(Tbl_Responses[7 - Type of test],Tbl_Q17_sampling[[#Headers],[Sulfur (KCl40)]],Tbl_Responses[7 - How many cores per paddock],$DJ4,Tbl_Responses[[Resp_Group]:[Resp_Group]],Agronomist)+COUNTIFS(Tbl_Responses[8 - Type of test],Tbl_Q17_sampling[[#Headers],[Sulfur (KCl40)]],Tbl_Responses[8 - How many cores per paddock],$DJ4,Tbl_Responses[[Resp_Group]:[Resp_Group]],Agronomist))/(COUNTIFS(Tbl_Responses[1 - Type of test],Tbl_Q17_sampling[[#Headers],[Sulfur (KCl40)]],Tbl_Responses[1 - How many cores per paddock],"&gt;""",Tbl_Responses[[Resp_Group]:[Resp_Group]],Agronomist)+COUNTIFS(Tbl_Responses[2 - Type of test],Tbl_Q17_sampling[[#Headers],[Sulfur (KCl40)]],Tbl_Responses[2 - How many cores per paddock],"&gt;""",Tbl_Responses[[Resp_Group]:[Resp_Group]],Agronomist)+COUNTIFS(Tbl_Responses[3 - Type of test],Tbl_Q17_sampling[[#Headers],[Sulfur (KCl40)]],Tbl_Responses[3 - How many cores per paddock],"&gt;""",Tbl_Responses[[Resp_Group]:[Resp_Group]],Agronomist)+COUNTIFS(Tbl_Responses[4 - Type of test],Tbl_Q17_sampling[[#Headers],[Sulfur (KCl40)]],Tbl_Responses[4 - How many cores per paddock],"&gt;""",Tbl_Responses[[Resp_Group]:[Resp_Group]],Agronomist)+COUNTIFS(Tbl_Responses[5 - Type of test],Tbl_Q17_sampling[[#Headers],[Sulfur (KCl40)]],Tbl_Responses[5 - How many cores per paddock],"&gt;""",Tbl_Responses[[Resp_Group]:[Resp_Group]],Agronomist)+COUNTIFS(Tbl_Responses[6 - Type of test],Tbl_Q17_sampling[[#Headers],[Sulfur (KCl40)]],Tbl_Responses[6 - How many cores per paddock],"&gt;""",Tbl_Responses[[Resp_Group]:[Resp_Group]],Agronomist)+COUNTIFS(Tbl_Responses[7 - Type of test],Tbl_Q17_sampling[[#Headers],[Sulfur (KCl40)]],Tbl_Responses[7 - How many cores per paddock],"&gt;""",Tbl_Responses[[Resp_Group]:[Resp_Group]],Agronomist)+COUNTIFS(Tbl_Responses[8 - Type of test],Tbl_Q17_sampling[[#Headers],[Sulfur (KCl40)]],Tbl_Responses[8 - How many cores per paddock],"&gt;""",Tbl_Responses[[Resp_Group]:[Resp_Group]],Agronomist))</f>
        <v>0.40625</v>
      </c>
      <c r="DT4" s="60">
        <f>(COUNTIFS(Tbl_Responses[1 - Type of test],Tbl_Q17_sampling[[#Headers],[Calcium carbonate %]],Tbl_Responses[1 - How many cores per paddock],$DJ4,Tbl_Responses[[Resp_Group]:[Resp_Group]],Agronomist)+COUNTIFS(Tbl_Responses[2 - Type of test],Tbl_Q17_sampling[[#Headers],[Calcium carbonate %]],Tbl_Responses[2 - How many cores per paddock],$DJ4,Tbl_Responses[[Resp_Group]:[Resp_Group]],Agronomist)+COUNTIFS(Tbl_Responses[3 - Type of test],Tbl_Q17_sampling[[#Headers],[Calcium carbonate %]],Tbl_Responses[3 - How many cores per paddock],$DJ4,Tbl_Responses[[Resp_Group]:[Resp_Group]],Agronomist)+COUNTIFS(Tbl_Responses[4 - Type of test],Tbl_Q17_sampling[[#Headers],[Calcium carbonate %]],Tbl_Responses[4 - How many cores per paddock],$DJ4,Tbl_Responses[[Resp_Group]:[Resp_Group]],Agronomist)+COUNTIFS(Tbl_Responses[5 - Type of test],Tbl_Q17_sampling[[#Headers],[Calcium carbonate %]],Tbl_Responses[5 - How many cores per paddock],$DJ4,Tbl_Responses[[Resp_Group]:[Resp_Group]],Agronomist)+COUNTIFS(Tbl_Responses[6 - Type of test],Tbl_Q17_sampling[[#Headers],[Calcium carbonate %]],Tbl_Responses[6 - How many cores per paddock],$DJ4,Tbl_Responses[[Resp_Group]:[Resp_Group]],Agronomist)+COUNTIFS(Tbl_Responses[7 - Type of test],Tbl_Q17_sampling[[#Headers],[Calcium carbonate %]],Tbl_Responses[7 - How many cores per paddock],$DJ4,Tbl_Responses[[Resp_Group]:[Resp_Group]],Agronomist)+COUNTIFS(Tbl_Responses[8 - Type of test],Tbl_Q17_sampling[[#Headers],[Calcium carbonate %]],Tbl_Responses[8 - How many cores per paddock],$DJ4,Tbl_Responses[[Resp_Group]:[Resp_Group]],Agronomist))/(COUNTIFS(Tbl_Responses[1 - Type of test],Tbl_Q17_sampling[[#Headers],[Calcium carbonate %]],Tbl_Responses[1 - How many cores per paddock],"&gt;""",Tbl_Responses[[Resp_Group]:[Resp_Group]],Agronomist)+COUNTIFS(Tbl_Responses[2 - Type of test],Tbl_Q17_sampling[[#Headers],[Calcium carbonate %]],Tbl_Responses[2 - How many cores per paddock],"&gt;""",Tbl_Responses[[Resp_Group]:[Resp_Group]],Agronomist)+COUNTIFS(Tbl_Responses[3 - Type of test],Tbl_Q17_sampling[[#Headers],[Calcium carbonate %]],Tbl_Responses[3 - How many cores per paddock],"&gt;""",Tbl_Responses[[Resp_Group]:[Resp_Group]],Agronomist)+COUNTIFS(Tbl_Responses[4 - Type of test],Tbl_Q17_sampling[[#Headers],[Calcium carbonate %]],Tbl_Responses[4 - How many cores per paddock],"&gt;""",Tbl_Responses[[Resp_Group]:[Resp_Group]],Agronomist)+COUNTIFS(Tbl_Responses[5 - Type of test],Tbl_Q17_sampling[[#Headers],[Calcium carbonate %]],Tbl_Responses[5 - How many cores per paddock],"&gt;""",Tbl_Responses[[Resp_Group]:[Resp_Group]],Agronomist)+COUNTIFS(Tbl_Responses[6 - Type of test],Tbl_Q17_sampling[[#Headers],[Calcium carbonate %]],Tbl_Responses[6 - How many cores per paddock],"&gt;""",Tbl_Responses[[Resp_Group]:[Resp_Group]],Agronomist)+COUNTIFS(Tbl_Responses[7 - Type of test],Tbl_Q17_sampling[[#Headers],[Calcium carbonate %]],Tbl_Responses[7 - How many cores per paddock],"&gt;""",Tbl_Responses[[Resp_Group]:[Resp_Group]],Agronomist)+COUNTIFS(Tbl_Responses[8 - Type of test],Tbl_Q17_sampling[[#Headers],[Calcium carbonate %]],Tbl_Responses[8 - How many cores per paddock],"&gt;""",Tbl_Responses[[Resp_Group]:[Resp_Group]],Agronomist))</f>
        <v>0.38095238095238093</v>
      </c>
      <c r="DU4" s="60">
        <f>(COUNTIFS(Tbl_Responses[1 - Type of test],Tbl_Q17_sampling[[#Headers],[Sulfur (MCP)]],Tbl_Responses[1 - How many cores per paddock],$DJ4,Tbl_Responses[[Resp_Group]:[Resp_Group]],Agronomist)+COUNTIFS(Tbl_Responses[2 - Type of test],Tbl_Q17_sampling[[#Headers],[Sulfur (MCP)]],Tbl_Responses[2 - How many cores per paddock],$DJ4,Tbl_Responses[[Resp_Group]:[Resp_Group]],Agronomist)+COUNTIFS(Tbl_Responses[3 - Type of test],Tbl_Q17_sampling[[#Headers],[Sulfur (MCP)]],Tbl_Responses[3 - How many cores per paddock],$DJ4,Tbl_Responses[[Resp_Group]:[Resp_Group]],Agronomist)+COUNTIFS(Tbl_Responses[4 - Type of test],Tbl_Q17_sampling[[#Headers],[Sulfur (MCP)]],Tbl_Responses[4 - How many cores per paddock],$DJ4,Tbl_Responses[[Resp_Group]:[Resp_Group]],Agronomist)+COUNTIFS(Tbl_Responses[5 - Type of test],Tbl_Q17_sampling[[#Headers],[Sulfur (MCP)]],Tbl_Responses[5 - How many cores per paddock],$DJ4,Tbl_Responses[[Resp_Group]:[Resp_Group]],Agronomist)+COUNTIFS(Tbl_Responses[6 - Type of test],Tbl_Q17_sampling[[#Headers],[Sulfur (MCP)]],Tbl_Responses[6 - How many cores per paddock],$DJ4,Tbl_Responses[[Resp_Group]:[Resp_Group]],Agronomist)+COUNTIFS(Tbl_Responses[7 - Type of test],Tbl_Q17_sampling[[#Headers],[Sulfur (MCP)]],Tbl_Responses[7 - How many cores per paddock],$DJ4,Tbl_Responses[[Resp_Group]:[Resp_Group]],Agronomist)+COUNTIFS(Tbl_Responses[8 - Type of test],Tbl_Q17_sampling[[#Headers],[Sulfur (MCP)]],Tbl_Responses[8 - How many cores per paddock],$DJ4,Tbl_Responses[[Resp_Group]:[Resp_Group]],Agronomist))/(COUNTIFS(Tbl_Responses[1 - Type of test],Tbl_Q17_sampling[[#Headers],[Sulfur (MCP)]],Tbl_Responses[1 - How many cores per paddock],"&gt;""",Tbl_Responses[[Resp_Group]:[Resp_Group]],Agronomist)+COUNTIFS(Tbl_Responses[2 - Type of test],Tbl_Q17_sampling[[#Headers],[Sulfur (MCP)]],Tbl_Responses[2 - How many cores per paddock],"&gt;""",Tbl_Responses[[Resp_Group]:[Resp_Group]],Agronomist)+COUNTIFS(Tbl_Responses[3 - Type of test],Tbl_Q17_sampling[[#Headers],[Sulfur (MCP)]],Tbl_Responses[3 - How many cores per paddock],"&gt;""",Tbl_Responses[[Resp_Group]:[Resp_Group]],Agronomist)+COUNTIFS(Tbl_Responses[4 - Type of test],Tbl_Q17_sampling[[#Headers],[Sulfur (MCP)]],Tbl_Responses[4 - How many cores per paddock],"&gt;""",Tbl_Responses[[Resp_Group]:[Resp_Group]],Agronomist)+COUNTIFS(Tbl_Responses[5 - Type of test],Tbl_Q17_sampling[[#Headers],[Sulfur (MCP)]],Tbl_Responses[5 - How many cores per paddock],"&gt;""",Tbl_Responses[[Resp_Group]:[Resp_Group]],Agronomist)+COUNTIFS(Tbl_Responses[6 - Type of test],Tbl_Q17_sampling[[#Headers],[Sulfur (MCP)]],Tbl_Responses[6 - How many cores per paddock],"&gt;""",Tbl_Responses[[Resp_Group]:[Resp_Group]],Agronomist)+COUNTIFS(Tbl_Responses[7 - Type of test],Tbl_Q17_sampling[[#Headers],[Sulfur (MCP)]],Tbl_Responses[7 - How many cores per paddock],"&gt;""",Tbl_Responses[[Resp_Group]:[Resp_Group]],Agronomist)+COUNTIFS(Tbl_Responses[8 - Type of test],Tbl_Q17_sampling[[#Headers],[Sulfur (MCP)]],Tbl_Responses[8 - How many cores per paddock],"&gt;""",Tbl_Responses[[Resp_Group]:[Resp_Group]],Agronomist))</f>
        <v>0.33333333333333331</v>
      </c>
      <c r="DV4" s="82">
        <f>(COUNTIFS(Tbl_Responses[1 - How many cores per paddock],$DJ4,Tbl_Responses[[Resp_Group]:[Resp_Group]],Agronomist)+COUNTIFS(Tbl_Responses[2 - How many cores per paddock],$DJ4,Tbl_Responses[[Resp_Group]:[Resp_Group]],Agronomist)+COUNTIFS(Tbl_Responses[3 - How many cores per paddock],$DJ4,Tbl_Responses[[Resp_Group]:[Resp_Group]],Agronomist)+COUNTIFS(Tbl_Responses[4 - How many cores per paddock],$DJ4,Tbl_Responses[[Resp_Group]:[Resp_Group]],Agronomist)+COUNTIFS(Tbl_Responses[5 - How many cores per paddock],$DJ4,Tbl_Responses[[Resp_Group]:[Resp_Group]],Agronomist)+COUNTIFS(Tbl_Responses[6 - How many cores per paddock],$DJ4,Tbl_Responses[[Resp_Group]:[Resp_Group]],Agronomist)+COUNTIFS(Tbl_Responses[7 - How many cores per paddock],$DJ4,Tbl_Responses[[Resp_Group]:[Resp_Group]],Agronomist))/(COUNTIFS(Tbl_Responses[1 - How many cores per paddock],"&gt;""",Tbl_Responses[[Resp_Group]:[Resp_Group]],Agronomist)+COUNTIFS(Tbl_Responses[2 - How many cores per paddock],"&gt;""",Tbl_Responses[[Resp_Group]:[Resp_Group]],Agronomist)+COUNTIFS(Tbl_Responses[3 - How many cores per paddock],"&gt;""",Tbl_Responses[[Resp_Group]:[Resp_Group]],Agronomist)+COUNTIFS(Tbl_Responses[4 - How many cores per paddock],"&gt;""",Tbl_Responses[[Resp_Group]:[Resp_Group]],Agronomist)+COUNTIFS(Tbl_Responses[5 - How many cores per paddock],"&gt;""",Tbl_Responses[[Resp_Group]:[Resp_Group]],Agronomist)+COUNTIFS(Tbl_Responses[6 - How many cores per paddock],"&gt;""",Tbl_Responses[[Resp_Group]:[Resp_Group]],Agronomist)+COUNTIFS(Tbl_Responses[7 - How many cores per paddock],"&gt;""",Tbl_Responses[[Resp_Group]:[Resp_Group]],Agronomist))</f>
        <v>0.40784313725490196</v>
      </c>
      <c r="EC4" t="s">
        <v>110</v>
      </c>
      <c r="ED4" s="3">
        <f>COUNTIFS(Tbl_Responses[The cost of soil sampling],$EC4,Tbl_Responses[[Resp_Group]:[Resp_Group]],Agronomist)</f>
        <v>26</v>
      </c>
      <c r="EE4" s="4">
        <f>Tbl_19[[#This Row],[No. Responses]]/SUM(Tbl_19[No. Responses])</f>
        <v>0.27659574468085107</v>
      </c>
      <c r="EH4" t="s">
        <v>110</v>
      </c>
      <c r="EI4" s="3">
        <f>COUNTIFS(Tbl_Responses[The cost of soil samplingP],$EC4,Tbl_Responses[[Resp_Group]:[Resp_Group]],Agronomist)</f>
        <v>27</v>
      </c>
      <c r="EJ4" s="4">
        <f>Tbl_Q20[[#This Row],[No. Responses]]/SUM(Tbl_Q20[No. Responses])</f>
        <v>0.29347826086956524</v>
      </c>
      <c r="EM4" t="s">
        <v>118</v>
      </c>
      <c r="EN4" s="3">
        <f>COUNTIFS(Tbl_Responses[[My clients businesses would be more profitable if they did more soil testing than they do now]:[My clients businesses would be more profitable if they did more soil testing than they do now]],Tbl_Q21[[#Headers],[Disagree]],Tbl_Responses[[Resp_Group]:[Resp_Group]],Agronomist)</f>
        <v>6</v>
      </c>
      <c r="EO4" s="3">
        <f>COUNTIFS(Tbl_Responses[[My clients businesses would be more profitable if they did more soil testing than they do now]:[My clients businesses would be more profitable if they did more soil testing than they do now]],Tbl_Q21[[#Headers],[Neutral]],Tbl_Responses[[Resp_Group]:[Resp_Group]],Agronomist)</f>
        <v>15</v>
      </c>
      <c r="EP4" s="3">
        <f>COUNTIFS(Tbl_Responses[[My clients businesses would be more profitable if they did more soil testing than they do now]:[My clients businesses would be more profitable if they did more soil testing than they do now]],Tbl_Q21[[#Headers],[Agree]],Tbl_Responses[[Resp_Group]:[Resp_Group]],Agronomist)</f>
        <v>36</v>
      </c>
      <c r="EQ4" s="3">
        <f>COUNTIFS(Tbl_Responses[[My clients businesses would be more profitable if they did more soil testing than they do now]:[My clients businesses would be more profitable if they did more soil testing than they do now]],Tbl_Q21[[#Headers],[Strongly Agree]],Tbl_Responses[[Resp_Group]:[Resp_Group]],Agronomist)</f>
        <v>6</v>
      </c>
      <c r="ET4" s="31">
        <v>0</v>
      </c>
      <c r="EU4" s="3">
        <f>COUNTIFS(Tbl_Responses[Soil testing annual spend],$ET4,Tbl_Responses[[Resp_Group]:[Resp_Group]],Agronomist)</f>
        <v>0</v>
      </c>
      <c r="EV4" s="4">
        <f>Tbl_Q22[[#This Row],[No. Respondants]]/SUM(Tbl_Q22[No. Respondants])</f>
        <v>0</v>
      </c>
      <c r="EY4" t="s">
        <v>254</v>
      </c>
      <c r="EZ4" s="3">
        <f>COUNTIFS(Tbl_Responses[5 year change in testing],$EY4,Tbl_Responses[[Resp_Group]:[Resp_Group]],Agronomist)</f>
        <v>4</v>
      </c>
      <c r="FA4" s="4">
        <f>Tbl_Q23[[#This Row],[No. Respondants]]/SUM(Tbl_Q23[No. Respondants])</f>
        <v>6.5573770491803282E-2</v>
      </c>
      <c r="FD4" t="s">
        <v>1042</v>
      </c>
      <c r="FE4" s="3">
        <f>COUNTIFS(Tbl_Responses[5 year future testing plan],$FD4,Tbl_Responses[[Resp_Group]:[Resp_Group]],Agronomist)</f>
        <v>1</v>
      </c>
      <c r="FF4" s="4">
        <f>Tbl_Q24[[#This Row],[No. Respondants]]/SUM(Tbl_Q24[No. Respondants])</f>
        <v>1.6129032258064516E-2</v>
      </c>
      <c r="FN4" s="87" t="s">
        <v>122</v>
      </c>
      <c r="FO4" s="3">
        <f>COUNTIFS(Tbl_Responses[The cost of sampling_Plant],$FN4,Tbl_Responses[[Resp_Group]:[Resp_Group]],Agronomist)</f>
        <v>20</v>
      </c>
      <c r="FP4" s="4">
        <f>Tbl_Q26[[#This Row],[No. Respondants]]/SUM(Tbl_Q26[No. Respondants])</f>
        <v>0.24390243902439024</v>
      </c>
      <c r="FS4" s="87" t="s">
        <v>128</v>
      </c>
      <c r="FT4" s="88">
        <f>COUNTIFS(Tbl_Responses[[My clients businesses would be more profitable if they did more plant testing than they do now]:[My clients businesses would be more profitable if they did more plant testing than they do now]],Tbl_Q27[[#Headers],[Disagree]],Tbl_Responses[[Resp_Group]:[Resp_Group]],Agronomist)</f>
        <v>6</v>
      </c>
      <c r="FU4" s="88">
        <f>COUNTIFS(Tbl_Responses[[My clients businesses would be more profitable if they did more plant testing than they do now]:[My clients businesses would be more profitable if they did more plant testing than they do now]],Tbl_Q27[[#Headers],[Neutral]],Tbl_Responses[[Resp_Group]:[Resp_Group]],Agronomist)</f>
        <v>27</v>
      </c>
      <c r="FV4" s="88">
        <f>COUNTIFS(Tbl_Responses[[My clients businesses would be more profitable if they did more plant testing than they do now]:[My clients businesses would be more profitable if they did more plant testing than they do now]],Tbl_Q27[[#Headers],[Agree]],Tbl_Responses[[Resp_Group]:[Resp_Group]],Agronomist)</f>
        <v>20</v>
      </c>
      <c r="FW4" s="88">
        <f>COUNTIFS(Tbl_Responses[[My clients businesses would be more profitable if they did more plant testing than they do now]:[My clients businesses would be more profitable if they did more plant testing than they do now]],Tbl_Q27[[#Headers],[Strongly Agree]],Tbl_Responses[[Resp_Group]:[Resp_Group]],Agronomist)</f>
        <v>1</v>
      </c>
      <c r="FZ4" s="31">
        <v>0</v>
      </c>
      <c r="GA4" s="3">
        <f>COUNTIFS(Tbl_Responses[Average annual spend - Plant testing],$FZ4,Tbl_Responses[[Resp_Group]:[Resp_Group]],Agronomist)</f>
        <v>3</v>
      </c>
      <c r="GB4" s="4">
        <f>Tbl_Q28[[#This Row],[No. Respondants]]/SUM(Tbl_Q28[No. Respondants])</f>
        <v>5.5555555555555552E-2</v>
      </c>
      <c r="GE4" t="s">
        <v>254</v>
      </c>
      <c r="GF4" s="3">
        <f>COUNTIFS(Tbl_Responses[5 years ago_Plant],$GE4,Tbl_Responses[[Resp_Group]:[Resp_Group]],Agronomist)</f>
        <v>2</v>
      </c>
      <c r="GG4" s="4">
        <f>Tbl_Q2361[[#This Row],[No. Respondants]]/SUM(Tbl_Q2361[No. Respondants])</f>
        <v>3.7735849056603772E-2</v>
      </c>
      <c r="GJ4" t="s">
        <v>1042</v>
      </c>
      <c r="GK4" s="3">
        <f>COUNTIFS(Tbl_Responses[5 years'' time_Plant],$GJ4,Tbl_Responses[[Resp_Group]:[Resp_Group]],Agronomist)</f>
        <v>0</v>
      </c>
      <c r="GL4" s="4">
        <f>Tbl_Q2462[[#This Row],[No. Respondants]]/SUM(Tbl_Q2462[No. Respondants])</f>
        <v>0</v>
      </c>
      <c r="GO4" t="s">
        <v>110</v>
      </c>
      <c r="GP4" s="3">
        <f>COUNTIFS(Tbl_Responses[The cost of soil sampling_PL],$GO4,Tbl_Responses[[Resp_Group]:[Resp_Group]],Agronomist)</f>
        <v>0</v>
      </c>
      <c r="GQ4" s="4" t="e">
        <f>Tbl_1965[[#This Row],[No. Responses]]/SUM(Tbl_1965[No. Responses])</f>
        <v>#DIV/0!</v>
      </c>
      <c r="GT4" t="s">
        <v>110</v>
      </c>
      <c r="GU4" s="3">
        <f>COUNTIFS(Tbl_Responses[The cost of soil sampling_PLP],$GT4,Tbl_Responses[[Resp_Group]:[Resp_Group]],Agronomist)</f>
        <v>0</v>
      </c>
      <c r="GV4" s="4" t="e">
        <f>Tbl_196566[[#This Row],[No. Responses]]/SUM(Tbl_196566[No. Responses])</f>
        <v>#DIV/0!</v>
      </c>
      <c r="HA4" s="87" t="s">
        <v>150</v>
      </c>
      <c r="HB4" s="3">
        <f>COUNTIFS(Tbl_Responses[Rural newspapers],$HA4,Tbl_Responses[[Resp_Group]:[Resp_Group]],Agronomist)</f>
        <v>8</v>
      </c>
      <c r="HC4" s="4">
        <f>Tbl_infoSources[[#This Row],[No. Responses]]/SUM(Tbl_infoSources[No. Responses])</f>
        <v>3.2000000000000001E-2</v>
      </c>
    </row>
    <row r="5" spans="1:266" x14ac:dyDescent="0.25">
      <c r="A5" t="s">
        <v>366</v>
      </c>
      <c r="B5" s="3">
        <f>COUNTIFS(Tbl_Responses[Q1: region],Results!$A5,Tbl_Responses[Resp_Group],Agronomist)</f>
        <v>5</v>
      </c>
      <c r="C5" s="4">
        <f>B5/SUM(Tbl_Q1[Respondants])</f>
        <v>7.0422535211267609E-2</v>
      </c>
      <c r="D5" s="7">
        <f>AVERAGEIFS(Tbl_Responses[Q2: Cropped Area],Tbl_Responses[Q1: region],Tbl_Q1[[#This Row],[Region]],Tbl_Responses[[Resp_Group]:[Resp_Group]],Agronomist)</f>
        <v>38000.199999999997</v>
      </c>
      <c r="F5">
        <v>1001</v>
      </c>
      <c r="G5">
        <v>5000</v>
      </c>
      <c r="H5" t="str">
        <f t="shared" ref="H5:H11" si="0">F5&amp;"-"&amp;G5</f>
        <v>1001-5000</v>
      </c>
      <c r="I5" s="3">
        <f>COUNTIFS(Tbl_Responses[Q2: Cropped Area],"&gt;"&amp;F5,Tbl_Responses[Q2: Cropped Area],"&lt;="&amp;G5,Tbl_Responses[Resp_Group],Agronomist)</f>
        <v>25</v>
      </c>
      <c r="J5" s="4">
        <f>I5/SUM(Tbl_Q2[Number])</f>
        <v>0.37313432835820898</v>
      </c>
      <c r="M5" t="s">
        <v>36</v>
      </c>
      <c r="N5" s="4">
        <f>AVERAGEIF(Tbl_Responses[Resp_Group],Agronomist,Tbl_Responses[Canola])/100</f>
        <v>0.12633802816901407</v>
      </c>
      <c r="O5" s="6">
        <f>SUMPRODUCT(--(Group="Agronomist"),Tbl_Responses[Q2: Cropped Area],Tbl_Responses[Canola])/100</f>
        <v>174558.5</v>
      </c>
      <c r="P5" s="4">
        <f t="shared" ref="P5:P9" si="1">O5/SUM($O$4:$O$9)</f>
        <v>0.1502804007052633</v>
      </c>
      <c r="S5" t="s">
        <v>291</v>
      </c>
      <c r="T5" s="4">
        <f>COUNTIFS(Tbl_Responses[[Variable Costs]:[Variable Costs]],T$3,Tbl_Responses[[Q1: region]:[Q1: region]],$S5,Tbl_Responses[[Resp_Group]:[Resp_Group]],Agronomist)/COUNTIFS(Tbl_Responses[[Q1: region]:[Q1: region]],$S5,Tbl_Responses[[Resp_Group]:[Resp_Group]],Agronomist)</f>
        <v>0</v>
      </c>
      <c r="U5" s="4">
        <f>COUNTIFS(Tbl_Responses[[Variable Costs]:[Variable Costs]],U$3,Tbl_Responses[[Q1: region]:[Q1: region]],$S5,Tbl_Responses[[Resp_Group]:[Resp_Group]],Agronomist)/COUNTIFS(Tbl_Responses[[Q1: region]:[Q1: region]],$S5,Tbl_Responses[[Resp_Group]:[Resp_Group]],Agronomist)</f>
        <v>0</v>
      </c>
      <c r="V5" s="4">
        <f>COUNTIFS(Tbl_Responses[[Variable Costs]:[Variable Costs]],V$3,Tbl_Responses[[Q1: region]:[Q1: region]],$S5,Tbl_Responses[[Resp_Group]:[Resp_Group]],Agronomist)/COUNTIFS(Tbl_Responses[[Q1: region]:[Q1: region]],$S5,Tbl_Responses[[Resp_Group]:[Resp_Group]],Agronomist)</f>
        <v>0</v>
      </c>
      <c r="W5" s="4">
        <f>COUNTIFS(Tbl_Responses[[Variable Costs]:[Variable Costs]],W$3,Tbl_Responses[[Q1: region]:[Q1: region]],$S5,Tbl_Responses[[Resp_Group]:[Resp_Group]],Agronomist)/COUNTIFS(Tbl_Responses[[Q1: region]:[Q1: region]],$S5,Tbl_Responses[[Resp_Group]:[Resp_Group]],Agronomist)</f>
        <v>0.25</v>
      </c>
      <c r="X5" s="4">
        <f>COUNTIFS(Tbl_Responses[[Variable Costs]:[Variable Costs]],X$3,Tbl_Responses[[Q1: region]:[Q1: region]],$S5,Tbl_Responses[[Resp_Group]:[Resp_Group]],Agronomist)/COUNTIFS(Tbl_Responses[[Q1: region]:[Q1: region]],$S5,Tbl_Responses[[Resp_Group]:[Resp_Group]],Agronomist)</f>
        <v>0.25</v>
      </c>
      <c r="Y5" s="4">
        <f>COUNTIFS(Tbl_Responses[[Variable Costs]:[Variable Costs]],Y$3,Tbl_Responses[[Q1: region]:[Q1: region]],$S5,Tbl_Responses[[Resp_Group]:[Resp_Group]],Agronomist)/COUNTIFS(Tbl_Responses[[Q1: region]:[Q1: region]],$S5,Tbl_Responses[[Resp_Group]:[Resp_Group]],Agronomist)</f>
        <v>0</v>
      </c>
      <c r="Z5" s="4">
        <f>COUNTIFS(Tbl_Responses[[Variable Costs]:[Variable Costs]],Z$3,Tbl_Responses[[Q1: region]:[Q1: region]],$S5,Tbl_Responses[[Resp_Group]:[Resp_Group]],Agronomist)/COUNTIFS(Tbl_Responses[[Q1: region]:[Q1: region]],$S5,Tbl_Responses[[Resp_Group]:[Resp_Group]],Agronomist)</f>
        <v>0.5</v>
      </c>
      <c r="AA5" s="4">
        <f>COUNTIFS(Tbl_Responses[[Variable Costs]:[Variable Costs]],AA$3,Tbl_Responses[[Q1: region]:[Q1: region]],$S5,Tbl_Responses[[Resp_Group]:[Resp_Group]],Agronomist)/COUNTIFS(Tbl_Responses[[Q1: region]:[Q1: region]],$S5,Tbl_Responses[[Resp_Group]:[Resp_Group]],Agronomist)</f>
        <v>0</v>
      </c>
      <c r="AB5" s="4">
        <f>COUNTIFS(Tbl_Responses[[Variable Costs]:[Variable Costs]],AB$3,Tbl_Responses[[Q1: region]:[Q1: region]],$S5,Tbl_Responses[[Resp_Group]:[Resp_Group]],Agronomist)/COUNTIFS(Tbl_Responses[[Q1: region]:[Q1: region]],$S5,Tbl_Responses[[Resp_Group]:[Resp_Group]],Agronomist)</f>
        <v>0</v>
      </c>
      <c r="AG5" t="s">
        <v>291</v>
      </c>
      <c r="AH5" s="4">
        <f>COUNTIFS(Tbl_Responses[[Def_Nutrient_ID]:[Def_Nutrient_ID]],"*N*",Tbl_Responses[[Q1: region]:[Q1: region]],$AG5,Tbl_Responses[[Resp_Group]:[Resp_Group]],Agronomist)/COUNTIFS(Tbl_Responses[[Def_Nutrient_ID]:[Def_Nutrient_ID]],"&lt;&gt;"&amp;"",Tbl_Responses[[Q1: region]:[Q1: region]],$AG5,Tbl_Responses[[Resp_Group]:[Resp_Group]],Agronomist)</f>
        <v>1</v>
      </c>
      <c r="AI5" s="4">
        <f>COUNTIFS(Tbl_Responses[[Def_Nutrient_ID]:[Def_Nutrient_ID]],"*P*",Tbl_Responses[[Q1: region]:[Q1: region]],$AG5,Tbl_Responses[[Resp_Group]:[Resp_Group]],Agronomist)/COUNTIFS(Tbl_Responses[[Def_Nutrient_ID]:[Def_Nutrient_ID]],"&lt;&gt;"&amp;"",Tbl_Responses[[Q1: region]:[Q1: region]],$AG5,Tbl_Responses[[Resp_Group]:[Resp_Group]],Agronomist)</f>
        <v>0.75</v>
      </c>
      <c r="AJ5" s="4">
        <f>COUNTIFS(Tbl_Responses[[Def_Nutrient_ID]:[Def_Nutrient_ID]],"*K*",Tbl_Responses[[Q1: region]:[Q1: region]],$AG5,Tbl_Responses[[Resp_Group]:[Resp_Group]],Agronomist)/COUNTIFS(Tbl_Responses[[Def_Nutrient_ID]:[Def_Nutrient_ID]],"&lt;&gt;"&amp;"",Tbl_Responses[[Q1: region]:[Q1: region]],$AG5,Tbl_Responses[[Resp_Group]:[Resp_Group]],Agronomist)</f>
        <v>0</v>
      </c>
      <c r="AK5" s="4">
        <f>COUNTIFS(Tbl_Responses[[Def_Nutrient_ID]:[Def_Nutrient_ID]],"*S*",Tbl_Responses[[Q1: region]:[Q1: region]],$AG5,Tbl_Responses[[Resp_Group]:[Resp_Group]],Agronomist)/COUNTIFS(Tbl_Responses[[Def_Nutrient_ID]:[Def_Nutrient_ID]],"&lt;&gt;"&amp;"",Tbl_Responses[[Q1: region]:[Q1: region]],$AG5,Tbl_Responses[[Resp_Group]:[Resp_Group]],Agronomist)</f>
        <v>0.5</v>
      </c>
      <c r="AL5" s="4">
        <f>COUNTIFS(Tbl_Responses[[Def_Nutrient_ID]:[Def_Nutrient_ID]],"*Zn*",Tbl_Responses[[Q1: region]:[Q1: region]],$AG5,Tbl_Responses[[Resp_Group]:[Resp_Group]],Agronomist)/COUNTIFS(Tbl_Responses[[Def_Nutrient_ID]:[Def_Nutrient_ID]],"&lt;&gt;"&amp;"",Tbl_Responses[[Q1: region]:[Q1: region]],$AG5,Tbl_Responses[[Resp_Group]:[Resp_Group]],Agronomist)</f>
        <v>0.25</v>
      </c>
      <c r="AM5" s="4">
        <f>COUNTIFS(Tbl_Responses[[Def_Nutrient_ID]:[Def_Nutrient_ID]],"*Mn*",Tbl_Responses[[Q1: region]:[Q1: region]],$AG5,Tbl_Responses[[Resp_Group]:[Resp_Group]],Agronomist)/COUNTIFS(Tbl_Responses[[Def_Nutrient_ID]:[Def_Nutrient_ID]],"&lt;&gt;"&amp;"",Tbl_Responses[[Q1: region]:[Q1: region]],$AG5,Tbl_Responses[[Resp_Group]:[Resp_Group]],Agronomist)</f>
        <v>0.5</v>
      </c>
      <c r="AN5" s="4">
        <f>COUNTIFS(Tbl_Responses[[Def_Nutrient_ID]:[Def_Nutrient_ID]],"*Mg*",Tbl_Responses[[Q1: region]:[Q1: region]],$AG5,Tbl_Responses[[Resp_Group]:[Resp_Group]],Agronomist)/COUNTIFS(Tbl_Responses[[Def_Nutrient_ID]:[Def_Nutrient_ID]],"&lt;&gt;"&amp;"",Tbl_Responses[[Q1: region]:[Q1: region]],$AG5,Tbl_Responses[[Resp_Group]:[Resp_Group]],Agronomist)</f>
        <v>0</v>
      </c>
      <c r="AO5" s="4">
        <f>COUNTIFS(Tbl_Responses[[Def_Nutrient_ID]:[Def_Nutrient_ID]],"*Cu*",Tbl_Responses[[Q1: region]:[Q1: region]],$AG5,Tbl_Responses[[Resp_Group]:[Resp_Group]],Agronomist)/COUNTIFS(Tbl_Responses[[Def_Nutrient_ID]:[Def_Nutrient_ID]],"&lt;&gt;"&amp;"",Tbl_Responses[[Q1: region]:[Q1: region]],$AG5,Tbl_Responses[[Resp_Group]:[Resp_Group]],Agronomist)</f>
        <v>0.25</v>
      </c>
      <c r="AP5" s="4">
        <f>COUNTIFS(Tbl_Responses[[Def_Nutrient_ID]:[Def_Nutrient_ID]],"*B*",Tbl_Responses[[Q1: region]:[Q1: region]],$AG5,Tbl_Responses[[Resp_Group]:[Resp_Group]],Agronomist)/COUNTIFS(Tbl_Responses[[Def_Nutrient_ID]:[Def_Nutrient_ID]],"&lt;&gt;"&amp;"",Tbl_Responses[[Q1: region]:[Q1: region]],$AG5,Tbl_Responses[[Resp_Group]:[Resp_Group]],Agronomist)</f>
        <v>0</v>
      </c>
      <c r="AQ5" s="4">
        <f>COUNTIFS(Tbl_Responses[[Def_Nutrient_ID]:[Def_Nutrient_ID]],"*Ca*",Tbl_Responses[[Q1: region]:[Q1: region]],$AG5,Tbl_Responses[[Resp_Group]:[Resp_Group]],Agronomist)/COUNTIFS(Tbl_Responses[[Def_Nutrient_ID]:[Def_Nutrient_ID]],"&lt;&gt;"&amp;"",Tbl_Responses[[Q1: region]:[Q1: region]],$AG5,Tbl_Responses[[Resp_Group]:[Resp_Group]],Agronomist)</f>
        <v>0</v>
      </c>
      <c r="AR5" s="4">
        <f>COUNTIFS(Tbl_Responses[[Def_Nutrient_ID]:[Def_Nutrient_ID]],"*pH*",Tbl_Responses[[Q1: region]:[Q1: region]],$AG5,Tbl_Responses[[Resp_Group]:[Resp_Group]],Agronomist)/COUNTIFS(Tbl_Responses[[Def_Nutrient_ID]:[Def_Nutrient_ID]],"&lt;&gt;"&amp;"",Tbl_Responses[[Q1: region]:[Q1: region]],$AG5,Tbl_Responses[[Resp_Group]:[Resp_Group]],Agronomist)</f>
        <v>0.5</v>
      </c>
      <c r="AS5" s="4">
        <f>COUNTIFS(Tbl_Responses[[Def_Nutrient_ID]:[Def_Nutrient_ID]],"*T*",Tbl_Responses[[Q1: region]:[Q1: region]],$AG5,Tbl_Responses[[Resp_Group]:[Resp_Group]],Agronomist)/COUNTIFS(Tbl_Responses[[Def_Nutrient_ID]:[Def_Nutrient_ID]],"&lt;&gt;"&amp;"",Tbl_Responses[[Q1: region]:[Q1: region]],$AG5,Tbl_Responses[[Resp_Group]:[Resp_Group]],Agronomist)</f>
        <v>0</v>
      </c>
      <c r="AV5" t="s">
        <v>291</v>
      </c>
      <c r="AW5" s="4">
        <f>COUNTIFS(Tbl_Responses[[Q6: Do you do/recommend soil and/or plant testing?]:[Q6: Do you do/recommend soil and/or plant testing?]],"Yes",Tbl_Responses[[Q1: region]:[Q1: region]],$AV5,Tbl_Responses[[Resp_Group]:[Resp_Group]],Agronomist)/COUNTIFS(Tbl_Responses[[Q6: Do you do/recommend soil and/or plant testing?]:[Q6: Do you do/recommend soil and/or plant testing?]],"&lt;&gt;"&amp;"",Tbl_Responses[[Q1: region]:[Q1: region]],$AV5,Tbl_Responses[[Resp_Group]:[Resp_Group]],Agronomist)</f>
        <v>1</v>
      </c>
      <c r="AX5" s="4">
        <f>COUNTIFS(Tbl_Responses[[Q6: Do you do/recommend soil and/or plant testing?]:[Q6: Do you do/recommend soil and/or plant testing?]],"No",Tbl_Responses[[Q1: region]:[Q1: region]],$AV5,Tbl_Responses[[Resp_Group]:[Resp_Group]],Agronomist)/COUNTIFS(Tbl_Responses[[Q6: Do you do/recommend soil and/or plant testing?]:[Q6: Do you do/recommend soil and/or plant testing?]],"&lt;&gt;"&amp;"",Tbl_Responses[[Q1: region]:[Q1: region]],$AV5,Tbl_Responses[[Resp_Group]:[Resp_Group]],Agronomist)</f>
        <v>0</v>
      </c>
      <c r="AY5" s="3">
        <f>COUNTIFS(Tbl_Responses[[Q6: Do you do/recommend soil and/or plant testing?]:[Q6: Do you do/recommend soil and/or plant testing?]],"&gt;""",Tbl_Responses[[Q1: region]:[Q1: region]],$AV5,Tbl_Responses[[Resp_Group]:[Resp_Group]],Agronomist)</f>
        <v>4</v>
      </c>
      <c r="BA5" s="32" t="s">
        <v>168</v>
      </c>
      <c r="BB5" s="3">
        <f>COUNTIFS(Tbl_Responses[Q8: Of your clients, how many of them rely entirely on you to make the nutrient decisions?],$BA5,Tbl_Responses[[Resp_Group]:[Resp_Group]],Agronomist)</f>
        <v>8</v>
      </c>
      <c r="BC5" s="3">
        <f>COUNTIFS(Tbl_Responses[Response4],$BA5,Tbl_Responses[[Resp_Group]:[Resp_Group]],Agronomist)</f>
        <v>23</v>
      </c>
      <c r="BD5" s="3">
        <f>COUNTIFS(Tbl_Responses[Response5],$BA5,Tbl_Responses[[Resp_Group]:[Resp_Group]],Agronomist)</f>
        <v>10</v>
      </c>
      <c r="BE5" s="3">
        <f>COUNTIFS(Tbl_Responses[Response6],$BA5,Tbl_Responses[[Resp_Group]:[Resp_Group]],Agronomist)</f>
        <v>6</v>
      </c>
      <c r="BF5" s="3">
        <f>COUNTIFS(Tbl_Responses[Response7],$BA5,Tbl_Responses[[Resp_Group]:[Resp_Group]],Agronomist)</f>
        <v>2</v>
      </c>
      <c r="BH5" t="s">
        <v>2438</v>
      </c>
      <c r="BI5" s="3">
        <f>COUNTIFS(Tbl_Responses[Source_1_ID],$BH5,Tbl_Responses[[Resp_Group]:[Resp_Group]],Agronomist)+COUNTIFS(Tbl_Responses[Source_2_ID],$BH5,Tbl_Responses[[Resp_Group]:[Resp_Group]],Agronomist)+COUNTIFS(Tbl_Responses[Source_3_ID],$BH5,Tbl_Responses[[Resp_Group]:[Resp_Group]],Agronomist)</f>
        <v>58</v>
      </c>
      <c r="BJ5" s="4">
        <f>Tbl_Q11[[#This Row],[Q11 Response]]/SUM(Tbl_Q11[Q11 Response])</f>
        <v>0.35365853658536583</v>
      </c>
      <c r="BQ5" s="37" t="s">
        <v>401</v>
      </c>
      <c r="BR5" s="4">
        <f>COUNTIFS(Tbl_Responses[What % of your clients soil tested in 2018?],$BQ5,Tbl_Responses[[Resp_Group]:[Resp_Group]],Agronomist)/COUNTIFS(Tbl_Responses[What % of your clients soil tested in 2018?],"&gt;""",Tbl_Responses[[Resp_Group]:[Resp_Group]],Agronomist)</f>
        <v>0.16666666666666666</v>
      </c>
      <c r="BS5" s="4">
        <f>COUNTIFS(Tbl_Responses[What % of your clients tested for N in 2018?],$BQ5,Tbl_Responses[[Resp_Group]:[Resp_Group]],Agronomist)/COUNTIFS(Tbl_Responses[What % of your clients tested for N in 2018?],"&gt;""",Tbl_Responses[[Resp_Group]:[Resp_Group]],Agronomist)</f>
        <v>0.22807017543859648</v>
      </c>
      <c r="BT5" s="4">
        <f>COUNTIFS(Tbl_Responses[What % of your clients tested for N to at least 60cm in 2018?],$BQ5,Tbl_Responses[[Resp_Group]:[Resp_Group]],Agronomist)/COUNTIFS(Tbl_Responses[What % of your clients tested for N to at least 60cm in 2018?],"&gt;""",Tbl_Responses[[Resp_Group]:[Resp_Group]],Agronomist)</f>
        <v>0.34</v>
      </c>
      <c r="BU5" s="4">
        <f>COUNTIFS(Tbl_Responses[What % of your clients tested for P in 2018?],$BQ5,Tbl_Responses[[Resp_Group]:[Resp_Group]],Agronomist)/COUNTIFS(Tbl_Responses[What % of your clients tested for P in 2018?],"&gt;""",Tbl_Responses[[Resp_Group]:[Resp_Group]],Agronomist)</f>
        <v>0.20338983050847459</v>
      </c>
      <c r="BX5" t="s">
        <v>176</v>
      </c>
      <c r="BY5" s="4">
        <f>(COUNTIFS(Tbl_Responses[Nitrogen 1 - Type of test],$BX5,Tbl_Responses[[Resp_Group]:[Resp_Group]],Agronomist)+COUNTIFS(Tbl_Responses[Nitrogen 2 - Type of test],$BX5,Tbl_Responses[[Resp_Group]:[Resp_Group]],Agronomist)+COUNTIFS(Tbl_Responses[Nitrogen 3 - Type of test],$BX5,Tbl_Responses[[Resp_Group]:[Resp_Group]],Agronomist))/(COUNTIFS(Tbl_Responses[Nitrogen 1 - Type of test],"&gt;""",Tbl_Responses[[Resp_Group]:[Resp_Group]],Agronomist)+COUNTIFS(Tbl_Responses[Nitrogen 2 - Type of test],"&gt;""",Tbl_Responses[[Resp_Group]:[Resp_Group]],Agronomist)+COUNTIFS(Tbl_Responses[Nitrogen 3 - Type of test],"&gt;""",Tbl_Responses[[Resp_Group]:[Resp_Group]],Agronomist))</f>
        <v>0.37931034482758619</v>
      </c>
      <c r="CB5" s="61" t="s">
        <v>223</v>
      </c>
      <c r="CC5" s="62">
        <f>(COUNTIFS(Tbl_Responses[Nitrogen 1 - Type of test],Tbl_14_sampling[[#Headers],[Organic Carbon]],Tbl_Responses[Nitrogen 1 - How many representative samples per paddock],$CB5,Tbl_Responses[[Resp_Group]:[Resp_Group]],Agronomist)+COUNTIFS(Tbl_Responses[Nitrogen 2 - Type of test],Tbl_14_sampling[[#Headers],[Organic Carbon]],Tbl_Responses[Nitrogen 2 - How many representative samples per paddock],$CB5,Tbl_Responses[[Resp_Group]:[Resp_Group]],Agronomist)+COUNTIFS(Tbl_Responses[Nitrogen 3 - Type of test],Tbl_14_sampling[[#Headers],[Organic Carbon]],Tbl_Responses[Nitrogen 3 - How many representative samples per paddock],$CB5,Tbl_Responses[[Resp_Group]:[Resp_Group]],Agronomist))/(COUNTIFS(Tbl_Responses[Nitrogen 1 - Type of test],Tbl_14_sampling[[#Headers],[Organic Carbon]],Tbl_Responses[Nitrogen 1 - How many representative samples per paddock],"&gt;""",Tbl_Responses[[Resp_Group]:[Resp_Group]],Agronomist)+COUNTIFS(Tbl_Responses[Nitrogen 2 - Type of test],Tbl_14_sampling[[#Headers],[Organic Carbon]],Tbl_Responses[Nitrogen 2 - How many representative samples per paddock],"&gt;""",Tbl_Responses[[Resp_Group]:[Resp_Group]],Agronomist)+COUNTIFS(Tbl_Responses[Nitrogen 3 - Type of test],Tbl_14_sampling[[#Headers],[Organic Carbon]],Tbl_Responses[Nitrogen 3 - How many representative samples per paddock],"&gt;""",Tbl_Responses[[Resp_Group]:[Resp_Group]],Agronomist))</f>
        <v>0.24242424242424243</v>
      </c>
      <c r="CD5" s="62">
        <f>(COUNTIFS(Tbl_Responses[Nitrogen 1 - Type of test],Tbl_14_sampling[[#Headers],[Mineral N (Nitrate/Ammonium)]],Tbl_Responses[Nitrogen 1 - How many representative samples per paddock],$CB5,Tbl_Responses[[Resp_Group]:[Resp_Group]],Agronomist)+COUNTIFS(Tbl_Responses[Nitrogen 2 - Type of test],Tbl_14_sampling[[#Headers],[Mineral N (Nitrate/Ammonium)]],Tbl_Responses[Nitrogen 2 - How many representative samples per paddock],$CB5,Tbl_Responses[[Resp_Group]:[Resp_Group]],Agronomist)+COUNTIFS(Tbl_Responses[Nitrogen 3 - Type of test],Tbl_14_sampling[[#Headers],[Mineral N (Nitrate/Ammonium)]],Tbl_Responses[Nitrogen 3 - How many representative samples per paddock],$CB5,Tbl_Responses[[Resp_Group]:[Resp_Group]],Agronomist))/(COUNTIFS(Tbl_Responses[Nitrogen 1 - Type of test],Tbl_14_sampling[[#Headers],[Mineral N (Nitrate/Ammonium)]],Tbl_Responses[Nitrogen 1 - How many representative samples per paddock],"&gt;""",Tbl_Responses[[Resp_Group]:[Resp_Group]],Agronomist)+COUNTIFS(Tbl_Responses[Nitrogen 2 - Type of test],Tbl_14_sampling[[#Headers],[Mineral N (Nitrate/Ammonium)]],Tbl_Responses[Nitrogen 2 - How many representative samples per paddock],"&gt;""",Tbl_Responses[[Resp_Group]:[Resp_Group]],Agronomist)+COUNTIFS(Tbl_Responses[Nitrogen 3 - Type of test],Tbl_14_sampling[[#Headers],[Mineral N (Nitrate/Ammonium)]],Tbl_Responses[Nitrogen 3 - How many representative samples per paddock],"&gt;""",Tbl_Responses[[Resp_Group]:[Resp_Group]],Agronomist))</f>
        <v>0.3783783783783784</v>
      </c>
      <c r="CE5" s="62">
        <f>(COUNTIFS(Tbl_Responses[Nitrogen 1 - Type of test],Tbl_14_sampling[[#Headers],[Total N]],Tbl_Responses[Nitrogen 1 - How many representative samples per paddock],$CB5,Tbl_Responses[[Resp_Group]:[Resp_Group]],Agronomist)+COUNTIFS(Tbl_Responses[Nitrogen 2 - Type of test],Tbl_14_sampling[[#Headers],[Total N]],Tbl_Responses[Nitrogen 2 - How many representative samples per paddock],$CB5,Tbl_Responses[[Resp_Group]:[Resp_Group]],Agronomist)+COUNTIFS(Tbl_Responses[Nitrogen 3 - Type of test],Tbl_14_sampling[[#Headers],[Total N]],Tbl_Responses[Nitrogen 3 - How many representative samples per paddock],$CB5,Tbl_Responses[[Resp_Group]:[Resp_Group]],Agronomist))/(COUNTIFS(Tbl_Responses[Nitrogen 1 - Type of test],Tbl_14_sampling[[#Headers],[Total N]],Tbl_Responses[Nitrogen 1 - How many representative samples per paddock],"&gt;""",Tbl_Responses[[Resp_Group]:[Resp_Group]],Agronomist)+COUNTIFS(Tbl_Responses[Nitrogen 2 - Type of test],Tbl_14_sampling[[#Headers],[Total N]],Tbl_Responses[Nitrogen 2 - How many representative samples per paddock],"&gt;""",Tbl_Responses[[Resp_Group]:[Resp_Group]],Agronomist)+COUNTIFS(Tbl_Responses[Nitrogen 3 - Type of test],Tbl_14_sampling[[#Headers],[Total N]],Tbl_Responses[Nitrogen 3 - How many representative samples per paddock],"&gt;""",Tbl_Responses[[Resp_Group]:[Resp_Group]],Agronomist))</f>
        <v>0.32</v>
      </c>
      <c r="CF5" s="62">
        <f>(COUNTIFS(Tbl_Responses[Nitrogen 1 - How many representative samples per paddock],$CB5,Tbl_Responses[[Resp_Group]:[Resp_Group]],Agronomist)+COUNTIFS(Tbl_Responses[Nitrogen 2 - How many representative samples per paddock],$CB5,Tbl_Responses[[Resp_Group]:[Resp_Group]],Agronomist)+COUNTIFS(Tbl_Responses[Nitrogen 3 - How many representative samples per paddock],$CB5,Tbl_Responses[[Resp_Group]:[Resp_Group]],Agronomist))/(COUNTIFS(Tbl_Responses[Nitrogen 1 - How many representative samples per paddock],"&gt;""",Tbl_Responses[[Resp_Group]:[Resp_Group]],Agronomist)+COUNTIFS(Tbl_Responses[Nitrogen 2 - How many representative samples per paddock],"&gt;""",Tbl_Responses[[Resp_Group]:[Resp_Group]],Agronomist)+COUNTIFS(Tbl_Responses[Nitrogen 3 - How many representative samples per paddock],"&gt;""",Tbl_Responses[[Resp_Group]:[Resp_Group]],Agronomist))</f>
        <v>0.31578947368421051</v>
      </c>
      <c r="CG5" s="72"/>
      <c r="CH5" s="72"/>
      <c r="CI5" s="80" t="s">
        <v>181</v>
      </c>
      <c r="CJ5" s="72">
        <f>(COUNTIFS(Tbl_Responses[Phosphorus 1 - Type of test],CI5,Tbl_Responses[[Resp_Group]:[Resp_Group]],Agronomist)+COUNTIFS(Tbl_Responses[Phosphorus 2 - Type of test],CI5,Tbl_Responses[[Resp_Group]:[Resp_Group]],Agronomist)+COUNTIFS(Tbl_Responses[Phosphorus 3 - Type of test],CI5,Tbl_Responses[[Resp_Group]:[Resp_Group]],Agronomist)+COUNTIFS(Tbl_Responses[Phosphorus 4 - Type of test],CI5,Tbl_Responses[[Resp_Group]:[Resp_Group]],Agronomist)+COUNTIFS(Tbl_Responses[Phosphorus 5 - Type of test],CI5,Tbl_Responses[[Resp_Group]:[Resp_Group]],Agronomist))/(COUNTIFS(Tbl_Responses[Phosphorus 1 - Type of test],"&gt;""",Tbl_Responses[[Resp_Group]:[Resp_Group]],Agronomist)+COUNTIFS(Tbl_Responses[Phosphorus 2 - Type of test],"&gt;""",Tbl_Responses[[Resp_Group]:[Resp_Group]],Agronomist)+COUNTIFS(Tbl_Responses[Phosphorus 3 - Type of test],"&gt;""",Tbl_Responses[[Resp_Group]:[Resp_Group]],Agronomist)+COUNTIFS(Tbl_Responses[Phosphorus 4 - Type of test],"&gt;""",Tbl_Responses[[Resp_Group]:[Resp_Group]],Agronomist)+COUNTIFS(Tbl_Responses[Phosphorus 5 - Type of test],"&gt;""",Tbl_Responses[[Resp_Group]:[Resp_Group]],Agronomist))</f>
        <v>8.7591240875912413E-2</v>
      </c>
      <c r="CK5" s="72"/>
      <c r="CL5" s="72"/>
      <c r="CM5" s="75" t="s">
        <v>223</v>
      </c>
      <c r="CN5" s="67">
        <f>(COUNTIFS(Tbl_Responses[Phosphorus 1 - Type of test],Tbl_Q15_sampling[[#Headers],[Colwell P]],Tbl_Responses[Phosphorus 1 - How many representative samples per paddock],$CM5,Tbl_Responses[[Resp_Group]:[Resp_Group]],Agronomist)+COUNTIFS(Tbl_Responses[Phosphorus 2 - Type of test],Tbl_Q15_sampling[[#Headers],[Colwell P]],Tbl_Responses[Phosphorus 2 - How many representative samples per paddock],$CM5,Tbl_Responses[[Resp_Group]:[Resp_Group]],Agronomist)+COUNTIFS(Tbl_Responses[Phosphorus 3 - Type of test],Tbl_Q15_sampling[[#Headers],[Colwell P]],Tbl_Responses[Phosphorus 3 - How many representative samples per paddock],$CM5,Tbl_Responses[[Resp_Group]:[Resp_Group]],Agronomist)+COUNTIFS(Tbl_Responses[Phosphorus 4 - Type of test],Tbl_Q15_sampling[[#Headers],[Colwell P]],Tbl_Responses[Phosphorus 4 - How many representative samples per paddock],$CM5,Tbl_Responses[[Resp_Group]:[Resp_Group]],Agronomist)+COUNTIFS(Tbl_Responses[Phosphorus 5 - Type of test],Tbl_Q15_sampling[[#Headers],[Colwell P]],Tbl_Responses[Phosphorus 5 - How many representative samples per paddock],$CM5,Tbl_Responses[[Resp_Group]:[Resp_Group]],Agronomist))/(COUNTIFS(Tbl_Responses[Phosphorus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f>
        <v>0.21276595744680851</v>
      </c>
      <c r="CO5" s="62">
        <f>(COUNTIFS(Tbl_Responses[Phosphorus 1 - Type of test],Tbl_Q15_sampling[[#Headers],[Olsen-Bray P]],Tbl_Responses[Phosphorus 1 - How many representative samples per paddock],$CM5,Tbl_Responses[[Resp_Group]:[Resp_Group]],Agronomist)+COUNTIFS(Tbl_Responses[Phosphorus 2 - Type of test],Tbl_Q15_sampling[[#Headers],[Olsen-Bray P]],Tbl_Responses[Phosphorus 2 - How many representative samples per paddock],$CM5,Tbl_Responses[[Resp_Group]:[Resp_Group]],Agronomist)+COUNTIFS(Tbl_Responses[Phosphorus 3 - Type of test],Tbl_Q15_sampling[[#Headers],[Olsen-Bray P]],Tbl_Responses[Phosphorus 3 - How many representative samples per paddock],$CM5,Tbl_Responses[[Resp_Group]:[Resp_Group]],Agronomist)+COUNTIFS(Tbl_Responses[Phosphorus 4 - Type of test],Tbl_Q15_sampling[[#Headers],[Olsen-Bray P]],Tbl_Responses[Phosphorus 4 - How many representative samples per paddock],$CM5,Tbl_Responses[[Resp_Group]:[Resp_Group]],Agronomist)+COUNTIFS(Tbl_Responses[Phosphorus 5 - Type of test],Tbl_Q15_sampling[[#Headers],[Olsen-Bray P]],Tbl_Responses[Phosphorus 5 - How many representative samples per paddock],$CM5,Tbl_Responses[[Resp_Group]:[Resp_Group]],Agronomist))/(COUNTIFS(Tbl_Responses[Phosphorus 1 - Type of test],Tbl_Q15_sampling[[#Headers],[Olsen-Bray P]],Tbl_Responses[Phosphorus 1 - How many representative samples per paddock],"&gt;""",Tbl_Responses[[Resp_Group]:[Resp_Group]],Agronomist)+COUNTIFS(Tbl_Responses[Phosphorus 2 - Type of test],Tbl_Q15_sampling[[#Headers],[Olsen-Bray P]],Tbl_Responses[Phosphorus 2 - How many representative samples per paddock],"&gt;""",Tbl_Responses[[Resp_Group]:[Resp_Group]],Agronomist)+COUNTIFS(Tbl_Responses[Phosphorus 3 - Type of test],Tbl_Q15_sampling[[#Headers],[Olsen-Bray P]],Tbl_Responses[Phosphorus 3 - How many representative samples per paddock],"&gt;""",Tbl_Responses[[Resp_Group]:[Resp_Group]],Agronomist)+COUNTIFS(Tbl_Responses[Phosphorus 4 - Type of test],Tbl_Q15_sampling[[#Headers],[Olsen-Bray P]],Tbl_Responses[Phosphorus 4 - How many representative samples per paddock],"&gt;""",Tbl_Responses[[Resp_Group]:[Resp_Group]],Agronomist)+COUNTIFS(Tbl_Responses[Phosphorus 5 - Type of test],Tbl_Q15_sampling[[#Headers],[Olsen-Bray P]],Tbl_Responses[Phosphorus 5 - How many representative samples per paddock],"&gt;""",Tbl_Responses[[Resp_Group]:[Resp_Group]],Agronomist))</f>
        <v>0.36363636363636365</v>
      </c>
      <c r="CP5" s="62">
        <f>(COUNTIFS(Tbl_Responses[Phosphorus 1 - Type of test],Tbl_Q15_sampling[[#Headers],[PBI (Phosphorus Buffering Index)]],Tbl_Responses[Phosphorus 1 - How many representative samples per paddock],$CM5,Tbl_Responses[[Resp_Group]:[Resp_Group]],Agronomist)+COUNTIFS(Tbl_Responses[Phosphorus 2 - Type of test],Tbl_Q15_sampling[[#Headers],[PBI (Phosphorus Buffering Index)]],Tbl_Responses[Phosphorus 2 - How many representative samples per paddock],$CM5,Tbl_Responses[[Resp_Group]:[Resp_Group]],Agronomist)+COUNTIFS(Tbl_Responses[Phosphorus 3 - Type of test],Tbl_Q15_sampling[[#Headers],[PBI (Phosphorus Buffering Index)]],Tbl_Responses[Phosphorus 3 - How many representative samples per paddock],$CM5,Tbl_Responses[[Resp_Group]:[Resp_Group]],Agronomist)+COUNTIFS(Tbl_Responses[Phosphorus 4 - Type of test],Tbl_Q15_sampling[[#Headers],[PBI (Phosphorus Buffering Index)]],Tbl_Responses[Phosphorus 4 - How many representative samples per paddock],$CM5,Tbl_Responses[[Resp_Group]:[Resp_Group]],Agronomist)+COUNTIFS(Tbl_Responses[Phosphorus 5 - Type of test],Tbl_Q15_sampling[[#Headers],[PBI (Phosphorus Buffering Index)]],Tbl_Responses[Phosphorus 5 - How many representative samples per paddock],$CM5,Tbl_Responses[[Resp_Group]:[Resp_Group]],Agronomist))/(COUNTIFS(Tbl_Responses[Phosphorus 1 - Type of test],Tbl_Q15_sampling[[#Headers],[PBI (Phosphorus Buffering Index)]],Tbl_Responses[Phosphorus 1 - How many representative samples per paddock],"&gt;""",Tbl_Responses[[Resp_Group]:[Resp_Group]],Agronomist)+COUNTIFS(Tbl_Responses[Phosphorus 2 - Type of test],Tbl_Q15_sampling[[#Headers],[PBI (Phosphorus Buffering Index)]],Tbl_Responses[Phosphorus 2 - How many representative samples per paddock],"&gt;""",Tbl_Responses[[Resp_Group]:[Resp_Group]],Agronomist)+COUNTIFS(Tbl_Responses[Phosphorus 3 - Type of test],Tbl_Q15_sampling[[#Headers],[PBI (Phosphorus Buffering Index)]],Tbl_Responses[Phosphorus 3 - How many representative samples per paddock],"&gt;""",Tbl_Responses[[Resp_Group]:[Resp_Group]],Agronomist)+COUNTIFS(Tbl_Responses[Phosphorus 4 - Type of test],Tbl_Q15_sampling[[#Headers],[PBI (Phosphorus Buffering Index)]],Tbl_Responses[Phosphorus 4 - How many representative samples per paddock],"&gt;""",Tbl_Responses[[Resp_Group]:[Resp_Group]],Agronomist)+COUNTIFS(Tbl_Responses[Phosphorus 5 - Type of test],Tbl_Q15_sampling[[#Headers],[PBI (Phosphorus Buffering Index)]],Tbl_Responses[Phosphorus 5 - How many representative samples per paddock],"&gt;""",Tbl_Responses[[Resp_Group]:[Resp_Group]],Agronomist))</f>
        <v>0.29032258064516131</v>
      </c>
      <c r="CQ5" s="62">
        <f>(COUNTIFS(Tbl_Responses[Phosphorus 1 - Type of test],Tbl_Q15_sampling[[#Headers],[DGT]],Tbl_Responses[Phosphorus 1 - How many representative samples per paddock],$CM5,Tbl_Responses[[Resp_Group]:[Resp_Group]],Agronomist)+COUNTIFS(Tbl_Responses[Phosphorus 2 - Type of test],Tbl_Q15_sampling[[#Headers],[DGT]],Tbl_Responses[Phosphorus 2 - How many representative samples per paddock],$CM5,Tbl_Responses[[Resp_Group]:[Resp_Group]],Agronomist)+COUNTIFS(Tbl_Responses[Phosphorus 3 - Type of test],Tbl_Q15_sampling[[#Headers],[DGT]],Tbl_Responses[Phosphorus 3 - How many representative samples per paddock],$CM5,Tbl_Responses[[Resp_Group]:[Resp_Group]],Agronomist)+COUNTIFS(Tbl_Responses[Phosphorus 4 - Type of test],Tbl_Q15_sampling[[#Headers],[DGT]],Tbl_Responses[Phosphorus 4 - How many representative samples per paddock],$CM5,Tbl_Responses[[Resp_Group]:[Resp_Group]],Agronomist)+COUNTIFS(Tbl_Responses[Phosphorus 5 - Type of test],Tbl_Q15_sampling[[#Headers],[DGT]],Tbl_Responses[Phosphorus 5 - How many representative samples per paddock],$CM5,Tbl_Responses[[Resp_Group]:[Resp_Group]],Agronomist))/(COUNTIFS(Tbl_Responses[Phosphorus 1 - Type of test],Tbl_Q15_sampling[[#Headers],[DGT]],Tbl_Responses[Phosphorus 1 - How many representative samples per paddock],"&gt;""",Tbl_Responses[[Resp_Group]:[Resp_Group]],Agronomist)+COUNTIFS(Tbl_Responses[Phosphorus 2 - Type of test],Tbl_Q15_sampling[[#Headers],[DGT]],Tbl_Responses[Phosphorus 2 - How many representative samples per paddock],"&gt;""",Tbl_Responses[[Resp_Group]:[Resp_Group]],Agronomist)+COUNTIFS(Tbl_Responses[Phosphorus 3 - Type of test],Tbl_Q15_sampling[[#Headers],[DGT]],Tbl_Responses[Phosphorus 3 - How many representative samples per paddock],"&gt;""",Tbl_Responses[[Resp_Group]:[Resp_Group]],Agronomist)+COUNTIFS(Tbl_Responses[Phosphorus 4 - Type of test],Tbl_Q15_sampling[[#Headers],[DGT]],Tbl_Responses[Phosphorus 4 - How many representative samples per paddock],"&gt;""",Tbl_Responses[[Resp_Group]:[Resp_Group]],Agronomist)+COUNTIFS(Tbl_Responses[Phosphorus 5 - Type of test],Tbl_Q15_sampling[[#Headers],[DGT]],Tbl_Responses[Phosphorus 5 - How many representative samples per paddock],"&gt;""",Tbl_Responses[[Resp_Group]:[Resp_Group]],Agronomist))</f>
        <v>0.20833333333333334</v>
      </c>
      <c r="CR5" s="62">
        <f>(COUNTIFS(Tbl_Responses[Phosphorus 1 - Type of test],Tbl_Q15_sampling[[#Headers],[Total P]],Tbl_Responses[Phosphorus 1 - How many representative samples per paddock],$CM5,Tbl_Responses[[Resp_Group]:[Resp_Group]],Agronomist)+COUNTIFS(Tbl_Responses[Phosphorus 2 - Type of test],Tbl_Q15_sampling[[#Headers],[Total P]],Tbl_Responses[Phosphorus 2 - How many representative samples per paddock],$CM5,Tbl_Responses[[Resp_Group]:[Resp_Group]],Agronomist)+COUNTIFS(Tbl_Responses[Phosphorus 3 - Type of test],Tbl_Q15_sampling[[#Headers],[Total P]],Tbl_Responses[Phosphorus 3 - How many representative samples per paddock],$CM5,Tbl_Responses[[Resp_Group]:[Resp_Group]],Agronomist)+COUNTIFS(Tbl_Responses[Phosphorus 4 - Type of test],Tbl_Q15_sampling[[#Headers],[Total P]],Tbl_Responses[Phosphorus 4 - How many representative samples per paddock],$CM5,Tbl_Responses[[Resp_Group]:[Resp_Group]],Agronomist)+COUNTIFS(Tbl_Responses[Phosphorus 5 - Type of test],Tbl_Q15_sampling[[#Headers],[Total P]],Tbl_Responses[Phosphorus 5 - How many representative samples per paddock],$CM5,Tbl_Responses[[Resp_Group]:[Resp_Group]],Agronomist))/(COUNTIFS(Tbl_Responses[Phosphorus 1 - Type of test],Tbl_Q15_sampling[[#Headers],[Total P]],Tbl_Responses[Phosphorus 1 - How many representative samples per paddock],"&gt;""",Tbl_Responses[[Resp_Group]:[Resp_Group]],Agronomist)+COUNTIFS(Tbl_Responses[Phosphorus 2 - Type of test],Tbl_Q15_sampling[[#Headers],[Total P]],Tbl_Responses[Phosphorus 2 - How many representative samples per paddock],"&gt;""",Tbl_Responses[[Resp_Group]:[Resp_Group]],Agronomist)+COUNTIFS(Tbl_Responses[Phosphorus 3 - Type of test],Tbl_Q15_sampling[[#Headers],[Total P]],Tbl_Responses[Phosphorus 3 - How many representative samples per paddock],"&gt;""",Tbl_Responses[[Resp_Group]:[Resp_Group]],Agronomist)+COUNTIFS(Tbl_Responses[Phosphorus 4 - Type of test],Tbl_Q15_sampling[[#Headers],[Total P]],Tbl_Responses[Phosphorus 4 - How many representative samples per paddock],"&gt;""",Tbl_Responses[[Resp_Group]:[Resp_Group]],Agronomist)+COUNTIFS(Tbl_Responses[Phosphorus 5 - Type of test],Tbl_Q15_sampling[[#Headers],[Total P]],Tbl_Responses[Phosphorus 5 - How many representative samples per paddock],"&gt;""",Tbl_Responses[[Resp_Group]:[Resp_Group]],Agronomist))</f>
        <v>0.25</v>
      </c>
      <c r="CS5" s="82">
        <f>(COUNTIFS(Tbl_Responses[Phosphorus 1 - How many representative samples per paddock],$CM5,Tbl_Responses[[Resp_Group]:[Resp_Group]],Agronomist)+COUNTIFS(Tbl_Responses[Phosphorus 2 - How many representative samples per paddock],$CM5,Tbl_Responses[[Resp_Group]:[Resp_Group]],Agronomist)+COUNTIFS(Tbl_Responses[Phosphorus 3 - How many representative samples per paddock],$CM5,Tbl_Responses[[Resp_Group]:[Resp_Group]],Agronomist)+COUNTIFS(Tbl_Responses[Phosphorus 4 - How many representative samples per paddock],$CM5,Tbl_Responses[[Resp_Group]:[Resp_Group]],Agronomist)+COUNTIFS(Tbl_Responses[Phosphorus 5 - How many representative samples per paddock],$CM5,Tbl_Responses[[Resp_Group]:[Resp_Group]],Agronomist))/(COUNTIFS(Tbl_Responses[Phosphorus 1 - How many representative samples per paddock],"&gt;""",Tbl_Responses[[Resp_Group]:[Resp_Group]],Agronomist)+COUNTIFS(Tbl_Responses[Phosphorus 2 - How many representative samples per paddock],"&gt;""",Tbl_Responses[[Resp_Group]:[Resp_Group]],Agronomist)+COUNTIFS(Tbl_Responses[Phosphorus 3 - How many representative samples per paddock],"&gt;""",Tbl_Responses[[Resp_Group]:[Resp_Group]],Agronomist)+COUNTIFS(Tbl_Responses[Phosphorus 4 - How many representative samples per paddock],"&gt;""",Tbl_Responses[[Resp_Group]:[Resp_Group]],Agronomist)+COUNTIFS(Tbl_Responses[Phosphorus 5 - How many representative samples per paddock],"&gt;""",Tbl_Responses[[Resp_Group]:[Resp_Group]],Agronomist))</f>
        <v>0.24786324786324787</v>
      </c>
      <c r="CT5" s="72"/>
      <c r="CU5" s="72"/>
      <c r="CV5" s="80" t="s">
        <v>185</v>
      </c>
      <c r="CW5" s="72">
        <f>(COUNTIFS(Tbl_Responses[Potassium 1 - Type of test],$CV5,Tbl_Responses[[Resp_Group]:[Resp_Group]],Agronomist)+COUNTIFS(Tbl_Responses[Potassium 2 - Type of test],$CV5,Tbl_Responses[[Resp_Group]:[Resp_Group]],Agronomist)+COUNTIFS(Tbl_Responses[Potassium 3 - Type of test],$CV5,Tbl_Responses[[Resp_Group]:[Resp_Group]],Agronomist))/(COUNTIFS(Tbl_Responses[Potassium 1 - Type of test],"&gt;""",Tbl_Responses[[Resp_Group]:[Resp_Group]],Agronomist)+COUNTIFS(Tbl_Responses[Potassium 2 - Type of test],"&gt;""",Tbl_Responses[[Resp_Group]:[Resp_Group]],Agronomist)+COUNTIFS(Tbl_Responses[Potassium 3 - Type of test],"&gt;""",Tbl_Responses[[Resp_Group]:[Resp_Group]],Agronomist))</f>
        <v>0.375</v>
      </c>
      <c r="CX5" s="72"/>
      <c r="CY5" s="72"/>
      <c r="CZ5" s="75" t="s">
        <v>223</v>
      </c>
      <c r="DA5" s="67">
        <f>(COUNTIFS(Tbl_Responses[Potassium 1 - Type of test],Tbl_Q16_sampling[[#Headers],[Colwell K]],Tbl_Responses[Potassium 1 - How many representative samples per paddock],$CZ5,Tbl_Responses[[Resp_Group]:[Resp_Group]],Agronomist)+COUNTIFS(Tbl_Responses[Potassium 2 - Type of test],Tbl_Q16_sampling[[#Headers],[Colwell K]],Tbl_Responses[Potassium 2 - How many representative samples per paddock],$CZ5,Tbl_Responses[[Resp_Group]:[Resp_Group]],Agronomist)+COUNTIFS(Tbl_Responses[Potassium 3 - Type of test],Tbl_Q16_sampling[[#Headers],[Colwell K]],Tbl_Responses[Potassium 3 - How many representative samples per paddock],$CZ5,Tbl_Responses[[Resp_Group]:[Resp_Group]],Agronomist))/(COUNTIFS(Tbl_Responses[Potassium 1 - Type of test],Tbl_Q16_sampling[[#Headers],[Colwell K]],Tbl_Responses[Potassium 1 - How many representative samples per paddock],"&gt;""",Tbl_Responses[[Resp_Group]:[Resp_Group]],Agronomist)+COUNTIFS(Tbl_Responses[Potassium 2 - Type of test],Tbl_Q16_sampling[[#Headers],[Colwell K]],Tbl_Responses[Potassium 2 - How many representative samples per paddock],"&gt;""",Tbl_Responses[[Resp_Group]:[Resp_Group]],Agronomist)+COUNTIFS(Tbl_Responses[Potassium 3 - Type of test],Tbl_Q16_sampling[[#Headers],[Colwell K]],Tbl_Responses[Potassium 3 - How many representative samples per paddock],"&gt;""",Tbl_Responses[[Resp_Group]:[Resp_Group]],Agronomist))</f>
        <v>0.22580645161290322</v>
      </c>
      <c r="DB5" s="62">
        <f>(COUNTIFS(Tbl_Responses[Potassium 1 - Type of test],Tbl_Q16_sampling[[#Headers],[Exchangable Cations (Ca, Mg, K, Na)]],Tbl_Responses[Potassium 1 - How many representative samples per paddock],$CZ5,Tbl_Responses[[Resp_Group]:[Resp_Group]],Agronomist)+COUNTIFS(Tbl_Responses[Potassium 2 - Type of test],Tbl_Q16_sampling[[#Headers],[Exchangable Cations (Ca, Mg, K, Na)]],Tbl_Responses[Potassium 2 - How many representative samples per paddock],$CZ5,Tbl_Responses[[Resp_Group]:[Resp_Group]],Agronomist)+COUNTIFS(Tbl_Responses[Potassium 3 - Type of test],Tbl_Q16_sampling[[#Headers],[Exchangable Cations (Ca, Mg, K, Na)]],Tbl_Responses[Potassium 3 - How many representative samples per paddock],$CZ5,Tbl_Responses[[Resp_Group]:[Resp_Group]],Agronomist))/(COUNTIFS(Tbl_Responses[Potassium 1 - Type of test],Tbl_Q16_sampling[[#Headers],[Exchangable Cations (Ca, Mg, K, Na)]],Tbl_Responses[Potassium 1 - How many representative samples per paddock],"&gt;""",Tbl_Responses[[Resp_Group]:[Resp_Group]],Agronomist)+COUNTIFS(Tbl_Responses[Potassium 2 - Type of test],Tbl_Q16_sampling[[#Headers],[Exchangable Cations (Ca, Mg, K, Na)]],Tbl_Responses[Potassium 2 - How many representative samples per paddock],"&gt;""",Tbl_Responses[[Resp_Group]:[Resp_Group]],Agronomist)+COUNTIFS(Tbl_Responses[Potassium 3 - Type of test],Tbl_Q16_sampling[[#Headers],[Exchangable Cations (Ca, Mg, K, Na)]],Tbl_Responses[Potassium 3 - How many representative samples per paddock],"&gt;""",Tbl_Responses[[Resp_Group]:[Resp_Group]],Agronomist))</f>
        <v>0.13636363636363635</v>
      </c>
      <c r="DC5" s="70">
        <f>(COUNTIFS(Tbl_Responses[Potassium 1 - How many representative samples per paddock],$CZ5,Tbl_Responses[[Resp_Group]:[Resp_Group]],Agronomist)+COUNTIFS(Tbl_Responses[Potassium 2 - How many representative samples per paddock],$CZ5,Tbl_Responses[[Resp_Group]:[Resp_Group]],Agronomist)+COUNTIFS(Tbl_Responses[Potassium 3 - How many representative samples per paddock],$CZ5,Tbl_Responses[[Resp_Group]:[Resp_Group]],Agronomist))/(COUNTIFS(Tbl_Responses[Potassium 1 - How many representative samples per paddock],"&gt;""",Tbl_Responses[[Resp_Group]:[Resp_Group]],Agronomist)+COUNTIFS(Tbl_Responses[Potassium 2 - How many representative samples per paddock],"&gt;""",Tbl_Responses[[Resp_Group]:[Resp_Group]],Agronomist)+COUNTIFS(Tbl_Responses[Potassium 3 - How many representative samples per paddock],"&gt;""",Tbl_Responses[[Resp_Group]:[Resp_Group]],Agronomist))</f>
        <v>0.18867924528301888</v>
      </c>
      <c r="DD5" s="72"/>
      <c r="DE5" s="72"/>
      <c r="DF5" s="80" t="s">
        <v>191</v>
      </c>
      <c r="DG5" s="72">
        <f>(COUNTIFS(Tbl_Responses[1 - Type of test],DF5,Tbl_Responses[[Resp_Group]:[Resp_Group]],Agronomist)+COUNTIFS(Tbl_Responses[2 - Type of test],DF5,Tbl_Responses[[Resp_Group]:[Resp_Group]],Agronomist)+COUNTIFS(Tbl_Responses[3 - Type of test],DF5,Tbl_Responses[[Resp_Group]:[Resp_Group]],Agronomist)+COUNTIFS(Tbl_Responses[4 - Type of test],DF5,Tbl_Responses[[Resp_Group]:[Resp_Group]],Agronomist)+COUNTIFS(Tbl_Responses[5 - Type of test],DF5,Tbl_Responses[[Resp_Group]:[Resp_Group]],Agronomist))/(COUNTIFS(Tbl_Responses[1 -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f>
        <v>0.15720524017467249</v>
      </c>
      <c r="DH5" s="72"/>
      <c r="DI5" s="72"/>
      <c r="DJ5" s="75" t="s">
        <v>223</v>
      </c>
      <c r="DK5" s="67">
        <f>(COUNTIFS(Tbl_Responses[1 - Type of test],Tbl_Q17_sampling[[#Headers],[pH]],Tbl_Responses[1 - How many cores per paddock],$DJ5,Tbl_Responses[[Resp_Group]:[Resp_Group]],Agronomist)+COUNTIFS(Tbl_Responses[2 - Type of test],Tbl_Q17_sampling[[#Headers],[pH]],Tbl_Responses[2 - How many cores per paddock],$DJ5,Tbl_Responses[[Resp_Group]:[Resp_Group]],Agronomist)+COUNTIFS(Tbl_Responses[3 - Type of test],Tbl_Q17_sampling[[#Headers],[pH]],Tbl_Responses[3 - How many cores per paddock],$DJ5,Tbl_Responses[[Resp_Group]:[Resp_Group]],Agronomist)+COUNTIFS(Tbl_Responses[4 - Type of test],Tbl_Q17_sampling[[#Headers],[pH]],Tbl_Responses[4 - How many cores per paddock],$DJ5,Tbl_Responses[[Resp_Group]:[Resp_Group]],Agronomist)+COUNTIFS(Tbl_Responses[5 - Type of test],Tbl_Q17_sampling[[#Headers],[pH]],Tbl_Responses[5 - How many cores per paddock],$DJ5,Tbl_Responses[[Resp_Group]:[Resp_Group]],Agronomist)+COUNTIFS(Tbl_Responses[6 - Type of test],Tbl_Q17_sampling[[#Headers],[pH]],Tbl_Responses[6 - How many cores per paddock],$DJ5,Tbl_Responses[[Resp_Group]:[Resp_Group]],Agronomist)+COUNTIFS(Tbl_Responses[7 - Type of test],Tbl_Q17_sampling[[#Headers],[pH]],Tbl_Responses[7 - How many cores per paddock],$DJ5,Tbl_Responses[[Resp_Group]:[Resp_Group]],Agronomist)+COUNTIFS(Tbl_Responses[8 - Type of test],Tbl_Q17_sampling[[#Headers],[pH]],Tbl_Responses[8 - How many cores per paddock],$DJ5,Tbl_Responses[[Resp_Group]:[Resp_Group]],Agronomist))/(COUNTIFS(Tbl_Responses[1 -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f>
        <v>0.13513513513513514</v>
      </c>
      <c r="DL5" s="62">
        <f>(COUNTIFS(Tbl_Responses[1 - Type of test],Tbl_Q17_sampling[[#Headers],[Trace elements (DTPA) Cu, Zn, Mg, Fe]],Tbl_Responses[1 - How many cores per paddock],$DJ5,Tbl_Responses[[Resp_Group]:[Resp_Group]],Agronomist)+COUNTIFS(Tbl_Responses[2 - Type of test],Tbl_Q17_sampling[[#Headers],[Trace elements (DTPA) Cu, Zn, Mg, Fe]],Tbl_Responses[2 - How many cores per paddock],$DJ5,Tbl_Responses[[Resp_Group]:[Resp_Group]],Agronomist)+COUNTIFS(Tbl_Responses[3 - Type of test],Tbl_Q17_sampling[[#Headers],[Trace elements (DTPA) Cu, Zn, Mg, Fe]],Tbl_Responses[3 - How many cores per paddock],$DJ5,Tbl_Responses[[Resp_Group]:[Resp_Group]],Agronomist)+COUNTIFS(Tbl_Responses[4 - Type of test],Tbl_Q17_sampling[[#Headers],[Trace elements (DTPA) Cu, Zn, Mg, Fe]],Tbl_Responses[4 - How many cores per paddock],$DJ5,Tbl_Responses[[Resp_Group]:[Resp_Group]],Agronomist)+COUNTIFS(Tbl_Responses[5 - Type of test],Tbl_Q17_sampling[[#Headers],[Trace elements (DTPA) Cu, Zn, Mg, Fe]],Tbl_Responses[5 - How many cores per paddock],$DJ5,Tbl_Responses[[Resp_Group]:[Resp_Group]],Agronomist)+COUNTIFS(Tbl_Responses[6 - Type of test],Tbl_Q17_sampling[[#Headers],[Trace elements (DTPA) Cu, Zn, Mg, Fe]],Tbl_Responses[6 - How many cores per paddock],$DJ5,Tbl_Responses[[Resp_Group]:[Resp_Group]],Agronomist)+COUNTIFS(Tbl_Responses[7 - Type of test],Tbl_Q17_sampling[[#Headers],[Trace elements (DTPA) Cu, Zn, Mg, Fe]],Tbl_Responses[7 - How many cores per paddock],$DJ5,Tbl_Responses[[Resp_Group]:[Resp_Group]],Agronomist)+COUNTIFS(Tbl_Responses[8 - Type of test],Tbl_Q17_sampling[[#Headers],[Trace elements (DTPA) Cu, Zn, Mg, Fe]],Tbl_Responses[8 - How many cores per paddock],$DJ5,Tbl_Responses[[Resp_Group]:[Resp_Group]],Agronomist))/(COUNTIFS(Tbl_Responses[1 - Type of test],Tbl_Q17_sampling[[#Headers],[Trace elements (DTPA) Cu, Zn, Mg, Fe]],Tbl_Responses[1 - How many cores per paddock],"&gt;""",Tbl_Responses[[Resp_Group]:[Resp_Group]],Agronomist)+COUNTIFS(Tbl_Responses[2 - Type of test],Tbl_Q17_sampling[[#Headers],[Trace elements (DTPA) Cu, Zn, Mg, Fe]],Tbl_Responses[2 - How many cores per paddock],"&gt;""",Tbl_Responses[[Resp_Group]:[Resp_Group]],Agronomist)+COUNTIFS(Tbl_Responses[3 - Type of test],Tbl_Q17_sampling[[#Headers],[Trace elements (DTPA) Cu, Zn, Mg, Fe]],Tbl_Responses[3 - How many cores per paddock],"&gt;""",Tbl_Responses[[Resp_Group]:[Resp_Group]],Agronomist)+COUNTIFS(Tbl_Responses[4 - Type of test],Tbl_Q17_sampling[[#Headers],[Trace elements (DTPA) Cu, Zn, Mg, Fe]],Tbl_Responses[4 - How many cores per paddock],"&gt;""",Tbl_Responses[[Resp_Group]:[Resp_Group]],Agronomist)+COUNTIFS(Tbl_Responses[5 - Type of test],Tbl_Q17_sampling[[#Headers],[Trace elements (DTPA) Cu, Zn, Mg, Fe]],Tbl_Responses[5 - How many cores per paddock],"&gt;""",Tbl_Responses[[Resp_Group]:[Resp_Group]],Agronomist)+COUNTIFS(Tbl_Responses[6 - Type of test],Tbl_Q17_sampling[[#Headers],[Trace elements (DTPA) Cu, Zn, Mg, Fe]],Tbl_Responses[6 - How many cores per paddock],"&gt;""",Tbl_Responses[[Resp_Group]:[Resp_Group]],Agronomist)+COUNTIFS(Tbl_Responses[7 - Type of test],Tbl_Q17_sampling[[#Headers],[Trace elements (DTPA) Cu, Zn, Mg, Fe]],Tbl_Responses[7 - How many cores per paddock],"&gt;""",Tbl_Responses[[Resp_Group]:[Resp_Group]],Agronomist)+COUNTIFS(Tbl_Responses[8 - Type of test],Tbl_Q17_sampling[[#Headers],[Trace elements (DTPA) Cu, Zn, Mg, Fe]],Tbl_Responses[8 - How many cores per paddock],"&gt;""",Tbl_Responses[[Resp_Group]:[Resp_Group]],Agronomist))</f>
        <v>0.1111111111111111</v>
      </c>
      <c r="DM5" s="62">
        <f>(COUNTIFS(Tbl_Responses[1 - Type of test],Tbl_Q17_sampling[[#Headers],[Trace elements (EDTA) Cu, Zn, Mg, Fe]],Tbl_Responses[1 - How many cores per paddock],$DJ5,Tbl_Responses[[Resp_Group]:[Resp_Group]],Agronomist)+COUNTIFS(Tbl_Responses[2 - Type of test],Tbl_Q17_sampling[[#Headers],[Trace elements (EDTA) Cu, Zn, Mg, Fe]],Tbl_Responses[2 - How many cores per paddock],$DJ5,Tbl_Responses[[Resp_Group]:[Resp_Group]],Agronomist)+COUNTIFS(Tbl_Responses[3 - Type of test],Tbl_Q17_sampling[[#Headers],[Trace elements (EDTA) Cu, Zn, Mg, Fe]],Tbl_Responses[3 - How many cores per paddock],$DJ5,Tbl_Responses[[Resp_Group]:[Resp_Group]],Agronomist)+COUNTIFS(Tbl_Responses[4 - Type of test],Tbl_Q17_sampling[[#Headers],[Trace elements (EDTA) Cu, Zn, Mg, Fe]],Tbl_Responses[4 - How many cores per paddock],$DJ5,Tbl_Responses[[Resp_Group]:[Resp_Group]],Agronomist)+COUNTIFS(Tbl_Responses[5 - Type of test],Tbl_Q17_sampling[[#Headers],[Trace elements (EDTA) Cu, Zn, Mg, Fe]],Tbl_Responses[5 - How many cores per paddock],$DJ5,Tbl_Responses[[Resp_Group]:[Resp_Group]],Agronomist)+COUNTIFS(Tbl_Responses[6 - Type of test],Tbl_Q17_sampling[[#Headers],[Trace elements (EDTA) Cu, Zn, Mg, Fe]],Tbl_Responses[6 - How many cores per paddock],$DJ5,Tbl_Responses[[Resp_Group]:[Resp_Group]],Agronomist)+COUNTIFS(Tbl_Responses[7 - Type of test],Tbl_Q17_sampling[[#Headers],[Trace elements (EDTA) Cu, Zn, Mg, Fe]],Tbl_Responses[7 - How many cores per paddock],$DJ5,Tbl_Responses[[Resp_Group]:[Resp_Group]],Agronomist)+COUNTIFS(Tbl_Responses[8 - Type of test],Tbl_Q17_sampling[[#Headers],[Trace elements (EDTA) Cu, Zn, Mg, Fe]],Tbl_Responses[8 - How many cores per paddock],$DJ5,Tbl_Responses[[Resp_Group]:[Resp_Group]],Agronomist))/(COUNTIFS(Tbl_Responses[1 - Type of test],Tbl_Q17_sampling[[#Headers],[Trace elements (EDTA) Cu, Zn, Mg, Fe]],Tbl_Responses[1 - How many cores per paddock],"&gt;""",Tbl_Responses[[Resp_Group]:[Resp_Group]],Agronomist)+COUNTIFS(Tbl_Responses[2 - Type of test],Tbl_Q17_sampling[[#Headers],[Trace elements (EDTA) Cu, Zn, Mg, Fe]],Tbl_Responses[2 - How many cores per paddock],"&gt;""",Tbl_Responses[[Resp_Group]:[Resp_Group]],Agronomist)+COUNTIFS(Tbl_Responses[3 - Type of test],Tbl_Q17_sampling[[#Headers],[Trace elements (EDTA) Cu, Zn, Mg, Fe]],Tbl_Responses[3 - How many cores per paddock],"&gt;""",Tbl_Responses[[Resp_Group]:[Resp_Group]],Agronomist)+COUNTIFS(Tbl_Responses[4 - Type of test],Tbl_Q17_sampling[[#Headers],[Trace elements (EDTA) Cu, Zn, Mg, Fe]],Tbl_Responses[4 - How many cores per paddock],"&gt;""",Tbl_Responses[[Resp_Group]:[Resp_Group]],Agronomist)+COUNTIFS(Tbl_Responses[5 - Type of test],Tbl_Q17_sampling[[#Headers],[Trace elements (EDTA) Cu, Zn, Mg, Fe]],Tbl_Responses[5 - How many cores per paddock],"&gt;""",Tbl_Responses[[Resp_Group]:[Resp_Group]],Agronomist)+COUNTIFS(Tbl_Responses[6 - Type of test],Tbl_Q17_sampling[[#Headers],[Trace elements (EDTA) Cu, Zn, Mg, Fe]],Tbl_Responses[6 - How many cores per paddock],"&gt;""",Tbl_Responses[[Resp_Group]:[Resp_Group]],Agronomist)+COUNTIFS(Tbl_Responses[7 - Type of test],Tbl_Q17_sampling[[#Headers],[Trace elements (EDTA) Cu, Zn, Mg, Fe]],Tbl_Responses[7 - How many cores per paddock],"&gt;""",Tbl_Responses[[Resp_Group]:[Resp_Group]],Agronomist)+COUNTIFS(Tbl_Responses[8 - Type of test],Tbl_Q17_sampling[[#Headers],[Trace elements (EDTA) Cu, Zn, Mg, Fe]],Tbl_Responses[8 - How many cores per paddock],"&gt;""",Tbl_Responses[[Resp_Group]:[Resp_Group]],Agronomist))</f>
        <v>0</v>
      </c>
      <c r="DN5" s="62">
        <f>(COUNTIFS(Tbl_Responses[1 - Type of test],Tbl_Q17_sampling[[#Headers],[Exchangable cations - Ca, Mg, Na, K]],Tbl_Responses[1 - How many cores per paddock],$DJ5,Tbl_Responses[[Resp_Group]:[Resp_Group]],Agronomist)+COUNTIFS(Tbl_Responses[2 - Type of test],Tbl_Q17_sampling[[#Headers],[Exchangable cations - Ca, Mg, Na, K]],Tbl_Responses[2 - How many cores per paddock],$DJ5,Tbl_Responses[[Resp_Group]:[Resp_Group]],Agronomist)+COUNTIFS(Tbl_Responses[3 - Type of test],Tbl_Q17_sampling[[#Headers],[Exchangable cations - Ca, Mg, Na, K]],Tbl_Responses[3 - How many cores per paddock],$DJ5,Tbl_Responses[[Resp_Group]:[Resp_Group]],Agronomist)+COUNTIFS(Tbl_Responses[4 - Type of test],Tbl_Q17_sampling[[#Headers],[Exchangable cations - Ca, Mg, Na, K]],Tbl_Responses[4 - How many cores per paddock],$DJ5,Tbl_Responses[[Resp_Group]:[Resp_Group]],Agronomist)+COUNTIFS(Tbl_Responses[5 - Type of test],Tbl_Q17_sampling[[#Headers],[Exchangable cations - Ca, Mg, Na, K]],Tbl_Responses[5 - How many cores per paddock],$DJ5,Tbl_Responses[[Resp_Group]:[Resp_Group]],Agronomist)+COUNTIFS(Tbl_Responses[6 - Type of test],Tbl_Q17_sampling[[#Headers],[Exchangable cations - Ca, Mg, Na, K]],Tbl_Responses[6 - How many cores per paddock],$DJ5,Tbl_Responses[[Resp_Group]:[Resp_Group]],Agronomist)+COUNTIFS(Tbl_Responses[7 - Type of test],Tbl_Q17_sampling[[#Headers],[Exchangable cations - Ca, Mg, Na, K]],Tbl_Responses[7 - How many cores per paddock],$DJ5,Tbl_Responses[[Resp_Group]:[Resp_Group]],Agronomist)+COUNTIFS(Tbl_Responses[8 - Type of test],Tbl_Q17_sampling[[#Headers],[Exchangable cations - Ca, Mg, Na, K]],Tbl_Responses[8 - How many cores per paddock],$DJ5,Tbl_Responses[[Resp_Group]:[Resp_Group]],Agronomist))/(COUNTIFS(Tbl_Responses[1 - Type of test],Tbl_Q17_sampling[[#Headers],[Exchangable cations - Ca, Mg, Na, K]],Tbl_Responses[1 - How many cores per paddock],"&gt;""",Tbl_Responses[[Resp_Group]:[Resp_Group]],Agronomist)+COUNTIFS(Tbl_Responses[2 - Type of test],Tbl_Q17_sampling[[#Headers],[Exchangable cations - Ca, Mg, Na, K]],Tbl_Responses[2 - How many cores per paddock],"&gt;""",Tbl_Responses[[Resp_Group]:[Resp_Group]],Agronomist)+COUNTIFS(Tbl_Responses[3 - Type of test],Tbl_Q17_sampling[[#Headers],[Exchangable cations - Ca, Mg, Na, K]],Tbl_Responses[3 - How many cores per paddock],"&gt;""",Tbl_Responses[[Resp_Group]:[Resp_Group]],Agronomist)+COUNTIFS(Tbl_Responses[4 - Type of test],Tbl_Q17_sampling[[#Headers],[Exchangable cations - Ca, Mg, Na, K]],Tbl_Responses[4 - How many cores per paddock],"&gt;""",Tbl_Responses[[Resp_Group]:[Resp_Group]],Agronomist)+COUNTIFS(Tbl_Responses[5 - Type of test],Tbl_Q17_sampling[[#Headers],[Exchangable cations - Ca, Mg, Na, K]],Tbl_Responses[5 - How many cores per paddock],"&gt;""",Tbl_Responses[[Resp_Group]:[Resp_Group]],Agronomist)+COUNTIFS(Tbl_Responses[6 - Type of test],Tbl_Q17_sampling[[#Headers],[Exchangable cations - Ca, Mg, Na, K]],Tbl_Responses[6 - How many cores per paddock],"&gt;""",Tbl_Responses[[Resp_Group]:[Resp_Group]],Agronomist)+COUNTIFS(Tbl_Responses[7 - Type of test],Tbl_Q17_sampling[[#Headers],[Exchangable cations - Ca, Mg, Na, K]],Tbl_Responses[7 - How many cores per paddock],"&gt;""",Tbl_Responses[[Resp_Group]:[Resp_Group]],Agronomist)+COUNTIFS(Tbl_Responses[8 - Type of test],Tbl_Q17_sampling[[#Headers],[Exchangable cations - Ca, Mg, Na, K]],Tbl_Responses[8 - How many cores per paddock],"&gt;""",Tbl_Responses[[Resp_Group]:[Resp_Group]],Agronomist))</f>
        <v>0.15625</v>
      </c>
      <c r="DO5" s="62">
        <f>(COUNTIFS(Tbl_Responses[1 - Type of test],Tbl_Q17_sampling[[#Headers],[Texture]],Tbl_Responses[1 - How many cores per paddock],$DJ5,Tbl_Responses[[Resp_Group]:[Resp_Group]],Agronomist)+COUNTIFS(Tbl_Responses[2 - Type of test],Tbl_Q17_sampling[[#Headers],[Texture]],Tbl_Responses[2 - How many cores per paddock],$DJ5,Tbl_Responses[[Resp_Group]:[Resp_Group]],Agronomist)+COUNTIFS(Tbl_Responses[3 - Type of test],Tbl_Q17_sampling[[#Headers],[Texture]],Tbl_Responses[3 - How many cores per paddock],$DJ5,Tbl_Responses[[Resp_Group]:[Resp_Group]],Agronomist)+COUNTIFS(Tbl_Responses[4 - Type of test],Tbl_Q17_sampling[[#Headers],[Texture]],Tbl_Responses[4 - How many cores per paddock],$DJ5,Tbl_Responses[[Resp_Group]:[Resp_Group]],Agronomist)+COUNTIFS(Tbl_Responses[5 - Type of test],Tbl_Q17_sampling[[#Headers],[Texture]],Tbl_Responses[5 - How many cores per paddock],$DJ5,Tbl_Responses[[Resp_Group]:[Resp_Group]],Agronomist)+COUNTIFS(Tbl_Responses[6 - Type of test],Tbl_Q17_sampling[[#Headers],[Texture]],Tbl_Responses[6 - How many cores per paddock],$DJ5,Tbl_Responses[[Resp_Group]:[Resp_Group]],Agronomist)+COUNTIFS(Tbl_Responses[7 - Type of test],Tbl_Q17_sampling[[#Headers],[Texture]],Tbl_Responses[7 - How many cores per paddock],$DJ5,Tbl_Responses[[Resp_Group]:[Resp_Group]],Agronomist)+COUNTIFS(Tbl_Responses[8 - Type of test],Tbl_Q17_sampling[[#Headers],[Texture]],Tbl_Responses[8 - How many cores per paddock],$DJ5,Tbl_Responses[[Resp_Group]:[Resp_Group]],Agronomist))/(COUNTIFS(Tbl_Responses[1 - Type of test],Tbl_Q17_sampling[[#Headers],[Texture]],Tbl_Responses[1 - How many cores per paddock],"&gt;""",Tbl_Responses[[Resp_Group]:[Resp_Group]],Agronomist)+COUNTIFS(Tbl_Responses[2 - Type of test],Tbl_Q17_sampling[[#Headers],[Texture]],Tbl_Responses[2 - How many cores per paddock],"&gt;""",Tbl_Responses[[Resp_Group]:[Resp_Group]],Agronomist)+COUNTIFS(Tbl_Responses[3 - Type of test],Tbl_Q17_sampling[[#Headers],[Texture]],Tbl_Responses[3 - How many cores per paddock],"&gt;""",Tbl_Responses[[Resp_Group]:[Resp_Group]],Agronomist)+COUNTIFS(Tbl_Responses[4 - Type of test],Tbl_Q17_sampling[[#Headers],[Texture]],Tbl_Responses[4 - How many cores per paddock],"&gt;""",Tbl_Responses[[Resp_Group]:[Resp_Group]],Agronomist)+COUNTIFS(Tbl_Responses[5 - Type of test],Tbl_Q17_sampling[[#Headers],[Texture]],Tbl_Responses[5 - How many cores per paddock],"&gt;""",Tbl_Responses[[Resp_Group]:[Resp_Group]],Agronomist)+COUNTIFS(Tbl_Responses[6 - Type of test],Tbl_Q17_sampling[[#Headers],[Texture]],Tbl_Responses[6 - How many cores per paddock],"&gt;""",Tbl_Responses[[Resp_Group]:[Resp_Group]],Agronomist)+COUNTIFS(Tbl_Responses[7 - Type of test],Tbl_Q17_sampling[[#Headers],[Texture]],Tbl_Responses[7 - How many cores per paddock],"&gt;""",Tbl_Responses[[Resp_Group]:[Resp_Group]],Agronomist)+COUNTIFS(Tbl_Responses[8 - Type of test],Tbl_Q17_sampling[[#Headers],[Texture]],Tbl_Responses[8 - How many cores per paddock],"&gt;""",Tbl_Responses[[Resp_Group]:[Resp_Group]],Agronomist))</f>
        <v>0.16666666666666666</v>
      </c>
      <c r="DP5" s="62">
        <f>(COUNTIFS(Tbl_Responses[1 - Type of test],Tbl_Q17_sampling[[#Headers],[Aluminium (CaCl2)]],Tbl_Responses[1 - How many cores per paddock],$DJ5,Tbl_Responses[[Resp_Group]:[Resp_Group]],Agronomist)+COUNTIFS(Tbl_Responses[2 - Type of test],Tbl_Q17_sampling[[#Headers],[Aluminium (CaCl2)]],Tbl_Responses[2 - How many cores per paddock],$DJ5,Tbl_Responses[[Resp_Group]:[Resp_Group]],Agronomist)+COUNTIFS(Tbl_Responses[3 - Type of test],Tbl_Q17_sampling[[#Headers],[Aluminium (CaCl2)]],Tbl_Responses[3 - How many cores per paddock],$DJ5,Tbl_Responses[[Resp_Group]:[Resp_Group]],Agronomist)+COUNTIFS(Tbl_Responses[4 - Type of test],Tbl_Q17_sampling[[#Headers],[Aluminium (CaCl2)]],Tbl_Responses[4 - How many cores per paddock],$DJ5,Tbl_Responses[[Resp_Group]:[Resp_Group]],Agronomist)+COUNTIFS(Tbl_Responses[5 - Type of test],Tbl_Q17_sampling[[#Headers],[Aluminium (CaCl2)]],Tbl_Responses[5 - How many cores per paddock],$DJ5,Tbl_Responses[[Resp_Group]:[Resp_Group]],Agronomist)+COUNTIFS(Tbl_Responses[6 - Type of test],Tbl_Q17_sampling[[#Headers],[Aluminium (CaCl2)]],Tbl_Responses[6 - How many cores per paddock],$DJ5,Tbl_Responses[[Resp_Group]:[Resp_Group]],Agronomist)+COUNTIFS(Tbl_Responses[7 - Type of test],Tbl_Q17_sampling[[#Headers],[Aluminium (CaCl2)]],Tbl_Responses[7 - How many cores per paddock],$DJ5,Tbl_Responses[[Resp_Group]:[Resp_Group]],Agronomist)+COUNTIFS(Tbl_Responses[8 - Type of test],Tbl_Q17_sampling[[#Headers],[Aluminium (CaCl2)]],Tbl_Responses[8 - How many cores per paddock],$DJ5,Tbl_Responses[[Resp_Group]:[Resp_Group]],Agronomist))/(COUNTIFS(Tbl_Responses[1 - Type of test],Tbl_Q17_sampling[[#Headers],[Aluminium (CaCl2)]],Tbl_Responses[1 - How many cores per paddock],"&gt;""",Tbl_Responses[[Resp_Group]:[Resp_Group]],Agronomist)+COUNTIFS(Tbl_Responses[2 - Type of test],Tbl_Q17_sampling[[#Headers],[Aluminium (CaCl2)]],Tbl_Responses[2 - How many cores per paddock],"&gt;""",Tbl_Responses[[Resp_Group]:[Resp_Group]],Agronomist)+COUNTIFS(Tbl_Responses[3 - Type of test],Tbl_Q17_sampling[[#Headers],[Aluminium (CaCl2)]],Tbl_Responses[3 - How many cores per paddock],"&gt;""",Tbl_Responses[[Resp_Group]:[Resp_Group]],Agronomist)+COUNTIFS(Tbl_Responses[4 - Type of test],Tbl_Q17_sampling[[#Headers],[Aluminium (CaCl2)]],Tbl_Responses[4 - How many cores per paddock],"&gt;""",Tbl_Responses[[Resp_Group]:[Resp_Group]],Agronomist)+COUNTIFS(Tbl_Responses[5 - Type of test],Tbl_Q17_sampling[[#Headers],[Aluminium (CaCl2)]],Tbl_Responses[5 - How many cores per paddock],"&gt;""",Tbl_Responses[[Resp_Group]:[Resp_Group]],Agronomist)+COUNTIFS(Tbl_Responses[6 - Type of test],Tbl_Q17_sampling[[#Headers],[Aluminium (CaCl2)]],Tbl_Responses[6 - How many cores per paddock],"&gt;""",Tbl_Responses[[Resp_Group]:[Resp_Group]],Agronomist)+COUNTIFS(Tbl_Responses[7 - Type of test],Tbl_Q17_sampling[[#Headers],[Aluminium (CaCl2)]],Tbl_Responses[7 - How many cores per paddock],"&gt;""",Tbl_Responses[[Resp_Group]:[Resp_Group]],Agronomist)+COUNTIFS(Tbl_Responses[8 - Type of test],Tbl_Q17_sampling[[#Headers],[Aluminium (CaCl2)]],Tbl_Responses[8 - How many cores per paddock],"&gt;""",Tbl_Responses[[Resp_Group]:[Resp_Group]],Agronomist))</f>
        <v>0.16129032258064516</v>
      </c>
      <c r="DQ5" s="62">
        <f>(COUNTIFS(Tbl_Responses[1 - Type of test],Tbl_Q17_sampling[[#Headers],[Chloride]],Tbl_Responses[1 - How many cores per paddock],$DJ5,Tbl_Responses[[Resp_Group]:[Resp_Group]],Agronomist)+COUNTIFS(Tbl_Responses[2 - Type of test],Tbl_Q17_sampling[[#Headers],[Chloride]],Tbl_Responses[2 - How many cores per paddock],$DJ5,Tbl_Responses[[Resp_Group]:[Resp_Group]],Agronomist)+COUNTIFS(Tbl_Responses[3 - Type of test],Tbl_Q17_sampling[[#Headers],[Chloride]],Tbl_Responses[3 - How many cores per paddock],$DJ5,Tbl_Responses[[Resp_Group]:[Resp_Group]],Agronomist)+COUNTIFS(Tbl_Responses[4 - Type of test],Tbl_Q17_sampling[[#Headers],[Chloride]],Tbl_Responses[4 - How many cores per paddock],$DJ5,Tbl_Responses[[Resp_Group]:[Resp_Group]],Agronomist)+COUNTIFS(Tbl_Responses[5 - Type of test],Tbl_Q17_sampling[[#Headers],[Chloride]],Tbl_Responses[5 - How many cores per paddock],$DJ5,Tbl_Responses[[Resp_Group]:[Resp_Group]],Agronomist)+COUNTIFS(Tbl_Responses[6 - Type of test],Tbl_Q17_sampling[[#Headers],[Chloride]],Tbl_Responses[6 - How many cores per paddock],$DJ5,Tbl_Responses[[Resp_Group]:[Resp_Group]],Agronomist)+COUNTIFS(Tbl_Responses[7 - Type of test],Tbl_Q17_sampling[[#Headers],[Chloride]],Tbl_Responses[7 - How many cores per paddock],$DJ5,Tbl_Responses[[Resp_Group]:[Resp_Group]],Agronomist)+COUNTIFS(Tbl_Responses[8 - Type of test],Tbl_Q17_sampling[[#Headers],[Chloride]],Tbl_Responses[8 - How many cores per paddock],$DJ5,Tbl_Responses[[Resp_Group]:[Resp_Group]],Agronomist))/(COUNTIFS(Tbl_Responses[1 - Type of test],Tbl_Q17_sampling[[#Headers],[Chloride]],Tbl_Responses[1 - How many cores per paddock],"&gt;""",Tbl_Responses[[Resp_Group]:[Resp_Group]],Agronomist)+COUNTIFS(Tbl_Responses[2 - Type of test],Tbl_Q17_sampling[[#Headers],[Chloride]],Tbl_Responses[2 - How many cores per paddock],"&gt;""",Tbl_Responses[[Resp_Group]:[Resp_Group]],Agronomist)+COUNTIFS(Tbl_Responses[3 - Type of test],Tbl_Q17_sampling[[#Headers],[Chloride]],Tbl_Responses[3 - How many cores per paddock],"&gt;""",Tbl_Responses[[Resp_Group]:[Resp_Group]],Agronomist)+COUNTIFS(Tbl_Responses[4 - Type of test],Tbl_Q17_sampling[[#Headers],[Chloride]],Tbl_Responses[4 - How many cores per paddock],"&gt;""",Tbl_Responses[[Resp_Group]:[Resp_Group]],Agronomist)+COUNTIFS(Tbl_Responses[5 - Type of test],Tbl_Q17_sampling[[#Headers],[Chloride]],Tbl_Responses[5 - How many cores per paddock],"&gt;""",Tbl_Responses[[Resp_Group]:[Resp_Group]],Agronomist)+COUNTIFS(Tbl_Responses[6 - Type of test],Tbl_Q17_sampling[[#Headers],[Chloride]],Tbl_Responses[6 - How many cores per paddock],"&gt;""",Tbl_Responses[[Resp_Group]:[Resp_Group]],Agronomist)+COUNTIFS(Tbl_Responses[7 - Type of test],Tbl_Q17_sampling[[#Headers],[Chloride]],Tbl_Responses[7 - How many cores per paddock],"&gt;""",Tbl_Responses[[Resp_Group]:[Resp_Group]],Agronomist)+COUNTIFS(Tbl_Responses[8 - Type of test],Tbl_Q17_sampling[[#Headers],[Chloride]],Tbl_Responses[8 - How many cores per paddock],"&gt;""",Tbl_Responses[[Resp_Group]:[Resp_Group]],Agronomist))</f>
        <v>0.1875</v>
      </c>
      <c r="DR5" s="62">
        <f>(COUNTIFS(Tbl_Responses[1 - Type of test],Tbl_Q17_sampling[[#Headers],[Boron]],Tbl_Responses[1 - How many cores per paddock],$DJ5,Tbl_Responses[[Resp_Group]:[Resp_Group]],Agronomist)+COUNTIFS(Tbl_Responses[2 - Type of test],Tbl_Q17_sampling[[#Headers],[Boron]],Tbl_Responses[2 - How many cores per paddock],$DJ5,Tbl_Responses[[Resp_Group]:[Resp_Group]],Agronomist)+COUNTIFS(Tbl_Responses[3 - Type of test],Tbl_Q17_sampling[[#Headers],[Boron]],Tbl_Responses[3 - How many cores per paddock],$DJ5,Tbl_Responses[[Resp_Group]:[Resp_Group]],Agronomist)+COUNTIFS(Tbl_Responses[4 - Type of test],Tbl_Q17_sampling[[#Headers],[Boron]],Tbl_Responses[4 - How many cores per paddock],$DJ5,Tbl_Responses[[Resp_Group]:[Resp_Group]],Agronomist)+COUNTIFS(Tbl_Responses[5 - Type of test],Tbl_Q17_sampling[[#Headers],[Boron]],Tbl_Responses[5 - How many cores per paddock],$DJ5,Tbl_Responses[[Resp_Group]:[Resp_Group]],Agronomist)+COUNTIFS(Tbl_Responses[6 - Type of test],Tbl_Q17_sampling[[#Headers],[Boron]],Tbl_Responses[6 - How many cores per paddock],$DJ5,Tbl_Responses[[Resp_Group]:[Resp_Group]],Agronomist)+COUNTIFS(Tbl_Responses[7 - Type of test],Tbl_Q17_sampling[[#Headers],[Boron]],Tbl_Responses[7 - How many cores per paddock],$DJ5,Tbl_Responses[[Resp_Group]:[Resp_Group]],Agronomist)+COUNTIFS(Tbl_Responses[8 - Type of test],Tbl_Q17_sampling[[#Headers],[Boron]],Tbl_Responses[8 - How many cores per paddock],$DJ5,Tbl_Responses[[Resp_Group]:[Resp_Group]],Agronomist))/(COUNTIFS(Tbl_Responses[1 - Type of test],Tbl_Q17_sampling[[#Headers],[Boron]],Tbl_Responses[1 - How many cores per paddock],"&gt;""",Tbl_Responses[[Resp_Group]:[Resp_Group]],Agronomist)+COUNTIFS(Tbl_Responses[2 - Type of test],Tbl_Q17_sampling[[#Headers],[Boron]],Tbl_Responses[2 - How many cores per paddock],"&gt;""",Tbl_Responses[[Resp_Group]:[Resp_Group]],Agronomist)+COUNTIFS(Tbl_Responses[3 - Type of test],Tbl_Q17_sampling[[#Headers],[Boron]],Tbl_Responses[3 - How many cores per paddock],"&gt;""",Tbl_Responses[[Resp_Group]:[Resp_Group]],Agronomist)+COUNTIFS(Tbl_Responses[4 - Type of test],Tbl_Q17_sampling[[#Headers],[Boron]],Tbl_Responses[4 - How many cores per paddock],"&gt;""",Tbl_Responses[[Resp_Group]:[Resp_Group]],Agronomist)+COUNTIFS(Tbl_Responses[5 - Type of test],Tbl_Q17_sampling[[#Headers],[Boron]],Tbl_Responses[5 - How many cores per paddock],"&gt;""",Tbl_Responses[[Resp_Group]:[Resp_Group]],Agronomist)+COUNTIFS(Tbl_Responses[6 - Type of test],Tbl_Q17_sampling[[#Headers],[Boron]],Tbl_Responses[6 - How many cores per paddock],"&gt;""",Tbl_Responses[[Resp_Group]:[Resp_Group]],Agronomist)+COUNTIFS(Tbl_Responses[7 - Type of test],Tbl_Q17_sampling[[#Headers],[Boron]],Tbl_Responses[7 - How many cores per paddock],"&gt;""",Tbl_Responses[[Resp_Group]:[Resp_Group]],Agronomist)+COUNTIFS(Tbl_Responses[8 - Type of test],Tbl_Q17_sampling[[#Headers],[Boron]],Tbl_Responses[8 - How many cores per paddock],"&gt;""",Tbl_Responses[[Resp_Group]:[Resp_Group]],Agronomist))</f>
        <v>0.16129032258064516</v>
      </c>
      <c r="DS5" s="62">
        <f>(COUNTIFS(Tbl_Responses[1 - Type of test],Tbl_Q17_sampling[[#Headers],[Sulfur (KCl40)]],Tbl_Responses[1 - How many cores per paddock],$DJ5,Tbl_Responses[[Resp_Group]:[Resp_Group]],Agronomist)+COUNTIFS(Tbl_Responses[2 - Type of test],Tbl_Q17_sampling[[#Headers],[Sulfur (KCl40)]],Tbl_Responses[2 - How many cores per paddock],$DJ5,Tbl_Responses[[Resp_Group]:[Resp_Group]],Agronomist)+COUNTIFS(Tbl_Responses[3 - Type of test],Tbl_Q17_sampling[[#Headers],[Sulfur (KCl40)]],Tbl_Responses[3 - How many cores per paddock],$DJ5,Tbl_Responses[[Resp_Group]:[Resp_Group]],Agronomist)+COUNTIFS(Tbl_Responses[4 - Type of test],Tbl_Q17_sampling[[#Headers],[Sulfur (KCl40)]],Tbl_Responses[4 - How many cores per paddock],$DJ5,Tbl_Responses[[Resp_Group]:[Resp_Group]],Agronomist)+COUNTIFS(Tbl_Responses[5 - Type of test],Tbl_Q17_sampling[[#Headers],[Sulfur (KCl40)]],Tbl_Responses[5 - How many cores per paddock],$DJ5,Tbl_Responses[[Resp_Group]:[Resp_Group]],Agronomist)+COUNTIFS(Tbl_Responses[6 - Type of test],Tbl_Q17_sampling[[#Headers],[Sulfur (KCl40)]],Tbl_Responses[6 - How many cores per paddock],$DJ5,Tbl_Responses[[Resp_Group]:[Resp_Group]],Agronomist)+COUNTIFS(Tbl_Responses[7 - Type of test],Tbl_Q17_sampling[[#Headers],[Sulfur (KCl40)]],Tbl_Responses[7 - How many cores per paddock],$DJ5,Tbl_Responses[[Resp_Group]:[Resp_Group]],Agronomist)+COUNTIFS(Tbl_Responses[8 - Type of test],Tbl_Q17_sampling[[#Headers],[Sulfur (KCl40)]],Tbl_Responses[8 - How many cores per paddock],$DJ5,Tbl_Responses[[Resp_Group]:[Resp_Group]],Agronomist))/(COUNTIFS(Tbl_Responses[1 - Type of test],Tbl_Q17_sampling[[#Headers],[Sulfur (KCl40)]],Tbl_Responses[1 - How many cores per paddock],"&gt;""",Tbl_Responses[[Resp_Group]:[Resp_Group]],Agronomist)+COUNTIFS(Tbl_Responses[2 - Type of test],Tbl_Q17_sampling[[#Headers],[Sulfur (KCl40)]],Tbl_Responses[2 - How many cores per paddock],"&gt;""",Tbl_Responses[[Resp_Group]:[Resp_Group]],Agronomist)+COUNTIFS(Tbl_Responses[3 - Type of test],Tbl_Q17_sampling[[#Headers],[Sulfur (KCl40)]],Tbl_Responses[3 - How many cores per paddock],"&gt;""",Tbl_Responses[[Resp_Group]:[Resp_Group]],Agronomist)+COUNTIFS(Tbl_Responses[4 - Type of test],Tbl_Q17_sampling[[#Headers],[Sulfur (KCl40)]],Tbl_Responses[4 - How many cores per paddock],"&gt;""",Tbl_Responses[[Resp_Group]:[Resp_Group]],Agronomist)+COUNTIFS(Tbl_Responses[5 - Type of test],Tbl_Q17_sampling[[#Headers],[Sulfur (KCl40)]],Tbl_Responses[5 - How many cores per paddock],"&gt;""",Tbl_Responses[[Resp_Group]:[Resp_Group]],Agronomist)+COUNTIFS(Tbl_Responses[6 - Type of test],Tbl_Q17_sampling[[#Headers],[Sulfur (KCl40)]],Tbl_Responses[6 - How many cores per paddock],"&gt;""",Tbl_Responses[[Resp_Group]:[Resp_Group]],Agronomist)+COUNTIFS(Tbl_Responses[7 - Type of test],Tbl_Q17_sampling[[#Headers],[Sulfur (KCl40)]],Tbl_Responses[7 - How many cores per paddock],"&gt;""",Tbl_Responses[[Resp_Group]:[Resp_Group]],Agronomist)+COUNTIFS(Tbl_Responses[8 - Type of test],Tbl_Q17_sampling[[#Headers],[Sulfur (KCl40)]],Tbl_Responses[8 - How many cores per paddock],"&gt;""",Tbl_Responses[[Resp_Group]:[Resp_Group]],Agronomist))</f>
        <v>0.21875</v>
      </c>
      <c r="DT5" s="62">
        <f>(COUNTIFS(Tbl_Responses[1 - Type of test],Tbl_Q17_sampling[[#Headers],[Calcium carbonate %]],Tbl_Responses[1 - How many cores per paddock],$DJ5,Tbl_Responses[[Resp_Group]:[Resp_Group]],Agronomist)+COUNTIFS(Tbl_Responses[2 - Type of test],Tbl_Q17_sampling[[#Headers],[Calcium carbonate %]],Tbl_Responses[2 - How many cores per paddock],$DJ5,Tbl_Responses[[Resp_Group]:[Resp_Group]],Agronomist)+COUNTIFS(Tbl_Responses[3 - Type of test],Tbl_Q17_sampling[[#Headers],[Calcium carbonate %]],Tbl_Responses[3 - How many cores per paddock],$DJ5,Tbl_Responses[[Resp_Group]:[Resp_Group]],Agronomist)+COUNTIFS(Tbl_Responses[4 - Type of test],Tbl_Q17_sampling[[#Headers],[Calcium carbonate %]],Tbl_Responses[4 - How many cores per paddock],$DJ5,Tbl_Responses[[Resp_Group]:[Resp_Group]],Agronomist)+COUNTIFS(Tbl_Responses[5 - Type of test],Tbl_Q17_sampling[[#Headers],[Calcium carbonate %]],Tbl_Responses[5 - How many cores per paddock],$DJ5,Tbl_Responses[[Resp_Group]:[Resp_Group]],Agronomist)+COUNTIFS(Tbl_Responses[6 - Type of test],Tbl_Q17_sampling[[#Headers],[Calcium carbonate %]],Tbl_Responses[6 - How many cores per paddock],$DJ5,Tbl_Responses[[Resp_Group]:[Resp_Group]],Agronomist)+COUNTIFS(Tbl_Responses[7 - Type of test],Tbl_Q17_sampling[[#Headers],[Calcium carbonate %]],Tbl_Responses[7 - How many cores per paddock],$DJ5,Tbl_Responses[[Resp_Group]:[Resp_Group]],Agronomist)+COUNTIFS(Tbl_Responses[8 - Type of test],Tbl_Q17_sampling[[#Headers],[Calcium carbonate %]],Tbl_Responses[8 - How many cores per paddock],$DJ5,Tbl_Responses[[Resp_Group]:[Resp_Group]],Agronomist))/(COUNTIFS(Tbl_Responses[1 - Type of test],Tbl_Q17_sampling[[#Headers],[Calcium carbonate %]],Tbl_Responses[1 - How many cores per paddock],"&gt;""",Tbl_Responses[[Resp_Group]:[Resp_Group]],Agronomist)+COUNTIFS(Tbl_Responses[2 - Type of test],Tbl_Q17_sampling[[#Headers],[Calcium carbonate %]],Tbl_Responses[2 - How many cores per paddock],"&gt;""",Tbl_Responses[[Resp_Group]:[Resp_Group]],Agronomist)+COUNTIFS(Tbl_Responses[3 - Type of test],Tbl_Q17_sampling[[#Headers],[Calcium carbonate %]],Tbl_Responses[3 - How many cores per paddock],"&gt;""",Tbl_Responses[[Resp_Group]:[Resp_Group]],Agronomist)+COUNTIFS(Tbl_Responses[4 - Type of test],Tbl_Q17_sampling[[#Headers],[Calcium carbonate %]],Tbl_Responses[4 - How many cores per paddock],"&gt;""",Tbl_Responses[[Resp_Group]:[Resp_Group]],Agronomist)+COUNTIFS(Tbl_Responses[5 - Type of test],Tbl_Q17_sampling[[#Headers],[Calcium carbonate %]],Tbl_Responses[5 - How many cores per paddock],"&gt;""",Tbl_Responses[[Resp_Group]:[Resp_Group]],Agronomist)+COUNTIFS(Tbl_Responses[6 - Type of test],Tbl_Q17_sampling[[#Headers],[Calcium carbonate %]],Tbl_Responses[6 - How many cores per paddock],"&gt;""",Tbl_Responses[[Resp_Group]:[Resp_Group]],Agronomist)+COUNTIFS(Tbl_Responses[7 - Type of test],Tbl_Q17_sampling[[#Headers],[Calcium carbonate %]],Tbl_Responses[7 - How many cores per paddock],"&gt;""",Tbl_Responses[[Resp_Group]:[Resp_Group]],Agronomist)+COUNTIFS(Tbl_Responses[8 - Type of test],Tbl_Q17_sampling[[#Headers],[Calcium carbonate %]],Tbl_Responses[8 - How many cores per paddock],"&gt;""",Tbl_Responses[[Resp_Group]:[Resp_Group]],Agronomist))</f>
        <v>9.5238095238095233E-2</v>
      </c>
      <c r="DU5" s="62">
        <f>(COUNTIFS(Tbl_Responses[1 - Type of test],Tbl_Q17_sampling[[#Headers],[Sulfur (MCP)]],Tbl_Responses[1 - How many cores per paddock],$DJ5,Tbl_Responses[[Resp_Group]:[Resp_Group]],Agronomist)+COUNTIFS(Tbl_Responses[2 - Type of test],Tbl_Q17_sampling[[#Headers],[Sulfur (MCP)]],Tbl_Responses[2 - How many cores per paddock],$DJ5,Tbl_Responses[[Resp_Group]:[Resp_Group]],Agronomist)+COUNTIFS(Tbl_Responses[3 - Type of test],Tbl_Q17_sampling[[#Headers],[Sulfur (MCP)]],Tbl_Responses[3 - How many cores per paddock],$DJ5,Tbl_Responses[[Resp_Group]:[Resp_Group]],Agronomist)+COUNTIFS(Tbl_Responses[4 - Type of test],Tbl_Q17_sampling[[#Headers],[Sulfur (MCP)]],Tbl_Responses[4 - How many cores per paddock],$DJ5,Tbl_Responses[[Resp_Group]:[Resp_Group]],Agronomist)+COUNTIFS(Tbl_Responses[5 - Type of test],Tbl_Q17_sampling[[#Headers],[Sulfur (MCP)]],Tbl_Responses[5 - How many cores per paddock],$DJ5,Tbl_Responses[[Resp_Group]:[Resp_Group]],Agronomist)+COUNTIFS(Tbl_Responses[6 - Type of test],Tbl_Q17_sampling[[#Headers],[Sulfur (MCP)]],Tbl_Responses[6 - How many cores per paddock],$DJ5,Tbl_Responses[[Resp_Group]:[Resp_Group]],Agronomist)+COUNTIFS(Tbl_Responses[7 - Type of test],Tbl_Q17_sampling[[#Headers],[Sulfur (MCP)]],Tbl_Responses[7 - How many cores per paddock],$DJ5,Tbl_Responses[[Resp_Group]:[Resp_Group]],Agronomist)+COUNTIFS(Tbl_Responses[8 - Type of test],Tbl_Q17_sampling[[#Headers],[Sulfur (MCP)]],Tbl_Responses[8 - How many cores per paddock],$DJ5,Tbl_Responses[[Resp_Group]:[Resp_Group]],Agronomist))/(COUNTIFS(Tbl_Responses[1 - Type of test],Tbl_Q17_sampling[[#Headers],[Sulfur (MCP)]],Tbl_Responses[1 - How many cores per paddock],"&gt;""",Tbl_Responses[[Resp_Group]:[Resp_Group]],Agronomist)+COUNTIFS(Tbl_Responses[2 - Type of test],Tbl_Q17_sampling[[#Headers],[Sulfur (MCP)]],Tbl_Responses[2 - How many cores per paddock],"&gt;""",Tbl_Responses[[Resp_Group]:[Resp_Group]],Agronomist)+COUNTIFS(Tbl_Responses[3 - Type of test],Tbl_Q17_sampling[[#Headers],[Sulfur (MCP)]],Tbl_Responses[3 - How many cores per paddock],"&gt;""",Tbl_Responses[[Resp_Group]:[Resp_Group]],Agronomist)+COUNTIFS(Tbl_Responses[4 - Type of test],Tbl_Q17_sampling[[#Headers],[Sulfur (MCP)]],Tbl_Responses[4 - How many cores per paddock],"&gt;""",Tbl_Responses[[Resp_Group]:[Resp_Group]],Agronomist)+COUNTIFS(Tbl_Responses[5 - Type of test],Tbl_Q17_sampling[[#Headers],[Sulfur (MCP)]],Tbl_Responses[5 - How many cores per paddock],"&gt;""",Tbl_Responses[[Resp_Group]:[Resp_Group]],Agronomist)+COUNTIFS(Tbl_Responses[6 - Type of test],Tbl_Q17_sampling[[#Headers],[Sulfur (MCP)]],Tbl_Responses[6 - How many cores per paddock],"&gt;""",Tbl_Responses[[Resp_Group]:[Resp_Group]],Agronomist)+COUNTIFS(Tbl_Responses[7 - Type of test],Tbl_Q17_sampling[[#Headers],[Sulfur (MCP)]],Tbl_Responses[7 - How many cores per paddock],"&gt;""",Tbl_Responses[[Resp_Group]:[Resp_Group]],Agronomist)+COUNTIFS(Tbl_Responses[8 - Type of test],Tbl_Q17_sampling[[#Headers],[Sulfur (MCP)]],Tbl_Responses[8 - How many cores per paddock],"&gt;""",Tbl_Responses[[Resp_Group]:[Resp_Group]],Agronomist))</f>
        <v>0.33333333333333331</v>
      </c>
      <c r="DV5" s="82">
        <f>(COUNTIFS(Tbl_Responses[1 - How many cores per paddock],$DJ5,Tbl_Responses[[Resp_Group]:[Resp_Group]],Agronomist)+COUNTIFS(Tbl_Responses[2 - How many cores per paddock],$DJ5,Tbl_Responses[[Resp_Group]:[Resp_Group]],Agronomist)+COUNTIFS(Tbl_Responses[3 - How many cores per paddock],$DJ5,Tbl_Responses[[Resp_Group]:[Resp_Group]],Agronomist)+COUNTIFS(Tbl_Responses[4 - How many cores per paddock],$DJ5,Tbl_Responses[[Resp_Group]:[Resp_Group]],Agronomist)+COUNTIFS(Tbl_Responses[5 - How many cores per paddock],$DJ5,Tbl_Responses[[Resp_Group]:[Resp_Group]],Agronomist)+COUNTIFS(Tbl_Responses[6 - How many cores per paddock],$DJ5,Tbl_Responses[[Resp_Group]:[Resp_Group]],Agronomist)+COUNTIFS(Tbl_Responses[7 - How many cores per paddock],$DJ5,Tbl_Responses[[Resp_Group]:[Resp_Group]],Agronomist))/(COUNTIFS(Tbl_Responses[1 - How many cores per paddock],"&gt;""",Tbl_Responses[[Resp_Group]:[Resp_Group]],Agronomist)+COUNTIFS(Tbl_Responses[2 - How many cores per paddock],"&gt;""",Tbl_Responses[[Resp_Group]:[Resp_Group]],Agronomist)+COUNTIFS(Tbl_Responses[3 - How many cores per paddock],"&gt;""",Tbl_Responses[[Resp_Group]:[Resp_Group]],Agronomist)+COUNTIFS(Tbl_Responses[4 - How many cores per paddock],"&gt;""",Tbl_Responses[[Resp_Group]:[Resp_Group]],Agronomist)+COUNTIFS(Tbl_Responses[5 - How many cores per paddock],"&gt;""",Tbl_Responses[[Resp_Group]:[Resp_Group]],Agronomist)+COUNTIFS(Tbl_Responses[6 - How many cores per paddock],"&gt;""",Tbl_Responses[[Resp_Group]:[Resp_Group]],Agronomist)+COUNTIFS(Tbl_Responses[7 - How many cores per paddock],"&gt;""",Tbl_Responses[[Resp_Group]:[Resp_Group]],Agronomist))</f>
        <v>0.14901960784313725</v>
      </c>
      <c r="EC5" t="s">
        <v>111</v>
      </c>
      <c r="ED5" s="3">
        <f>COUNTIFS(Tbl_Responses[The time required for soil sampling],$EC5,Tbl_Responses[[Resp_Group]:[Resp_Group]],Agronomist)</f>
        <v>31</v>
      </c>
      <c r="EE5" s="4">
        <f>Tbl_19[[#This Row],[No. Responses]]/SUM(Tbl_19[No. Responses])</f>
        <v>0.32978723404255317</v>
      </c>
      <c r="EH5" t="s">
        <v>111</v>
      </c>
      <c r="EI5" s="3">
        <f>COUNTIFS(Tbl_Responses[The time required for soil samplingP],$EC5,Tbl_Responses[[Resp_Group]:[Resp_Group]],Agronomist)</f>
        <v>30</v>
      </c>
      <c r="EJ5" s="4">
        <f>Tbl_Q20[[#This Row],[No. Responses]]/SUM(Tbl_Q20[No. Responses])</f>
        <v>0.32608695652173914</v>
      </c>
      <c r="EM5" t="s">
        <v>119</v>
      </c>
      <c r="EN5" s="3">
        <f>COUNTIFS(Tbl_Responses[[Uncertainty about how the season will turn out makes it hard to get value from soil testing results]:[Uncertainty about how the season will turn out makes it hard to get value from soil testing results]],Tbl_Q21[[#Headers],[Disagree]],Tbl_Responses[[Resp_Group]:[Resp_Group]],Agronomist)</f>
        <v>35</v>
      </c>
      <c r="EO5" s="3">
        <f>COUNTIFS(Tbl_Responses[[Uncertainty about how the season will turn out makes it hard to get value from soil testing results]:[Uncertainty about how the season will turn out makes it hard to get value from soil testing results]],Tbl_Q21[[#Headers],[Neutral]],Tbl_Responses[[Resp_Group]:[Resp_Group]],Agronomist)</f>
        <v>9</v>
      </c>
      <c r="EP5" s="3">
        <f>COUNTIFS(Tbl_Responses[[Uncertainty about how the season will turn out makes it hard to get value from soil testing results]:[Uncertainty about how the season will turn out makes it hard to get value from soil testing results]],Tbl_Q21[[#Headers],[Agree]],Tbl_Responses[[Resp_Group]:[Resp_Group]],Agronomist)</f>
        <v>13</v>
      </c>
      <c r="EQ5" s="3">
        <f>COUNTIFS(Tbl_Responses[[Uncertainty about how the season will turn out makes it hard to get value from soil testing results]:[Uncertainty about how the season will turn out makes it hard to get value from soil testing results]],Tbl_Q21[[#Headers],[Strongly Agree]],Tbl_Responses[[Resp_Group]:[Resp_Group]],Agronomist)</f>
        <v>3</v>
      </c>
      <c r="ET5" t="s">
        <v>201</v>
      </c>
      <c r="EU5" s="3">
        <f>COUNTIFS(Tbl_Responses[Soil testing annual spend],$ET5,Tbl_Responses[[Resp_Group]:[Resp_Group]],Agronomist)</f>
        <v>57</v>
      </c>
      <c r="EV5" s="4">
        <f>Tbl_Q22[[#This Row],[No. Respondants]]/SUM(Tbl_Q22[No. Respondants])</f>
        <v>0.91935483870967738</v>
      </c>
      <c r="EY5" t="s">
        <v>202</v>
      </c>
      <c r="EZ5" s="3">
        <f>COUNTIFS(Tbl_Responses[5 year change in testing],$EY5,Tbl_Responses[[Resp_Group]:[Resp_Group]],Agronomist)</f>
        <v>26</v>
      </c>
      <c r="FA5" s="4">
        <f>Tbl_Q23[[#This Row],[No. Respondants]]/SUM(Tbl_Q23[No. Respondants])</f>
        <v>0.42622950819672129</v>
      </c>
      <c r="FD5" t="s">
        <v>203</v>
      </c>
      <c r="FE5" s="3">
        <f>COUNTIFS(Tbl_Responses[5 year future testing plan],$FD5,Tbl_Responses[[Resp_Group]:[Resp_Group]],Agronomist)</f>
        <v>24</v>
      </c>
      <c r="FF5" s="4">
        <f>Tbl_Q24[[#This Row],[No. Respondants]]/SUM(Tbl_Q24[No. Respondants])</f>
        <v>0.38709677419354838</v>
      </c>
      <c r="FN5" s="87" t="s">
        <v>123</v>
      </c>
      <c r="FO5" s="3">
        <f>COUNTIFS(Tbl_Responses[The time required for sampling_Plant],$FN5,Tbl_Responses[[Resp_Group]:[Resp_Group]],Agronomist)</f>
        <v>26</v>
      </c>
      <c r="FP5" s="4">
        <f>Tbl_Q26[[#This Row],[No. Respondants]]/SUM(Tbl_Q26[No. Respondants])</f>
        <v>0.31707317073170732</v>
      </c>
      <c r="FS5" s="87" t="s">
        <v>129</v>
      </c>
      <c r="FT5" s="88">
        <f>COUNTIFS(Tbl_Responses[[Uncertainty about how the season will turn out makes it hard to get value from plant testing results]:[Uncertainty about how the season will turn out makes it hard to get value from plant testing results]],Tbl_Q27[[#Headers],[Disagree]],Tbl_Responses[[Resp_Group]:[Resp_Group]],Agronomist)</f>
        <v>29</v>
      </c>
      <c r="FU5" s="88">
        <f>COUNTIFS(Tbl_Responses[[Uncertainty about how the season will turn out makes it hard to get value from plant testing results]:[Uncertainty about how the season will turn out makes it hard to get value from plant testing results]],Tbl_Q27[[#Headers],[Neutral]],Tbl_Responses[[Resp_Group]:[Resp_Group]],Agronomist)</f>
        <v>10</v>
      </c>
      <c r="FV5" s="88">
        <f>COUNTIFS(Tbl_Responses[[Uncertainty about how the season will turn out makes it hard to get value from plant testing results]:[Uncertainty about how the season will turn out makes it hard to get value from plant testing results]],Tbl_Q27[[#Headers],[Agree]],Tbl_Responses[[Resp_Group]:[Resp_Group]],Agronomist)</f>
        <v>13</v>
      </c>
      <c r="FW5" s="88">
        <f>COUNTIFS(Tbl_Responses[[Uncertainty about how the season will turn out makes it hard to get value from plant testing results]:[Uncertainty about how the season will turn out makes it hard to get value from plant testing results]],Tbl_Q27[[#Headers],[Strongly Agree]],Tbl_Responses[[Resp_Group]:[Resp_Group]],Agronomist)</f>
        <v>1</v>
      </c>
      <c r="FZ5" t="s">
        <v>209</v>
      </c>
      <c r="GA5" s="3">
        <f>COUNTIFS(Tbl_Responses[Average annual spend - Plant testing],$FZ5,Tbl_Responses[[Resp_Group]:[Resp_Group]],Agronomist)</f>
        <v>48</v>
      </c>
      <c r="GB5" s="4">
        <f>Tbl_Q28[[#This Row],[No. Respondants]]/SUM(Tbl_Q28[No. Respondants])</f>
        <v>0.88888888888888884</v>
      </c>
      <c r="GE5" t="s">
        <v>202</v>
      </c>
      <c r="GF5" s="3">
        <f>COUNTIFS(Tbl_Responses[5 years ago_Plant],$GE5,Tbl_Responses[[Resp_Group]:[Resp_Group]],Agronomist)</f>
        <v>51</v>
      </c>
      <c r="GG5" s="4">
        <f>Tbl_Q2361[[#This Row],[No. Respondants]]/SUM(Tbl_Q2361[No. Respondants])</f>
        <v>0.96226415094339623</v>
      </c>
      <c r="GJ5" t="s">
        <v>203</v>
      </c>
      <c r="GK5" s="3">
        <f>COUNTIFS(Tbl_Responses[5 years'' time_Plant],$GJ5,Tbl_Responses[[Resp_Group]:[Resp_Group]],Agronomist)</f>
        <v>21</v>
      </c>
      <c r="GL5" s="4">
        <f>Tbl_Q2462[[#This Row],[No. Respondants]]/SUM(Tbl_Q2462[No. Respondants])</f>
        <v>0.39622641509433965</v>
      </c>
      <c r="GO5" t="s">
        <v>111</v>
      </c>
      <c r="GP5" s="3">
        <f>COUNTIFS(Tbl_Responses[The time required for soil sampling_PL],$GO5,Tbl_Responses[[Resp_Group]:[Resp_Group]],Agronomist)</f>
        <v>0</v>
      </c>
      <c r="GQ5" s="4" t="e">
        <f>Tbl_1965[[#This Row],[No. Responses]]/SUM(Tbl_1965[No. Responses])</f>
        <v>#DIV/0!</v>
      </c>
      <c r="GT5" t="s">
        <v>111</v>
      </c>
      <c r="GU5" s="3">
        <f>COUNTIFS(Tbl_Responses[The time required for soil sampling_PLP],$GT5,Tbl_Responses[[Resp_Group]:[Resp_Group]],Agronomist)</f>
        <v>0</v>
      </c>
      <c r="GV5" s="4" t="e">
        <f>Tbl_196566[[#This Row],[No. Responses]]/SUM(Tbl_196566[No. Responses])</f>
        <v>#DIV/0!</v>
      </c>
      <c r="HA5" s="87" t="s">
        <v>151</v>
      </c>
      <c r="HB5" s="3">
        <f>COUNTIFS(Tbl_Responses[Farm consultants],$HA5,Tbl_Responses[[Resp_Group]:[Resp_Group]],Agronomist)</f>
        <v>27</v>
      </c>
      <c r="HC5" s="4">
        <f>Tbl_infoSources[[#This Row],[No. Responses]]/SUM(Tbl_infoSources[No. Responses])</f>
        <v>0.108</v>
      </c>
    </row>
    <row r="6" spans="1:266" x14ac:dyDescent="0.25">
      <c r="A6" t="s">
        <v>260</v>
      </c>
      <c r="B6" s="3">
        <f>COUNTIFS(Tbl_Responses[Q1: region],Results!$A6,Tbl_Responses[Resp_Group],Agronomist)</f>
        <v>13</v>
      </c>
      <c r="C6" s="4">
        <f>B6/SUM(Tbl_Q1[Respondants])</f>
        <v>0.18309859154929578</v>
      </c>
      <c r="D6" s="7">
        <f>AVERAGEIFS(Tbl_Responses[Q2: Cropped Area],Tbl_Responses[Q1: region],Tbl_Q1[[#This Row],[Region]],Tbl_Responses[[Resp_Group]:[Resp_Group]],Agronomist)</f>
        <v>12361.538461538461</v>
      </c>
      <c r="F6">
        <v>5001</v>
      </c>
      <c r="G6">
        <v>10000</v>
      </c>
      <c r="H6" t="str">
        <f t="shared" si="0"/>
        <v>5001-10000</v>
      </c>
      <c r="I6" s="3">
        <f>COUNTIFS(Tbl_Responses[Q2: Cropped Area],"&gt;"&amp;F6,Tbl_Responses[Q2: Cropped Area],"&lt;="&amp;G6,Tbl_Responses[Resp_Group],Agronomist)</f>
        <v>2</v>
      </c>
      <c r="J6" s="4">
        <f>I6/SUM(Tbl_Q2[Number])</f>
        <v>2.9850746268656716E-2</v>
      </c>
      <c r="M6" t="s">
        <v>1310</v>
      </c>
      <c r="N6" s="4">
        <f>AVERAGEIF(Tbl_Responses[Resp_Group],Agronomist,Tbl_Responses[Pulses (peas, beans, lupins, lentils, chickpeas)])/100</f>
        <v>0.1395774647887324</v>
      </c>
      <c r="O6" s="6">
        <f>SUMPRODUCT(--(Group="Agronomist"),Tbl_Responses[Q2: Cropped Area],Tbl_Responses[Pulses (peas, beans, lupins, lentils, chickpeas)])/100</f>
        <v>166100</v>
      </c>
      <c r="P6" s="4">
        <f t="shared" si="1"/>
        <v>0.14299833326445996</v>
      </c>
      <c r="S6" t="s">
        <v>366</v>
      </c>
      <c r="T6" s="4">
        <f>COUNTIFS(Tbl_Responses[[Variable Costs]:[Variable Costs]],T$3,Tbl_Responses[[Q1: region]:[Q1: region]],$S6,Tbl_Responses[[Resp_Group]:[Resp_Group]],Agronomist)/COUNTIFS(Tbl_Responses[[Q1: region]:[Q1: region]],$S6,Tbl_Responses[[Resp_Group]:[Resp_Group]],Agronomist)</f>
        <v>0</v>
      </c>
      <c r="U6" s="4">
        <f>COUNTIFS(Tbl_Responses[[Variable Costs]:[Variable Costs]],U$3,Tbl_Responses[[Q1: region]:[Q1: region]],$S6,Tbl_Responses[[Resp_Group]:[Resp_Group]],Agronomist)/COUNTIFS(Tbl_Responses[[Q1: region]:[Q1: region]],$S6,Tbl_Responses[[Resp_Group]:[Resp_Group]],Agronomist)</f>
        <v>0.2</v>
      </c>
      <c r="V6" s="4">
        <f>COUNTIFS(Tbl_Responses[[Variable Costs]:[Variable Costs]],V$3,Tbl_Responses[[Q1: region]:[Q1: region]],$S6,Tbl_Responses[[Resp_Group]:[Resp_Group]],Agronomist)/COUNTIFS(Tbl_Responses[[Q1: region]:[Q1: region]],$S6,Tbl_Responses[[Resp_Group]:[Resp_Group]],Agronomist)</f>
        <v>0.2</v>
      </c>
      <c r="W6" s="4">
        <f>COUNTIFS(Tbl_Responses[[Variable Costs]:[Variable Costs]],W$3,Tbl_Responses[[Q1: region]:[Q1: region]],$S6,Tbl_Responses[[Resp_Group]:[Resp_Group]],Agronomist)/COUNTIFS(Tbl_Responses[[Q1: region]:[Q1: region]],$S6,Tbl_Responses[[Resp_Group]:[Resp_Group]],Agronomist)</f>
        <v>0</v>
      </c>
      <c r="X6" s="4">
        <f>COUNTIFS(Tbl_Responses[[Variable Costs]:[Variable Costs]],X$3,Tbl_Responses[[Q1: region]:[Q1: region]],$S6,Tbl_Responses[[Resp_Group]:[Resp_Group]],Agronomist)/COUNTIFS(Tbl_Responses[[Q1: region]:[Q1: region]],$S6,Tbl_Responses[[Resp_Group]:[Resp_Group]],Agronomist)</f>
        <v>0</v>
      </c>
      <c r="Y6" s="4">
        <f>COUNTIFS(Tbl_Responses[[Variable Costs]:[Variable Costs]],Y$3,Tbl_Responses[[Q1: region]:[Q1: region]],$S6,Tbl_Responses[[Resp_Group]:[Resp_Group]],Agronomist)/COUNTIFS(Tbl_Responses[[Q1: region]:[Q1: region]],$S6,Tbl_Responses[[Resp_Group]:[Resp_Group]],Agronomist)</f>
        <v>0</v>
      </c>
      <c r="Z6" s="4">
        <f>COUNTIFS(Tbl_Responses[[Variable Costs]:[Variable Costs]],Z$3,Tbl_Responses[[Q1: region]:[Q1: region]],$S6,Tbl_Responses[[Resp_Group]:[Resp_Group]],Agronomist)/COUNTIFS(Tbl_Responses[[Q1: region]:[Q1: region]],$S6,Tbl_Responses[[Resp_Group]:[Resp_Group]],Agronomist)</f>
        <v>0</v>
      </c>
      <c r="AA6" s="4">
        <f>COUNTIFS(Tbl_Responses[[Variable Costs]:[Variable Costs]],AA$3,Tbl_Responses[[Q1: region]:[Q1: region]],$S6,Tbl_Responses[[Resp_Group]:[Resp_Group]],Agronomist)/COUNTIFS(Tbl_Responses[[Q1: region]:[Q1: region]],$S6,Tbl_Responses[[Resp_Group]:[Resp_Group]],Agronomist)</f>
        <v>0.6</v>
      </c>
      <c r="AB6" s="4">
        <f>COUNTIFS(Tbl_Responses[[Variable Costs]:[Variable Costs]],AB$3,Tbl_Responses[[Q1: region]:[Q1: region]],$S6,Tbl_Responses[[Resp_Group]:[Resp_Group]],Agronomist)/COUNTIFS(Tbl_Responses[[Q1: region]:[Q1: region]],$S6,Tbl_Responses[[Resp_Group]:[Resp_Group]],Agronomist)</f>
        <v>0</v>
      </c>
      <c r="AG6" t="s">
        <v>366</v>
      </c>
      <c r="AH6" s="4">
        <f>COUNTIFS(Tbl_Responses[[Def_Nutrient_ID]:[Def_Nutrient_ID]],"*N*",Tbl_Responses[[Q1: region]:[Q1: region]],$AG6,Tbl_Responses[[Resp_Group]:[Resp_Group]],Agronomist)/COUNTIFS(Tbl_Responses[[Def_Nutrient_ID]:[Def_Nutrient_ID]],"&lt;&gt;"&amp;"",Tbl_Responses[[Q1: region]:[Q1: region]],$AG6,Tbl_Responses[[Resp_Group]:[Resp_Group]],Agronomist)</f>
        <v>1</v>
      </c>
      <c r="AI6" s="4">
        <f>COUNTIFS(Tbl_Responses[[Def_Nutrient_ID]:[Def_Nutrient_ID]],"*P*",Tbl_Responses[[Q1: region]:[Q1: region]],$AG6,Tbl_Responses[[Resp_Group]:[Resp_Group]],Agronomist)/COUNTIFS(Tbl_Responses[[Def_Nutrient_ID]:[Def_Nutrient_ID]],"&lt;&gt;"&amp;"",Tbl_Responses[[Q1: region]:[Q1: region]],$AG6,Tbl_Responses[[Resp_Group]:[Resp_Group]],Agronomist)</f>
        <v>0.4</v>
      </c>
      <c r="AJ6" s="4">
        <f>COUNTIFS(Tbl_Responses[[Def_Nutrient_ID]:[Def_Nutrient_ID]],"*K*",Tbl_Responses[[Q1: region]:[Q1: region]],$AG6,Tbl_Responses[[Resp_Group]:[Resp_Group]],Agronomist)/COUNTIFS(Tbl_Responses[[Def_Nutrient_ID]:[Def_Nutrient_ID]],"&lt;&gt;"&amp;"",Tbl_Responses[[Q1: region]:[Q1: region]],$AG6,Tbl_Responses[[Resp_Group]:[Resp_Group]],Agronomist)</f>
        <v>0.2</v>
      </c>
      <c r="AK6" s="4">
        <f>COUNTIFS(Tbl_Responses[[Def_Nutrient_ID]:[Def_Nutrient_ID]],"*S*",Tbl_Responses[[Q1: region]:[Q1: region]],$AG6,Tbl_Responses[[Resp_Group]:[Resp_Group]],Agronomist)/COUNTIFS(Tbl_Responses[[Def_Nutrient_ID]:[Def_Nutrient_ID]],"&lt;&gt;"&amp;"",Tbl_Responses[[Q1: region]:[Q1: region]],$AG6,Tbl_Responses[[Resp_Group]:[Resp_Group]],Agronomist)</f>
        <v>0.6</v>
      </c>
      <c r="AL6" s="4">
        <f>COUNTIFS(Tbl_Responses[[Def_Nutrient_ID]:[Def_Nutrient_ID]],"*Zn*",Tbl_Responses[[Q1: region]:[Q1: region]],$AG6,Tbl_Responses[[Resp_Group]:[Resp_Group]],Agronomist)/COUNTIFS(Tbl_Responses[[Def_Nutrient_ID]:[Def_Nutrient_ID]],"&lt;&gt;"&amp;"",Tbl_Responses[[Q1: region]:[Q1: region]],$AG6,Tbl_Responses[[Resp_Group]:[Resp_Group]],Agronomist)</f>
        <v>0.4</v>
      </c>
      <c r="AM6" s="4">
        <f>COUNTIFS(Tbl_Responses[[Def_Nutrient_ID]:[Def_Nutrient_ID]],"*Mn*",Tbl_Responses[[Q1: region]:[Q1: region]],$AG6,Tbl_Responses[[Resp_Group]:[Resp_Group]],Agronomist)/COUNTIFS(Tbl_Responses[[Def_Nutrient_ID]:[Def_Nutrient_ID]],"&lt;&gt;"&amp;"",Tbl_Responses[[Q1: region]:[Q1: region]],$AG6,Tbl_Responses[[Resp_Group]:[Resp_Group]],Agronomist)</f>
        <v>0.2</v>
      </c>
      <c r="AN6" s="4">
        <f>COUNTIFS(Tbl_Responses[[Def_Nutrient_ID]:[Def_Nutrient_ID]],"*Mg*",Tbl_Responses[[Q1: region]:[Q1: region]],$AG6,Tbl_Responses[[Resp_Group]:[Resp_Group]],Agronomist)/COUNTIFS(Tbl_Responses[[Def_Nutrient_ID]:[Def_Nutrient_ID]],"&lt;&gt;"&amp;"",Tbl_Responses[[Q1: region]:[Q1: region]],$AG6,Tbl_Responses[[Resp_Group]:[Resp_Group]],Agronomist)</f>
        <v>0</v>
      </c>
      <c r="AO6" s="4">
        <f>COUNTIFS(Tbl_Responses[[Def_Nutrient_ID]:[Def_Nutrient_ID]],"*Cu*",Tbl_Responses[[Q1: region]:[Q1: region]],$AG6,Tbl_Responses[[Resp_Group]:[Resp_Group]],Agronomist)/COUNTIFS(Tbl_Responses[[Def_Nutrient_ID]:[Def_Nutrient_ID]],"&lt;&gt;"&amp;"",Tbl_Responses[[Q1: region]:[Q1: region]],$AG6,Tbl_Responses[[Resp_Group]:[Resp_Group]],Agronomist)</f>
        <v>0.6</v>
      </c>
      <c r="AP6" s="4">
        <f>COUNTIFS(Tbl_Responses[[Def_Nutrient_ID]:[Def_Nutrient_ID]],"*B*",Tbl_Responses[[Q1: region]:[Q1: region]],$AG6,Tbl_Responses[[Resp_Group]:[Resp_Group]],Agronomist)/COUNTIFS(Tbl_Responses[[Def_Nutrient_ID]:[Def_Nutrient_ID]],"&lt;&gt;"&amp;"",Tbl_Responses[[Q1: region]:[Q1: region]],$AG6,Tbl_Responses[[Resp_Group]:[Resp_Group]],Agronomist)</f>
        <v>0</v>
      </c>
      <c r="AQ6" s="4">
        <f>COUNTIFS(Tbl_Responses[[Def_Nutrient_ID]:[Def_Nutrient_ID]],"*Ca*",Tbl_Responses[[Q1: region]:[Q1: region]],$AG6,Tbl_Responses[[Resp_Group]:[Resp_Group]],Agronomist)/COUNTIFS(Tbl_Responses[[Def_Nutrient_ID]:[Def_Nutrient_ID]],"&lt;&gt;"&amp;"",Tbl_Responses[[Q1: region]:[Q1: region]],$AG6,Tbl_Responses[[Resp_Group]:[Resp_Group]],Agronomist)</f>
        <v>0</v>
      </c>
      <c r="AR6" s="4">
        <f>COUNTIFS(Tbl_Responses[[Def_Nutrient_ID]:[Def_Nutrient_ID]],"*pH*",Tbl_Responses[[Q1: region]:[Q1: region]],$AG6,Tbl_Responses[[Resp_Group]:[Resp_Group]],Agronomist)/COUNTIFS(Tbl_Responses[[Def_Nutrient_ID]:[Def_Nutrient_ID]],"&lt;&gt;"&amp;"",Tbl_Responses[[Q1: region]:[Q1: region]],$AG6,Tbl_Responses[[Resp_Group]:[Resp_Group]],Agronomist)</f>
        <v>0.2</v>
      </c>
      <c r="AS6" s="4">
        <f>COUNTIFS(Tbl_Responses[[Def_Nutrient_ID]:[Def_Nutrient_ID]],"*T*",Tbl_Responses[[Q1: region]:[Q1: region]],$AG6,Tbl_Responses[[Resp_Group]:[Resp_Group]],Agronomist)/COUNTIFS(Tbl_Responses[[Def_Nutrient_ID]:[Def_Nutrient_ID]],"&lt;&gt;"&amp;"",Tbl_Responses[[Q1: region]:[Q1: region]],$AG6,Tbl_Responses[[Resp_Group]:[Resp_Group]],Agronomist)</f>
        <v>0</v>
      </c>
      <c r="AV6" t="s">
        <v>366</v>
      </c>
      <c r="AW6" s="4">
        <f>COUNTIFS(Tbl_Responses[[Q6: Do you do/recommend soil and/or plant testing?]:[Q6: Do you do/recommend soil and/or plant testing?]],"Yes",Tbl_Responses[[Q1: region]:[Q1: region]],$AV6,Tbl_Responses[[Resp_Group]:[Resp_Group]],Agronomist)/COUNTIFS(Tbl_Responses[[Q6: Do you do/recommend soil and/or plant testing?]:[Q6: Do you do/recommend soil and/or plant testing?]],"&lt;&gt;"&amp;"",Tbl_Responses[[Q1: region]:[Q1: region]],$AV6,Tbl_Responses[[Resp_Group]:[Resp_Group]],Agronomist)</f>
        <v>1</v>
      </c>
      <c r="AX6" s="4">
        <f>COUNTIFS(Tbl_Responses[[Q6: Do you do/recommend soil and/or plant testing?]:[Q6: Do you do/recommend soil and/or plant testing?]],"No",Tbl_Responses[[Q1: region]:[Q1: region]],$AV6,Tbl_Responses[[Resp_Group]:[Resp_Group]],Agronomist)/COUNTIFS(Tbl_Responses[[Q6: Do you do/recommend soil and/or plant testing?]:[Q6: Do you do/recommend soil and/or plant testing?]],"&lt;&gt;"&amp;"",Tbl_Responses[[Q1: region]:[Q1: region]],$AV6,Tbl_Responses[[Resp_Group]:[Resp_Group]],Agronomist)</f>
        <v>0</v>
      </c>
      <c r="AY6" s="3">
        <f>COUNTIFS(Tbl_Responses[[Q6: Do you do/recommend soil and/or plant testing?]:[Q6: Do you do/recommend soil and/or plant testing?]],"&gt;""",Tbl_Responses[[Q1: region]:[Q1: region]],$AV6,Tbl_Responses[[Resp_Group]:[Resp_Group]],Agronomist)</f>
        <v>5</v>
      </c>
      <c r="BA6" t="s">
        <v>263</v>
      </c>
      <c r="BB6" s="3">
        <f>COUNTIFS(Tbl_Responses[Q8: Of your clients, how many of them rely entirely on you to make the nutrient decisions?],$BA6,Tbl_Responses[[Resp_Group]:[Resp_Group]],Agronomist)</f>
        <v>8</v>
      </c>
      <c r="BC6" s="3">
        <f>COUNTIFS(Tbl_Responses[Response4],$BA6,Tbl_Responses[[Resp_Group]:[Resp_Group]],Agronomist)</f>
        <v>16</v>
      </c>
      <c r="BD6" s="3">
        <f>COUNTIFS(Tbl_Responses[Response5],$BA6,Tbl_Responses[[Resp_Group]:[Resp_Group]],Agronomist)</f>
        <v>5</v>
      </c>
      <c r="BE6" s="3">
        <f>COUNTIFS(Tbl_Responses[Response6],$BA6,Tbl_Responses[[Resp_Group]:[Resp_Group]],Agronomist)</f>
        <v>5</v>
      </c>
      <c r="BF6" s="3">
        <f>COUNTIFS(Tbl_Responses[Response7],$BA6,Tbl_Responses[[Resp_Group]:[Resp_Group]],Agronomist)</f>
        <v>11</v>
      </c>
      <c r="BH6" t="s">
        <v>2439</v>
      </c>
      <c r="BI6" s="3">
        <f>COUNTIFS(Tbl_Responses[Source_1_ID],$BH6,Tbl_Responses[[Resp_Group]:[Resp_Group]],Agronomist)+COUNTIFS(Tbl_Responses[Source_2_ID],$BH6,Tbl_Responses[[Resp_Group]:[Resp_Group]],Agronomist)+COUNTIFS(Tbl_Responses[Source_3_ID],$BH6,Tbl_Responses[[Resp_Group]:[Resp_Group]],Agronomist)</f>
        <v>11</v>
      </c>
      <c r="BJ6" s="4">
        <f>Tbl_Q11[[#This Row],[Q11 Response]]/SUM(Tbl_Q11[Q11 Response])</f>
        <v>6.7073170731707321E-2</v>
      </c>
      <c r="BQ6" s="38" t="s">
        <v>322</v>
      </c>
      <c r="BR6" s="4">
        <f>COUNTIFS(Tbl_Responses[What % of your clients soil tested in 2018?],$BQ6,Tbl_Responses[[Resp_Group]:[Resp_Group]],Agronomist)/COUNTIFS(Tbl_Responses[What % of your clients soil tested in 2018?],"&gt;""",Tbl_Responses[[Resp_Group]:[Resp_Group]],Agronomist)</f>
        <v>6.6666666666666666E-2</v>
      </c>
      <c r="BS6" s="4">
        <f>COUNTIFS(Tbl_Responses[What % of your clients tested for N in 2018?],$BQ6,Tbl_Responses[[Resp_Group]:[Resp_Group]],Agronomist)/COUNTIFS(Tbl_Responses[What % of your clients tested for N in 2018?],"&gt;""",Tbl_Responses[[Resp_Group]:[Resp_Group]],Agronomist)</f>
        <v>7.0175438596491224E-2</v>
      </c>
      <c r="BT6" s="4">
        <f>COUNTIFS(Tbl_Responses[What % of your clients tested for N to at least 60cm in 2018?],$BQ6,Tbl_Responses[[Resp_Group]:[Resp_Group]],Agronomist)/COUNTIFS(Tbl_Responses[What % of your clients tested for N to at least 60cm in 2018?],"&gt;""",Tbl_Responses[[Resp_Group]:[Resp_Group]],Agronomist)</f>
        <v>0.06</v>
      </c>
      <c r="BU6" s="4">
        <f>COUNTIFS(Tbl_Responses[What % of your clients tested for P in 2018?],$BQ6,Tbl_Responses[[Resp_Group]:[Resp_Group]],Agronomist)/COUNTIFS(Tbl_Responses[What % of your clients tested for P in 2018?],"&gt;""",Tbl_Responses[[Resp_Group]:[Resp_Group]],Agronomist)</f>
        <v>0.11864406779661017</v>
      </c>
      <c r="BX6" t="s">
        <v>402</v>
      </c>
      <c r="BY6" s="4">
        <f>(COUNTIFS(Tbl_Responses[Nitrogen 1 - Type of test],$BX6,Tbl_Responses[[Resp_Group]:[Resp_Group]],Agronomist)+COUNTIFS(Tbl_Responses[Nitrogen 2 - Type of test],$BX6,Tbl_Responses[[Resp_Group]:[Resp_Group]],Agronomist)+COUNTIFS(Tbl_Responses[Nitrogen 3 - Type of test],$BX6,Tbl_Responses[[Resp_Group]:[Resp_Group]],Agronomist))/(COUNTIFS(Tbl_Responses[Nitrogen 1 - Type of test],"&gt;""",Tbl_Responses[[Resp_Group]:[Resp_Group]],Agronomist)+COUNTIFS(Tbl_Responses[Nitrogen 2 - Type of test],"&gt;""",Tbl_Responses[[Resp_Group]:[Resp_Group]],Agronomist)+COUNTIFS(Tbl_Responses[Nitrogen 3 - Type of test],"&gt;""",Tbl_Responses[[Resp_Group]:[Resp_Group]],Agronomist))</f>
        <v>0.23275862068965517</v>
      </c>
      <c r="CB6" s="63" t="s">
        <v>405</v>
      </c>
      <c r="CC6" s="64">
        <f>(COUNTIFS(Tbl_Responses[Nitrogen 1 - Type of test],Tbl_14_sampling[[#Headers],[Organic Carbon]],Tbl_Responses[Nitrogen 1 - How many representative samples per paddock],$CB6,Tbl_Responses[[Resp_Group]:[Resp_Group]],Agronomist)+COUNTIFS(Tbl_Responses[Nitrogen 2 - Type of test],Tbl_14_sampling[[#Headers],[Organic Carbon]],Tbl_Responses[Nitrogen 2 - How many representative samples per paddock],$CB6,Tbl_Responses[[Resp_Group]:[Resp_Group]],Agronomist)+COUNTIFS(Tbl_Responses[Nitrogen 3 - Type of test],Tbl_14_sampling[[#Headers],[Organic Carbon]],Tbl_Responses[Nitrogen 3 - How many representative samples per paddock],$CB6,Tbl_Responses[[Resp_Group]:[Resp_Group]],Agronomist))/(COUNTIFS(Tbl_Responses[Nitrogen 1 - Type of test],Tbl_14_sampling[[#Headers],[Organic Carbon]],Tbl_Responses[Nitrogen 1 - How many representative samples per paddock],"&gt;""",Tbl_Responses[[Resp_Group]:[Resp_Group]],Agronomist)+COUNTIFS(Tbl_Responses[Nitrogen 2 - Type of test],Tbl_14_sampling[[#Headers],[Organic Carbon]],Tbl_Responses[Nitrogen 2 - How many representative samples per paddock],"&gt;""",Tbl_Responses[[Resp_Group]:[Resp_Group]],Agronomist)+COUNTIFS(Tbl_Responses[Nitrogen 3 - Type of test],Tbl_14_sampling[[#Headers],[Organic Carbon]],Tbl_Responses[Nitrogen 3 - How many representative samples per paddock],"&gt;""",Tbl_Responses[[Resp_Group]:[Resp_Group]],Agronomist))</f>
        <v>9.0909090909090912E-2</v>
      </c>
      <c r="CD6" s="64">
        <f>(COUNTIFS(Tbl_Responses[Nitrogen 1 - Type of test],Tbl_14_sampling[[#Headers],[Mineral N (Nitrate/Ammonium)]],Tbl_Responses[Nitrogen 1 - How many representative samples per paddock],$CB6,Tbl_Responses[[Resp_Group]:[Resp_Group]],Agronomist)+COUNTIFS(Tbl_Responses[Nitrogen 2 - Type of test],Tbl_14_sampling[[#Headers],[Mineral N (Nitrate/Ammonium)]],Tbl_Responses[Nitrogen 2 - How many representative samples per paddock],$CB6,Tbl_Responses[[Resp_Group]:[Resp_Group]],Agronomist)+COUNTIFS(Tbl_Responses[Nitrogen 3 - Type of test],Tbl_14_sampling[[#Headers],[Mineral N (Nitrate/Ammonium)]],Tbl_Responses[Nitrogen 3 - How many representative samples per paddock],$CB6,Tbl_Responses[[Resp_Group]:[Resp_Group]],Agronomist))/(COUNTIFS(Tbl_Responses[Nitrogen 1 - Type of test],Tbl_14_sampling[[#Headers],[Mineral N (Nitrate/Ammonium)]],Tbl_Responses[Nitrogen 1 - How many representative samples per paddock],"&gt;""",Tbl_Responses[[Resp_Group]:[Resp_Group]],Agronomist)+COUNTIFS(Tbl_Responses[Nitrogen 2 - Type of test],Tbl_14_sampling[[#Headers],[Mineral N (Nitrate/Ammonium)]],Tbl_Responses[Nitrogen 2 - How many representative samples per paddock],"&gt;""",Tbl_Responses[[Resp_Group]:[Resp_Group]],Agronomist)+COUNTIFS(Tbl_Responses[Nitrogen 3 - Type of test],Tbl_14_sampling[[#Headers],[Mineral N (Nitrate/Ammonium)]],Tbl_Responses[Nitrogen 3 - How many representative samples per paddock],"&gt;""",Tbl_Responses[[Resp_Group]:[Resp_Group]],Agronomist))</f>
        <v>8.1081081081081086E-2</v>
      </c>
      <c r="CE6" s="64">
        <f>(COUNTIFS(Tbl_Responses[Nitrogen 1 - Type of test],Tbl_14_sampling[[#Headers],[Total N]],Tbl_Responses[Nitrogen 1 - How many representative samples per paddock],$CB6,Tbl_Responses[[Resp_Group]:[Resp_Group]],Agronomist)+COUNTIFS(Tbl_Responses[Nitrogen 2 - Type of test],Tbl_14_sampling[[#Headers],[Total N]],Tbl_Responses[Nitrogen 2 - How many representative samples per paddock],$CB6,Tbl_Responses[[Resp_Group]:[Resp_Group]],Agronomist)+COUNTIFS(Tbl_Responses[Nitrogen 3 - Type of test],Tbl_14_sampling[[#Headers],[Total N]],Tbl_Responses[Nitrogen 3 - How many representative samples per paddock],$CB6,Tbl_Responses[[Resp_Group]:[Resp_Group]],Agronomist))/(COUNTIFS(Tbl_Responses[Nitrogen 1 - Type of test],Tbl_14_sampling[[#Headers],[Total N]],Tbl_Responses[Nitrogen 1 - How many representative samples per paddock],"&gt;""",Tbl_Responses[[Resp_Group]:[Resp_Group]],Agronomist)+COUNTIFS(Tbl_Responses[Nitrogen 2 - Type of test],Tbl_14_sampling[[#Headers],[Total N]],Tbl_Responses[Nitrogen 2 - How many representative samples per paddock],"&gt;""",Tbl_Responses[[Resp_Group]:[Resp_Group]],Agronomist)+COUNTIFS(Tbl_Responses[Nitrogen 3 - Type of test],Tbl_14_sampling[[#Headers],[Total N]],Tbl_Responses[Nitrogen 3 - How many representative samples per paddock],"&gt;""",Tbl_Responses[[Resp_Group]:[Resp_Group]],Agronomist))</f>
        <v>0.12</v>
      </c>
      <c r="CF6" s="64">
        <f>(COUNTIFS(Tbl_Responses[Nitrogen 1 - How many representative samples per paddock],$CB6,Tbl_Responses[[Resp_Group]:[Resp_Group]],Agronomist)+COUNTIFS(Tbl_Responses[Nitrogen 2 - How many representative samples per paddock],$CB6,Tbl_Responses[[Resp_Group]:[Resp_Group]],Agronomist)+COUNTIFS(Tbl_Responses[Nitrogen 3 - How many representative samples per paddock],$CB6,Tbl_Responses[[Resp_Group]:[Resp_Group]],Agronomist))/(COUNTIFS(Tbl_Responses[Nitrogen 1 - How many representative samples per paddock],"&gt;""",Tbl_Responses[[Resp_Group]:[Resp_Group]],Agronomist)+COUNTIFS(Tbl_Responses[Nitrogen 2 - How many representative samples per paddock],"&gt;""",Tbl_Responses[[Resp_Group]:[Resp_Group]],Agronomist)+COUNTIFS(Tbl_Responses[Nitrogen 3 - How many representative samples per paddock],"&gt;""",Tbl_Responses[[Resp_Group]:[Resp_Group]],Agronomist))</f>
        <v>9.4736842105263161E-2</v>
      </c>
      <c r="CG6" s="72"/>
      <c r="CH6" s="72"/>
      <c r="CI6" s="80" t="s">
        <v>180</v>
      </c>
      <c r="CJ6" s="72">
        <f>(COUNTIFS(Tbl_Responses[Phosphorus 1 - Type of test],CI6,Tbl_Responses[[Resp_Group]:[Resp_Group]],Agronomist)+COUNTIFS(Tbl_Responses[Phosphorus 2 - Type of test],CI6,Tbl_Responses[[Resp_Group]:[Resp_Group]],Agronomist)+COUNTIFS(Tbl_Responses[Phosphorus 3 - Type of test],CI6,Tbl_Responses[[Resp_Group]:[Resp_Group]],Agronomist)+COUNTIFS(Tbl_Responses[Phosphorus 4 - Type of test],CI6,Tbl_Responses[[Resp_Group]:[Resp_Group]],Agronomist)+COUNTIFS(Tbl_Responses[Phosphorus 5 - Type of test],CI6,Tbl_Responses[[Resp_Group]:[Resp_Group]],Agronomist))/(COUNTIFS(Tbl_Responses[Phosphorus 1 - Type of test],"&gt;""",Tbl_Responses[[Resp_Group]:[Resp_Group]],Agronomist)+COUNTIFS(Tbl_Responses[Phosphorus 2 - Type of test],"&gt;""",Tbl_Responses[[Resp_Group]:[Resp_Group]],Agronomist)+COUNTIFS(Tbl_Responses[Phosphorus 3 - Type of test],"&gt;""",Tbl_Responses[[Resp_Group]:[Resp_Group]],Agronomist)+COUNTIFS(Tbl_Responses[Phosphorus 4 - Type of test],"&gt;""",Tbl_Responses[[Resp_Group]:[Resp_Group]],Agronomist)+COUNTIFS(Tbl_Responses[Phosphorus 5 - Type of test],"&gt;""",Tbl_Responses[[Resp_Group]:[Resp_Group]],Agronomist))</f>
        <v>0.26277372262773724</v>
      </c>
      <c r="CK6" s="72"/>
      <c r="CL6" s="72"/>
      <c r="CM6" s="76" t="s">
        <v>405</v>
      </c>
      <c r="CN6" s="68">
        <f>(COUNTIFS(Tbl_Responses[Phosphorus 1 - Type of test],Tbl_Q15_sampling[[#Headers],[Colwell P]],Tbl_Responses[Phosphorus 1 - How many representative samples per paddock],$CM6,Tbl_Responses[[Resp_Group]:[Resp_Group]],Agronomist)+COUNTIFS(Tbl_Responses[Phosphorus 2 - Type of test],Tbl_Q15_sampling[[#Headers],[Colwell P]],Tbl_Responses[Phosphorus 2 - How many representative samples per paddock],$CM6,Tbl_Responses[[Resp_Group]:[Resp_Group]],Agronomist)+COUNTIFS(Tbl_Responses[Phosphorus 3 - Type of test],Tbl_Q15_sampling[[#Headers],[Colwell P]],Tbl_Responses[Phosphorus 3 - How many representative samples per paddock],$CM6,Tbl_Responses[[Resp_Group]:[Resp_Group]],Agronomist)+COUNTIFS(Tbl_Responses[Phosphorus 4 - Type of test],Tbl_Q15_sampling[[#Headers],[Colwell P]],Tbl_Responses[Phosphorus 4 - How many representative samples per paddock],$CM6,Tbl_Responses[[Resp_Group]:[Resp_Group]],Agronomist)+COUNTIFS(Tbl_Responses[Phosphorus 5 - Type of test],Tbl_Q15_sampling[[#Headers],[Colwell P]],Tbl_Responses[Phosphorus 5 - How many representative samples per paddock],$CM6,Tbl_Responses[[Resp_Group]:[Resp_Group]],Agronomist))/(COUNTIFS(Tbl_Responses[Phosphorus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f>
        <v>0.1276595744680851</v>
      </c>
      <c r="CO6" s="64">
        <f>(COUNTIFS(Tbl_Responses[Phosphorus 1 - Type of test],Tbl_Q15_sampling[[#Headers],[Olsen-Bray P]],Tbl_Responses[Phosphorus 1 - How many representative samples per paddock],$CM6,Tbl_Responses[[Resp_Group]:[Resp_Group]],Agronomist)+COUNTIFS(Tbl_Responses[Phosphorus 2 - Type of test],Tbl_Q15_sampling[[#Headers],[Olsen-Bray P]],Tbl_Responses[Phosphorus 2 - How many representative samples per paddock],$CM6,Tbl_Responses[[Resp_Group]:[Resp_Group]],Agronomist)+COUNTIFS(Tbl_Responses[Phosphorus 3 - Type of test],Tbl_Q15_sampling[[#Headers],[Olsen-Bray P]],Tbl_Responses[Phosphorus 3 - How many representative samples per paddock],$CM6,Tbl_Responses[[Resp_Group]:[Resp_Group]],Agronomist)+COUNTIFS(Tbl_Responses[Phosphorus 4 - Type of test],Tbl_Q15_sampling[[#Headers],[Olsen-Bray P]],Tbl_Responses[Phosphorus 4 - How many representative samples per paddock],$CM6,Tbl_Responses[[Resp_Group]:[Resp_Group]],Agronomist)+COUNTIFS(Tbl_Responses[Phosphorus 5 - Type of test],Tbl_Q15_sampling[[#Headers],[Olsen-Bray P]],Tbl_Responses[Phosphorus 5 - How many representative samples per paddock],$CM6,Tbl_Responses[[Resp_Group]:[Resp_Group]],Agronomist))/(COUNTIFS(Tbl_Responses[Phosphorus 1 - Type of test],Tbl_Q15_sampling[[#Headers],[Olsen-Bray P]],Tbl_Responses[Phosphorus 1 - How many representative samples per paddock],"&gt;""",Tbl_Responses[[Resp_Group]:[Resp_Group]],Agronomist)+COUNTIFS(Tbl_Responses[Phosphorus 2 - Type of test],Tbl_Q15_sampling[[#Headers],[Olsen-Bray P]],Tbl_Responses[Phosphorus 2 - How many representative samples per paddock],"&gt;""",Tbl_Responses[[Resp_Group]:[Resp_Group]],Agronomist)+COUNTIFS(Tbl_Responses[Phosphorus 3 - Type of test],Tbl_Q15_sampling[[#Headers],[Olsen-Bray P]],Tbl_Responses[Phosphorus 3 - How many representative samples per paddock],"&gt;""",Tbl_Responses[[Resp_Group]:[Resp_Group]],Agronomist)+COUNTIFS(Tbl_Responses[Phosphorus 4 - Type of test],Tbl_Q15_sampling[[#Headers],[Olsen-Bray P]],Tbl_Responses[Phosphorus 4 - How many representative samples per paddock],"&gt;""",Tbl_Responses[[Resp_Group]:[Resp_Group]],Agronomist)+COUNTIFS(Tbl_Responses[Phosphorus 5 - Type of test],Tbl_Q15_sampling[[#Headers],[Olsen-Bray P]],Tbl_Responses[Phosphorus 5 - How many representative samples per paddock],"&gt;""",Tbl_Responses[[Resp_Group]:[Resp_Group]],Agronomist))</f>
        <v>0.27272727272727271</v>
      </c>
      <c r="CP6" s="64">
        <f>(COUNTIFS(Tbl_Responses[Phosphorus 1 - Type of test],Tbl_Q15_sampling[[#Headers],[PBI (Phosphorus Buffering Index)]],Tbl_Responses[Phosphorus 1 - How many representative samples per paddock],$CM6,Tbl_Responses[[Resp_Group]:[Resp_Group]],Agronomist)+COUNTIFS(Tbl_Responses[Phosphorus 2 - Type of test],Tbl_Q15_sampling[[#Headers],[PBI (Phosphorus Buffering Index)]],Tbl_Responses[Phosphorus 2 - How many representative samples per paddock],$CM6,Tbl_Responses[[Resp_Group]:[Resp_Group]],Agronomist)+COUNTIFS(Tbl_Responses[Phosphorus 3 - Type of test],Tbl_Q15_sampling[[#Headers],[PBI (Phosphorus Buffering Index)]],Tbl_Responses[Phosphorus 3 - How many representative samples per paddock],$CM6,Tbl_Responses[[Resp_Group]:[Resp_Group]],Agronomist)+COUNTIFS(Tbl_Responses[Phosphorus 4 - Type of test],Tbl_Q15_sampling[[#Headers],[PBI (Phosphorus Buffering Index)]],Tbl_Responses[Phosphorus 4 - How many representative samples per paddock],$CM6,Tbl_Responses[[Resp_Group]:[Resp_Group]],Agronomist)+COUNTIFS(Tbl_Responses[Phosphorus 5 - Type of test],Tbl_Q15_sampling[[#Headers],[PBI (Phosphorus Buffering Index)]],Tbl_Responses[Phosphorus 5 - How many representative samples per paddock],$CM6,Tbl_Responses[[Resp_Group]:[Resp_Group]],Agronomist))/(COUNTIFS(Tbl_Responses[Phosphorus 1 - Type of test],Tbl_Q15_sampling[[#Headers],[PBI (Phosphorus Buffering Index)]],Tbl_Responses[Phosphorus 1 - How many representative samples per paddock],"&gt;""",Tbl_Responses[[Resp_Group]:[Resp_Group]],Agronomist)+COUNTIFS(Tbl_Responses[Phosphorus 2 - Type of test],Tbl_Q15_sampling[[#Headers],[PBI (Phosphorus Buffering Index)]],Tbl_Responses[Phosphorus 2 - How many representative samples per paddock],"&gt;""",Tbl_Responses[[Resp_Group]:[Resp_Group]],Agronomist)+COUNTIFS(Tbl_Responses[Phosphorus 3 - Type of test],Tbl_Q15_sampling[[#Headers],[PBI (Phosphorus Buffering Index)]],Tbl_Responses[Phosphorus 3 - How many representative samples per paddock],"&gt;""",Tbl_Responses[[Resp_Group]:[Resp_Group]],Agronomist)+COUNTIFS(Tbl_Responses[Phosphorus 4 - Type of test],Tbl_Q15_sampling[[#Headers],[PBI (Phosphorus Buffering Index)]],Tbl_Responses[Phosphorus 4 - How many representative samples per paddock],"&gt;""",Tbl_Responses[[Resp_Group]:[Resp_Group]],Agronomist)+COUNTIFS(Tbl_Responses[Phosphorus 5 - Type of test],Tbl_Q15_sampling[[#Headers],[PBI (Phosphorus Buffering Index)]],Tbl_Responses[Phosphorus 5 - How many representative samples per paddock],"&gt;""",Tbl_Responses[[Resp_Group]:[Resp_Group]],Agronomist))</f>
        <v>9.6774193548387094E-2</v>
      </c>
      <c r="CQ6" s="64">
        <f>(COUNTIFS(Tbl_Responses[Phosphorus 1 - Type of test],Tbl_Q15_sampling[[#Headers],[DGT]],Tbl_Responses[Phosphorus 1 - How many representative samples per paddock],$CM6,Tbl_Responses[[Resp_Group]:[Resp_Group]],Agronomist)+COUNTIFS(Tbl_Responses[Phosphorus 2 - Type of test],Tbl_Q15_sampling[[#Headers],[DGT]],Tbl_Responses[Phosphorus 2 - How many representative samples per paddock],$CM6,Tbl_Responses[[Resp_Group]:[Resp_Group]],Agronomist)+COUNTIFS(Tbl_Responses[Phosphorus 3 - Type of test],Tbl_Q15_sampling[[#Headers],[DGT]],Tbl_Responses[Phosphorus 3 - How many representative samples per paddock],$CM6,Tbl_Responses[[Resp_Group]:[Resp_Group]],Agronomist)+COUNTIFS(Tbl_Responses[Phosphorus 4 - Type of test],Tbl_Q15_sampling[[#Headers],[DGT]],Tbl_Responses[Phosphorus 4 - How many representative samples per paddock],$CM6,Tbl_Responses[[Resp_Group]:[Resp_Group]],Agronomist)+COUNTIFS(Tbl_Responses[Phosphorus 5 - Type of test],Tbl_Q15_sampling[[#Headers],[DGT]],Tbl_Responses[Phosphorus 5 - How many representative samples per paddock],$CM6,Tbl_Responses[[Resp_Group]:[Resp_Group]],Agronomist))/(COUNTIFS(Tbl_Responses[Phosphorus 1 - Type of test],Tbl_Q15_sampling[[#Headers],[DGT]],Tbl_Responses[Phosphorus 1 - How many representative samples per paddock],"&gt;""",Tbl_Responses[[Resp_Group]:[Resp_Group]],Agronomist)+COUNTIFS(Tbl_Responses[Phosphorus 2 - Type of test],Tbl_Q15_sampling[[#Headers],[DGT]],Tbl_Responses[Phosphorus 2 - How many representative samples per paddock],"&gt;""",Tbl_Responses[[Resp_Group]:[Resp_Group]],Agronomist)+COUNTIFS(Tbl_Responses[Phosphorus 3 - Type of test],Tbl_Q15_sampling[[#Headers],[DGT]],Tbl_Responses[Phosphorus 3 - How many representative samples per paddock],"&gt;""",Tbl_Responses[[Resp_Group]:[Resp_Group]],Agronomist)+COUNTIFS(Tbl_Responses[Phosphorus 4 - Type of test],Tbl_Q15_sampling[[#Headers],[DGT]],Tbl_Responses[Phosphorus 4 - How many representative samples per paddock],"&gt;""",Tbl_Responses[[Resp_Group]:[Resp_Group]],Agronomist)+COUNTIFS(Tbl_Responses[Phosphorus 5 - Type of test],Tbl_Q15_sampling[[#Headers],[DGT]],Tbl_Responses[Phosphorus 5 - How many representative samples per paddock],"&gt;""",Tbl_Responses[[Resp_Group]:[Resp_Group]],Agronomist))</f>
        <v>0.20833333333333334</v>
      </c>
      <c r="CR6" s="64">
        <f>(COUNTIFS(Tbl_Responses[Phosphorus 1 - Type of test],Tbl_Q15_sampling[[#Headers],[Total P]],Tbl_Responses[Phosphorus 1 - How many representative samples per paddock],$CM6,Tbl_Responses[[Resp_Group]:[Resp_Group]],Agronomist)+COUNTIFS(Tbl_Responses[Phosphorus 2 - Type of test],Tbl_Q15_sampling[[#Headers],[Total P]],Tbl_Responses[Phosphorus 2 - How many representative samples per paddock],$CM6,Tbl_Responses[[Resp_Group]:[Resp_Group]],Agronomist)+COUNTIFS(Tbl_Responses[Phosphorus 3 - Type of test],Tbl_Q15_sampling[[#Headers],[Total P]],Tbl_Responses[Phosphorus 3 - How many representative samples per paddock],$CM6,Tbl_Responses[[Resp_Group]:[Resp_Group]],Agronomist)+COUNTIFS(Tbl_Responses[Phosphorus 4 - Type of test],Tbl_Q15_sampling[[#Headers],[Total P]],Tbl_Responses[Phosphorus 4 - How many representative samples per paddock],$CM6,Tbl_Responses[[Resp_Group]:[Resp_Group]],Agronomist)+COUNTIFS(Tbl_Responses[Phosphorus 5 - Type of test],Tbl_Q15_sampling[[#Headers],[Total P]],Tbl_Responses[Phosphorus 5 - How many representative samples per paddock],$CM6,Tbl_Responses[[Resp_Group]:[Resp_Group]],Agronomist))/(COUNTIFS(Tbl_Responses[Phosphorus 1 - Type of test],Tbl_Q15_sampling[[#Headers],[Total P]],Tbl_Responses[Phosphorus 1 - How many representative samples per paddock],"&gt;""",Tbl_Responses[[Resp_Group]:[Resp_Group]],Agronomist)+COUNTIFS(Tbl_Responses[Phosphorus 2 - Type of test],Tbl_Q15_sampling[[#Headers],[Total P]],Tbl_Responses[Phosphorus 2 - How many representative samples per paddock],"&gt;""",Tbl_Responses[[Resp_Group]:[Resp_Group]],Agronomist)+COUNTIFS(Tbl_Responses[Phosphorus 3 - Type of test],Tbl_Q15_sampling[[#Headers],[Total P]],Tbl_Responses[Phosphorus 3 - How many representative samples per paddock],"&gt;""",Tbl_Responses[[Resp_Group]:[Resp_Group]],Agronomist)+COUNTIFS(Tbl_Responses[Phosphorus 4 - Type of test],Tbl_Q15_sampling[[#Headers],[Total P]],Tbl_Responses[Phosphorus 4 - How many representative samples per paddock],"&gt;""",Tbl_Responses[[Resp_Group]:[Resp_Group]],Agronomist)+COUNTIFS(Tbl_Responses[Phosphorus 5 - Type of test],Tbl_Q15_sampling[[#Headers],[Total P]],Tbl_Responses[Phosphorus 5 - How many representative samples per paddock],"&gt;""",Tbl_Responses[[Resp_Group]:[Resp_Group]],Agronomist))</f>
        <v>0</v>
      </c>
      <c r="CS6" s="82">
        <f>(COUNTIFS(Tbl_Responses[Phosphorus 1 - How many representative samples per paddock],$CM6,Tbl_Responses[[Resp_Group]:[Resp_Group]],Agronomist)+COUNTIFS(Tbl_Responses[Phosphorus 2 - How many representative samples per paddock],$CM6,Tbl_Responses[[Resp_Group]:[Resp_Group]],Agronomist)+COUNTIFS(Tbl_Responses[Phosphorus 3 - How many representative samples per paddock],$CM6,Tbl_Responses[[Resp_Group]:[Resp_Group]],Agronomist)+COUNTIFS(Tbl_Responses[Phosphorus 4 - How many representative samples per paddock],$CM6,Tbl_Responses[[Resp_Group]:[Resp_Group]],Agronomist)+COUNTIFS(Tbl_Responses[Phosphorus 5 - How many representative samples per paddock],$CM6,Tbl_Responses[[Resp_Group]:[Resp_Group]],Agronomist))/(COUNTIFS(Tbl_Responses[Phosphorus 1 - How many representative samples per paddock],"&gt;""",Tbl_Responses[[Resp_Group]:[Resp_Group]],Agronomist)+COUNTIFS(Tbl_Responses[Phosphorus 2 - How many representative samples per paddock],"&gt;""",Tbl_Responses[[Resp_Group]:[Resp_Group]],Agronomist)+COUNTIFS(Tbl_Responses[Phosphorus 3 - How many representative samples per paddock],"&gt;""",Tbl_Responses[[Resp_Group]:[Resp_Group]],Agronomist)+COUNTIFS(Tbl_Responses[Phosphorus 4 - How many representative samples per paddock],"&gt;""",Tbl_Responses[[Resp_Group]:[Resp_Group]],Agronomist)+COUNTIFS(Tbl_Responses[Phosphorus 5 - How many representative samples per paddock],"&gt;""",Tbl_Responses[[Resp_Group]:[Resp_Group]],Agronomist))</f>
        <v>0.14529914529914531</v>
      </c>
      <c r="CT6" s="72"/>
      <c r="CU6" s="72"/>
      <c r="CV6" s="72"/>
      <c r="CW6" s="72"/>
      <c r="CX6" s="72"/>
      <c r="CY6" s="72"/>
      <c r="CZ6" s="76" t="s">
        <v>405</v>
      </c>
      <c r="DA6" s="68">
        <f>(COUNTIFS(Tbl_Responses[Potassium 1 - Type of test],Tbl_Q16_sampling[[#Headers],[Colwell K]],Tbl_Responses[Potassium 1 - How many representative samples per paddock],$CZ6,Tbl_Responses[[Resp_Group]:[Resp_Group]],Agronomist)+COUNTIFS(Tbl_Responses[Potassium 2 - Type of test],Tbl_Q16_sampling[[#Headers],[Colwell K]],Tbl_Responses[Potassium 2 - How many representative samples per paddock],$CZ6,Tbl_Responses[[Resp_Group]:[Resp_Group]],Agronomist)+COUNTIFS(Tbl_Responses[Potassium 3 - Type of test],Tbl_Q16_sampling[[#Headers],[Colwell K]],Tbl_Responses[Potassium 3 - How many representative samples per paddock],$CZ6,Tbl_Responses[[Resp_Group]:[Resp_Group]],Agronomist))/(COUNTIFS(Tbl_Responses[Potassium 1 - Type of test],Tbl_Q16_sampling[[#Headers],[Colwell K]],Tbl_Responses[Potassium 1 - How many representative samples per paddock],"&gt;""",Tbl_Responses[[Resp_Group]:[Resp_Group]],Agronomist)+COUNTIFS(Tbl_Responses[Potassium 2 - Type of test],Tbl_Q16_sampling[[#Headers],[Colwell K]],Tbl_Responses[Potassium 2 - How many representative samples per paddock],"&gt;""",Tbl_Responses[[Resp_Group]:[Resp_Group]],Agronomist)+COUNTIFS(Tbl_Responses[Potassium 3 - Type of test],Tbl_Q16_sampling[[#Headers],[Colwell K]],Tbl_Responses[Potassium 3 - How many representative samples per paddock],"&gt;""",Tbl_Responses[[Resp_Group]:[Resp_Group]],Agronomist))</f>
        <v>6.4516129032258063E-2</v>
      </c>
      <c r="DB6" s="64">
        <f>(COUNTIFS(Tbl_Responses[Potassium 1 - Type of test],Tbl_Q16_sampling[[#Headers],[Exchangable Cations (Ca, Mg, K, Na)]],Tbl_Responses[Potassium 1 - How many representative samples per paddock],$CZ6,Tbl_Responses[[Resp_Group]:[Resp_Group]],Agronomist)+COUNTIFS(Tbl_Responses[Potassium 2 - Type of test],Tbl_Q16_sampling[[#Headers],[Exchangable Cations (Ca, Mg, K, Na)]],Tbl_Responses[Potassium 2 - How many representative samples per paddock],$CZ6,Tbl_Responses[[Resp_Group]:[Resp_Group]],Agronomist)+COUNTIFS(Tbl_Responses[Potassium 3 - Type of test],Tbl_Q16_sampling[[#Headers],[Exchangable Cations (Ca, Mg, K, Na)]],Tbl_Responses[Potassium 3 - How many representative samples per paddock],$CZ6,Tbl_Responses[[Resp_Group]:[Resp_Group]],Agronomist))/(COUNTIFS(Tbl_Responses[Potassium 1 - Type of test],Tbl_Q16_sampling[[#Headers],[Exchangable Cations (Ca, Mg, K, Na)]],Tbl_Responses[Potassium 1 - How many representative samples per paddock],"&gt;""",Tbl_Responses[[Resp_Group]:[Resp_Group]],Agronomist)+COUNTIFS(Tbl_Responses[Potassium 2 - Type of test],Tbl_Q16_sampling[[#Headers],[Exchangable Cations (Ca, Mg, K, Na)]],Tbl_Responses[Potassium 2 - How many representative samples per paddock],"&gt;""",Tbl_Responses[[Resp_Group]:[Resp_Group]],Agronomist)+COUNTIFS(Tbl_Responses[Potassium 3 - Type of test],Tbl_Q16_sampling[[#Headers],[Exchangable Cations (Ca, Mg, K, Na)]],Tbl_Responses[Potassium 3 - How many representative samples per paddock],"&gt;""",Tbl_Responses[[Resp_Group]:[Resp_Group]],Agronomist))</f>
        <v>9.0909090909090912E-2</v>
      </c>
      <c r="DC6" s="69">
        <f>(COUNTIFS(Tbl_Responses[Potassium 1 - How many representative samples per paddock],$CZ6,Tbl_Responses[[Resp_Group]:[Resp_Group]],Agronomist)+COUNTIFS(Tbl_Responses[Potassium 2 - How many representative samples per paddock],$CZ6,Tbl_Responses[[Resp_Group]:[Resp_Group]],Agronomist)+COUNTIFS(Tbl_Responses[Potassium 3 - How many representative samples per paddock],$CZ6,Tbl_Responses[[Resp_Group]:[Resp_Group]],Agronomist))/(COUNTIFS(Tbl_Responses[Potassium 1 - How many representative samples per paddock],"&gt;""",Tbl_Responses[[Resp_Group]:[Resp_Group]],Agronomist)+COUNTIFS(Tbl_Responses[Potassium 2 - How many representative samples per paddock],"&gt;""",Tbl_Responses[[Resp_Group]:[Resp_Group]],Agronomist)+COUNTIFS(Tbl_Responses[Potassium 3 - How many representative samples per paddock],"&gt;""",Tbl_Responses[[Resp_Group]:[Resp_Group]],Agronomist))</f>
        <v>7.5471698113207544E-2</v>
      </c>
      <c r="DD6" s="72"/>
      <c r="DE6" s="72"/>
      <c r="DF6" s="80" t="s">
        <v>323</v>
      </c>
      <c r="DG6" s="72">
        <f>(COUNTIFS(Tbl_Responses[1 - Type of test],DF6,Tbl_Responses[[Resp_Group]:[Resp_Group]],Agronomist)+COUNTIFS(Tbl_Responses[2 - Type of test],DF6,Tbl_Responses[[Resp_Group]:[Resp_Group]],Agronomist)+COUNTIFS(Tbl_Responses[3 - Type of test],DF6,Tbl_Responses[[Resp_Group]:[Resp_Group]],Agronomist)+COUNTIFS(Tbl_Responses[4 - Type of test],DF6,Tbl_Responses[[Resp_Group]:[Resp_Group]],Agronomist)+COUNTIFS(Tbl_Responses[5 - Type of test],DF6,Tbl_Responses[[Resp_Group]:[Resp_Group]],Agronomist))/(COUNTIFS(Tbl_Responses[1 -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f>
        <v>5.2401746724890827E-2</v>
      </c>
      <c r="DH6" s="72"/>
      <c r="DI6" s="72"/>
      <c r="DJ6" s="76" t="s">
        <v>405</v>
      </c>
      <c r="DK6" s="68">
        <f>(COUNTIFS(Tbl_Responses[1 - Type of test],Tbl_Q17_sampling[[#Headers],[pH]],Tbl_Responses[1 - How many cores per paddock],$DJ6,Tbl_Responses[[Resp_Group]:[Resp_Group]],Agronomist)+COUNTIFS(Tbl_Responses[2 - Type of test],Tbl_Q17_sampling[[#Headers],[pH]],Tbl_Responses[2 - How many cores per paddock],$DJ6,Tbl_Responses[[Resp_Group]:[Resp_Group]],Agronomist)+COUNTIFS(Tbl_Responses[3 - Type of test],Tbl_Q17_sampling[[#Headers],[pH]],Tbl_Responses[3 - How many cores per paddock],$DJ6,Tbl_Responses[[Resp_Group]:[Resp_Group]],Agronomist)+COUNTIFS(Tbl_Responses[4 - Type of test],Tbl_Q17_sampling[[#Headers],[pH]],Tbl_Responses[4 - How many cores per paddock],$DJ6,Tbl_Responses[[Resp_Group]:[Resp_Group]],Agronomist)+COUNTIFS(Tbl_Responses[5 - Type of test],Tbl_Q17_sampling[[#Headers],[pH]],Tbl_Responses[5 - How many cores per paddock],$DJ6,Tbl_Responses[[Resp_Group]:[Resp_Group]],Agronomist)+COUNTIFS(Tbl_Responses[6 - Type of test],Tbl_Q17_sampling[[#Headers],[pH]],Tbl_Responses[6 - How many cores per paddock],$DJ6,Tbl_Responses[[Resp_Group]:[Resp_Group]],Agronomist)+COUNTIFS(Tbl_Responses[7 - Type of test],Tbl_Q17_sampling[[#Headers],[pH]],Tbl_Responses[7 - How many cores per paddock],$DJ6,Tbl_Responses[[Resp_Group]:[Resp_Group]],Agronomist)+COUNTIFS(Tbl_Responses[8 - Type of test],Tbl_Q17_sampling[[#Headers],[pH]],Tbl_Responses[8 - How many cores per paddock],$DJ6,Tbl_Responses[[Resp_Group]:[Resp_Group]],Agronomist))/(COUNTIFS(Tbl_Responses[1 -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f>
        <v>0.13513513513513514</v>
      </c>
      <c r="DL6" s="64">
        <f>(COUNTIFS(Tbl_Responses[1 - Type of test],Tbl_Q17_sampling[[#Headers],[Trace elements (DTPA) Cu, Zn, Mg, Fe]],Tbl_Responses[1 - How many cores per paddock],$DJ6,Tbl_Responses[[Resp_Group]:[Resp_Group]],Agronomist)+COUNTIFS(Tbl_Responses[2 - Type of test],Tbl_Q17_sampling[[#Headers],[Trace elements (DTPA) Cu, Zn, Mg, Fe]],Tbl_Responses[2 - How many cores per paddock],$DJ6,Tbl_Responses[[Resp_Group]:[Resp_Group]],Agronomist)+COUNTIFS(Tbl_Responses[3 - Type of test],Tbl_Q17_sampling[[#Headers],[Trace elements (DTPA) Cu, Zn, Mg, Fe]],Tbl_Responses[3 - How many cores per paddock],$DJ6,Tbl_Responses[[Resp_Group]:[Resp_Group]],Agronomist)+COUNTIFS(Tbl_Responses[4 - Type of test],Tbl_Q17_sampling[[#Headers],[Trace elements (DTPA) Cu, Zn, Mg, Fe]],Tbl_Responses[4 - How many cores per paddock],$DJ6,Tbl_Responses[[Resp_Group]:[Resp_Group]],Agronomist)+COUNTIFS(Tbl_Responses[5 - Type of test],Tbl_Q17_sampling[[#Headers],[Trace elements (DTPA) Cu, Zn, Mg, Fe]],Tbl_Responses[5 - How many cores per paddock],$DJ6,Tbl_Responses[[Resp_Group]:[Resp_Group]],Agronomist)+COUNTIFS(Tbl_Responses[6 - Type of test],Tbl_Q17_sampling[[#Headers],[Trace elements (DTPA) Cu, Zn, Mg, Fe]],Tbl_Responses[6 - How many cores per paddock],$DJ6,Tbl_Responses[[Resp_Group]:[Resp_Group]],Agronomist)+COUNTIFS(Tbl_Responses[7 - Type of test],Tbl_Q17_sampling[[#Headers],[Trace elements (DTPA) Cu, Zn, Mg, Fe]],Tbl_Responses[7 - How many cores per paddock],$DJ6,Tbl_Responses[[Resp_Group]:[Resp_Group]],Agronomist)+COUNTIFS(Tbl_Responses[8 - Type of test],Tbl_Q17_sampling[[#Headers],[Trace elements (DTPA) Cu, Zn, Mg, Fe]],Tbl_Responses[8 - How many cores per paddock],$DJ6,Tbl_Responses[[Resp_Group]:[Resp_Group]],Agronomist))/(COUNTIFS(Tbl_Responses[1 - Type of test],Tbl_Q17_sampling[[#Headers],[Trace elements (DTPA) Cu, Zn, Mg, Fe]],Tbl_Responses[1 - How many cores per paddock],"&gt;""",Tbl_Responses[[Resp_Group]:[Resp_Group]],Agronomist)+COUNTIFS(Tbl_Responses[2 - Type of test],Tbl_Q17_sampling[[#Headers],[Trace elements (DTPA) Cu, Zn, Mg, Fe]],Tbl_Responses[2 - How many cores per paddock],"&gt;""",Tbl_Responses[[Resp_Group]:[Resp_Group]],Agronomist)+COUNTIFS(Tbl_Responses[3 - Type of test],Tbl_Q17_sampling[[#Headers],[Trace elements (DTPA) Cu, Zn, Mg, Fe]],Tbl_Responses[3 - How many cores per paddock],"&gt;""",Tbl_Responses[[Resp_Group]:[Resp_Group]],Agronomist)+COUNTIFS(Tbl_Responses[4 - Type of test],Tbl_Q17_sampling[[#Headers],[Trace elements (DTPA) Cu, Zn, Mg, Fe]],Tbl_Responses[4 - How many cores per paddock],"&gt;""",Tbl_Responses[[Resp_Group]:[Resp_Group]],Agronomist)+COUNTIFS(Tbl_Responses[5 - Type of test],Tbl_Q17_sampling[[#Headers],[Trace elements (DTPA) Cu, Zn, Mg, Fe]],Tbl_Responses[5 - How many cores per paddock],"&gt;""",Tbl_Responses[[Resp_Group]:[Resp_Group]],Agronomist)+COUNTIFS(Tbl_Responses[6 - Type of test],Tbl_Q17_sampling[[#Headers],[Trace elements (DTPA) Cu, Zn, Mg, Fe]],Tbl_Responses[6 - How many cores per paddock],"&gt;""",Tbl_Responses[[Resp_Group]:[Resp_Group]],Agronomist)+COUNTIFS(Tbl_Responses[7 - Type of test],Tbl_Q17_sampling[[#Headers],[Trace elements (DTPA) Cu, Zn, Mg, Fe]],Tbl_Responses[7 - How many cores per paddock],"&gt;""",Tbl_Responses[[Resp_Group]:[Resp_Group]],Agronomist)+COUNTIFS(Tbl_Responses[8 - Type of test],Tbl_Q17_sampling[[#Headers],[Trace elements (DTPA) Cu, Zn, Mg, Fe]],Tbl_Responses[8 - How many cores per paddock],"&gt;""",Tbl_Responses[[Resp_Group]:[Resp_Group]],Agronomist))</f>
        <v>0.1388888888888889</v>
      </c>
      <c r="DM6" s="64">
        <f>(COUNTIFS(Tbl_Responses[1 - Type of test],Tbl_Q17_sampling[[#Headers],[Trace elements (EDTA) Cu, Zn, Mg, Fe]],Tbl_Responses[1 - How many cores per paddock],$DJ6,Tbl_Responses[[Resp_Group]:[Resp_Group]],Agronomist)+COUNTIFS(Tbl_Responses[2 - Type of test],Tbl_Q17_sampling[[#Headers],[Trace elements (EDTA) Cu, Zn, Mg, Fe]],Tbl_Responses[2 - How many cores per paddock],$DJ6,Tbl_Responses[[Resp_Group]:[Resp_Group]],Agronomist)+COUNTIFS(Tbl_Responses[3 - Type of test],Tbl_Q17_sampling[[#Headers],[Trace elements (EDTA) Cu, Zn, Mg, Fe]],Tbl_Responses[3 - How many cores per paddock],$DJ6,Tbl_Responses[[Resp_Group]:[Resp_Group]],Agronomist)+COUNTIFS(Tbl_Responses[4 - Type of test],Tbl_Q17_sampling[[#Headers],[Trace elements (EDTA) Cu, Zn, Mg, Fe]],Tbl_Responses[4 - How many cores per paddock],$DJ6,Tbl_Responses[[Resp_Group]:[Resp_Group]],Agronomist)+COUNTIFS(Tbl_Responses[5 - Type of test],Tbl_Q17_sampling[[#Headers],[Trace elements (EDTA) Cu, Zn, Mg, Fe]],Tbl_Responses[5 - How many cores per paddock],$DJ6,Tbl_Responses[[Resp_Group]:[Resp_Group]],Agronomist)+COUNTIFS(Tbl_Responses[6 - Type of test],Tbl_Q17_sampling[[#Headers],[Trace elements (EDTA) Cu, Zn, Mg, Fe]],Tbl_Responses[6 - How many cores per paddock],$DJ6,Tbl_Responses[[Resp_Group]:[Resp_Group]],Agronomist)+COUNTIFS(Tbl_Responses[7 - Type of test],Tbl_Q17_sampling[[#Headers],[Trace elements (EDTA) Cu, Zn, Mg, Fe]],Tbl_Responses[7 - How many cores per paddock],$DJ6,Tbl_Responses[[Resp_Group]:[Resp_Group]],Agronomist)+COUNTIFS(Tbl_Responses[8 - Type of test],Tbl_Q17_sampling[[#Headers],[Trace elements (EDTA) Cu, Zn, Mg, Fe]],Tbl_Responses[8 - How many cores per paddock],$DJ6,Tbl_Responses[[Resp_Group]:[Resp_Group]],Agronomist))/(COUNTIFS(Tbl_Responses[1 - Type of test],Tbl_Q17_sampling[[#Headers],[Trace elements (EDTA) Cu, Zn, Mg, Fe]],Tbl_Responses[1 - How many cores per paddock],"&gt;""",Tbl_Responses[[Resp_Group]:[Resp_Group]],Agronomist)+COUNTIFS(Tbl_Responses[2 - Type of test],Tbl_Q17_sampling[[#Headers],[Trace elements (EDTA) Cu, Zn, Mg, Fe]],Tbl_Responses[2 - How many cores per paddock],"&gt;""",Tbl_Responses[[Resp_Group]:[Resp_Group]],Agronomist)+COUNTIFS(Tbl_Responses[3 - Type of test],Tbl_Q17_sampling[[#Headers],[Trace elements (EDTA) Cu, Zn, Mg, Fe]],Tbl_Responses[3 - How many cores per paddock],"&gt;""",Tbl_Responses[[Resp_Group]:[Resp_Group]],Agronomist)+COUNTIFS(Tbl_Responses[4 - Type of test],Tbl_Q17_sampling[[#Headers],[Trace elements (EDTA) Cu, Zn, Mg, Fe]],Tbl_Responses[4 - How many cores per paddock],"&gt;""",Tbl_Responses[[Resp_Group]:[Resp_Group]],Agronomist)+COUNTIFS(Tbl_Responses[5 - Type of test],Tbl_Q17_sampling[[#Headers],[Trace elements (EDTA) Cu, Zn, Mg, Fe]],Tbl_Responses[5 - How many cores per paddock],"&gt;""",Tbl_Responses[[Resp_Group]:[Resp_Group]],Agronomist)+COUNTIFS(Tbl_Responses[6 - Type of test],Tbl_Q17_sampling[[#Headers],[Trace elements (EDTA) Cu, Zn, Mg, Fe]],Tbl_Responses[6 - How many cores per paddock],"&gt;""",Tbl_Responses[[Resp_Group]:[Resp_Group]],Agronomist)+COUNTIFS(Tbl_Responses[7 - Type of test],Tbl_Q17_sampling[[#Headers],[Trace elements (EDTA) Cu, Zn, Mg, Fe]],Tbl_Responses[7 - How many cores per paddock],"&gt;""",Tbl_Responses[[Resp_Group]:[Resp_Group]],Agronomist)+COUNTIFS(Tbl_Responses[8 - Type of test],Tbl_Q17_sampling[[#Headers],[Trace elements (EDTA) Cu, Zn, Mg, Fe]],Tbl_Responses[8 - How many cores per paddock],"&gt;""",Tbl_Responses[[Resp_Group]:[Resp_Group]],Agronomist))</f>
        <v>0.14285714285714285</v>
      </c>
      <c r="DN6" s="64">
        <f>(COUNTIFS(Tbl_Responses[1 - Type of test],Tbl_Q17_sampling[[#Headers],[Exchangable cations - Ca, Mg, Na, K]],Tbl_Responses[1 - How many cores per paddock],$DJ6,Tbl_Responses[[Resp_Group]:[Resp_Group]],Agronomist)+COUNTIFS(Tbl_Responses[2 - Type of test],Tbl_Q17_sampling[[#Headers],[Exchangable cations - Ca, Mg, Na, K]],Tbl_Responses[2 - How many cores per paddock],$DJ6,Tbl_Responses[[Resp_Group]:[Resp_Group]],Agronomist)+COUNTIFS(Tbl_Responses[3 - Type of test],Tbl_Q17_sampling[[#Headers],[Exchangable cations - Ca, Mg, Na, K]],Tbl_Responses[3 - How many cores per paddock],$DJ6,Tbl_Responses[[Resp_Group]:[Resp_Group]],Agronomist)+COUNTIFS(Tbl_Responses[4 - Type of test],Tbl_Q17_sampling[[#Headers],[Exchangable cations - Ca, Mg, Na, K]],Tbl_Responses[4 - How many cores per paddock],$DJ6,Tbl_Responses[[Resp_Group]:[Resp_Group]],Agronomist)+COUNTIFS(Tbl_Responses[5 - Type of test],Tbl_Q17_sampling[[#Headers],[Exchangable cations - Ca, Mg, Na, K]],Tbl_Responses[5 - How many cores per paddock],$DJ6,Tbl_Responses[[Resp_Group]:[Resp_Group]],Agronomist)+COUNTIFS(Tbl_Responses[6 - Type of test],Tbl_Q17_sampling[[#Headers],[Exchangable cations - Ca, Mg, Na, K]],Tbl_Responses[6 - How many cores per paddock],$DJ6,Tbl_Responses[[Resp_Group]:[Resp_Group]],Agronomist)+COUNTIFS(Tbl_Responses[7 - Type of test],Tbl_Q17_sampling[[#Headers],[Exchangable cations - Ca, Mg, Na, K]],Tbl_Responses[7 - How many cores per paddock],$DJ6,Tbl_Responses[[Resp_Group]:[Resp_Group]],Agronomist)+COUNTIFS(Tbl_Responses[8 - Type of test],Tbl_Q17_sampling[[#Headers],[Exchangable cations - Ca, Mg, Na, K]],Tbl_Responses[8 - How many cores per paddock],$DJ6,Tbl_Responses[[Resp_Group]:[Resp_Group]],Agronomist))/(COUNTIFS(Tbl_Responses[1 - Type of test],Tbl_Q17_sampling[[#Headers],[Exchangable cations - Ca, Mg, Na, K]],Tbl_Responses[1 - How many cores per paddock],"&gt;""",Tbl_Responses[[Resp_Group]:[Resp_Group]],Agronomist)+COUNTIFS(Tbl_Responses[2 - Type of test],Tbl_Q17_sampling[[#Headers],[Exchangable cations - Ca, Mg, Na, K]],Tbl_Responses[2 - How many cores per paddock],"&gt;""",Tbl_Responses[[Resp_Group]:[Resp_Group]],Agronomist)+COUNTIFS(Tbl_Responses[3 - Type of test],Tbl_Q17_sampling[[#Headers],[Exchangable cations - Ca, Mg, Na, K]],Tbl_Responses[3 - How many cores per paddock],"&gt;""",Tbl_Responses[[Resp_Group]:[Resp_Group]],Agronomist)+COUNTIFS(Tbl_Responses[4 - Type of test],Tbl_Q17_sampling[[#Headers],[Exchangable cations - Ca, Mg, Na, K]],Tbl_Responses[4 - How many cores per paddock],"&gt;""",Tbl_Responses[[Resp_Group]:[Resp_Group]],Agronomist)+COUNTIFS(Tbl_Responses[5 - Type of test],Tbl_Q17_sampling[[#Headers],[Exchangable cations - Ca, Mg, Na, K]],Tbl_Responses[5 - How many cores per paddock],"&gt;""",Tbl_Responses[[Resp_Group]:[Resp_Group]],Agronomist)+COUNTIFS(Tbl_Responses[6 - Type of test],Tbl_Q17_sampling[[#Headers],[Exchangable cations - Ca, Mg, Na, K]],Tbl_Responses[6 - How many cores per paddock],"&gt;""",Tbl_Responses[[Resp_Group]:[Resp_Group]],Agronomist)+COUNTIFS(Tbl_Responses[7 - Type of test],Tbl_Q17_sampling[[#Headers],[Exchangable cations - Ca, Mg, Na, K]],Tbl_Responses[7 - How many cores per paddock],"&gt;""",Tbl_Responses[[Resp_Group]:[Resp_Group]],Agronomist)+COUNTIFS(Tbl_Responses[8 - Type of test],Tbl_Q17_sampling[[#Headers],[Exchangable cations - Ca, Mg, Na, K]],Tbl_Responses[8 - How many cores per paddock],"&gt;""",Tbl_Responses[[Resp_Group]:[Resp_Group]],Agronomist))</f>
        <v>0.1875</v>
      </c>
      <c r="DO6" s="64">
        <f>(COUNTIFS(Tbl_Responses[1 - Type of test],Tbl_Q17_sampling[[#Headers],[Texture]],Tbl_Responses[1 - How many cores per paddock],$DJ6,Tbl_Responses[[Resp_Group]:[Resp_Group]],Agronomist)+COUNTIFS(Tbl_Responses[2 - Type of test],Tbl_Q17_sampling[[#Headers],[Texture]],Tbl_Responses[2 - How many cores per paddock],$DJ6,Tbl_Responses[[Resp_Group]:[Resp_Group]],Agronomist)+COUNTIFS(Tbl_Responses[3 - Type of test],Tbl_Q17_sampling[[#Headers],[Texture]],Tbl_Responses[3 - How many cores per paddock],$DJ6,Tbl_Responses[[Resp_Group]:[Resp_Group]],Agronomist)+COUNTIFS(Tbl_Responses[4 - Type of test],Tbl_Q17_sampling[[#Headers],[Texture]],Tbl_Responses[4 - How many cores per paddock],$DJ6,Tbl_Responses[[Resp_Group]:[Resp_Group]],Agronomist)+COUNTIFS(Tbl_Responses[5 - Type of test],Tbl_Q17_sampling[[#Headers],[Texture]],Tbl_Responses[5 - How many cores per paddock],$DJ6,Tbl_Responses[[Resp_Group]:[Resp_Group]],Agronomist)+COUNTIFS(Tbl_Responses[6 - Type of test],Tbl_Q17_sampling[[#Headers],[Texture]],Tbl_Responses[6 - How many cores per paddock],$DJ6,Tbl_Responses[[Resp_Group]:[Resp_Group]],Agronomist)+COUNTIFS(Tbl_Responses[7 - Type of test],Tbl_Q17_sampling[[#Headers],[Texture]],Tbl_Responses[7 - How many cores per paddock],$DJ6,Tbl_Responses[[Resp_Group]:[Resp_Group]],Agronomist)+COUNTIFS(Tbl_Responses[8 - Type of test],Tbl_Q17_sampling[[#Headers],[Texture]],Tbl_Responses[8 - How many cores per paddock],$DJ6,Tbl_Responses[[Resp_Group]:[Resp_Group]],Agronomist))/(COUNTIFS(Tbl_Responses[1 - Type of test],Tbl_Q17_sampling[[#Headers],[Texture]],Tbl_Responses[1 - How many cores per paddock],"&gt;""",Tbl_Responses[[Resp_Group]:[Resp_Group]],Agronomist)+COUNTIFS(Tbl_Responses[2 - Type of test],Tbl_Q17_sampling[[#Headers],[Texture]],Tbl_Responses[2 - How many cores per paddock],"&gt;""",Tbl_Responses[[Resp_Group]:[Resp_Group]],Agronomist)+COUNTIFS(Tbl_Responses[3 - Type of test],Tbl_Q17_sampling[[#Headers],[Texture]],Tbl_Responses[3 - How many cores per paddock],"&gt;""",Tbl_Responses[[Resp_Group]:[Resp_Group]],Agronomist)+COUNTIFS(Tbl_Responses[4 - Type of test],Tbl_Q17_sampling[[#Headers],[Texture]],Tbl_Responses[4 - How many cores per paddock],"&gt;""",Tbl_Responses[[Resp_Group]:[Resp_Group]],Agronomist)+COUNTIFS(Tbl_Responses[5 - Type of test],Tbl_Q17_sampling[[#Headers],[Texture]],Tbl_Responses[5 - How many cores per paddock],"&gt;""",Tbl_Responses[[Resp_Group]:[Resp_Group]],Agronomist)+COUNTIFS(Tbl_Responses[6 - Type of test],Tbl_Q17_sampling[[#Headers],[Texture]],Tbl_Responses[6 - How many cores per paddock],"&gt;""",Tbl_Responses[[Resp_Group]:[Resp_Group]],Agronomist)+COUNTIFS(Tbl_Responses[7 - Type of test],Tbl_Q17_sampling[[#Headers],[Texture]],Tbl_Responses[7 - How many cores per paddock],"&gt;""",Tbl_Responses[[Resp_Group]:[Resp_Group]],Agronomist)+COUNTIFS(Tbl_Responses[8 - Type of test],Tbl_Q17_sampling[[#Headers],[Texture]],Tbl_Responses[8 - How many cores per paddock],"&gt;""",Tbl_Responses[[Resp_Group]:[Resp_Group]],Agronomist))</f>
        <v>0.13333333333333333</v>
      </c>
      <c r="DP6" s="64">
        <f>(COUNTIFS(Tbl_Responses[1 - Type of test],Tbl_Q17_sampling[[#Headers],[Aluminium (CaCl2)]],Tbl_Responses[1 - How many cores per paddock],$DJ6,Tbl_Responses[[Resp_Group]:[Resp_Group]],Agronomist)+COUNTIFS(Tbl_Responses[2 - Type of test],Tbl_Q17_sampling[[#Headers],[Aluminium (CaCl2)]],Tbl_Responses[2 - How many cores per paddock],$DJ6,Tbl_Responses[[Resp_Group]:[Resp_Group]],Agronomist)+COUNTIFS(Tbl_Responses[3 - Type of test],Tbl_Q17_sampling[[#Headers],[Aluminium (CaCl2)]],Tbl_Responses[3 - How many cores per paddock],$DJ6,Tbl_Responses[[Resp_Group]:[Resp_Group]],Agronomist)+COUNTIFS(Tbl_Responses[4 - Type of test],Tbl_Q17_sampling[[#Headers],[Aluminium (CaCl2)]],Tbl_Responses[4 - How many cores per paddock],$DJ6,Tbl_Responses[[Resp_Group]:[Resp_Group]],Agronomist)+COUNTIFS(Tbl_Responses[5 - Type of test],Tbl_Q17_sampling[[#Headers],[Aluminium (CaCl2)]],Tbl_Responses[5 - How many cores per paddock],$DJ6,Tbl_Responses[[Resp_Group]:[Resp_Group]],Agronomist)+COUNTIFS(Tbl_Responses[6 - Type of test],Tbl_Q17_sampling[[#Headers],[Aluminium (CaCl2)]],Tbl_Responses[6 - How many cores per paddock],$DJ6,Tbl_Responses[[Resp_Group]:[Resp_Group]],Agronomist)+COUNTIFS(Tbl_Responses[7 - Type of test],Tbl_Q17_sampling[[#Headers],[Aluminium (CaCl2)]],Tbl_Responses[7 - How many cores per paddock],$DJ6,Tbl_Responses[[Resp_Group]:[Resp_Group]],Agronomist)+COUNTIFS(Tbl_Responses[8 - Type of test],Tbl_Q17_sampling[[#Headers],[Aluminium (CaCl2)]],Tbl_Responses[8 - How many cores per paddock],$DJ6,Tbl_Responses[[Resp_Group]:[Resp_Group]],Agronomist))/(COUNTIFS(Tbl_Responses[1 - Type of test],Tbl_Q17_sampling[[#Headers],[Aluminium (CaCl2)]],Tbl_Responses[1 - How many cores per paddock],"&gt;""",Tbl_Responses[[Resp_Group]:[Resp_Group]],Agronomist)+COUNTIFS(Tbl_Responses[2 - Type of test],Tbl_Q17_sampling[[#Headers],[Aluminium (CaCl2)]],Tbl_Responses[2 - How many cores per paddock],"&gt;""",Tbl_Responses[[Resp_Group]:[Resp_Group]],Agronomist)+COUNTIFS(Tbl_Responses[3 - Type of test],Tbl_Q17_sampling[[#Headers],[Aluminium (CaCl2)]],Tbl_Responses[3 - How many cores per paddock],"&gt;""",Tbl_Responses[[Resp_Group]:[Resp_Group]],Agronomist)+COUNTIFS(Tbl_Responses[4 - Type of test],Tbl_Q17_sampling[[#Headers],[Aluminium (CaCl2)]],Tbl_Responses[4 - How many cores per paddock],"&gt;""",Tbl_Responses[[Resp_Group]:[Resp_Group]],Agronomist)+COUNTIFS(Tbl_Responses[5 - Type of test],Tbl_Q17_sampling[[#Headers],[Aluminium (CaCl2)]],Tbl_Responses[5 - How many cores per paddock],"&gt;""",Tbl_Responses[[Resp_Group]:[Resp_Group]],Agronomist)+COUNTIFS(Tbl_Responses[6 - Type of test],Tbl_Q17_sampling[[#Headers],[Aluminium (CaCl2)]],Tbl_Responses[6 - How many cores per paddock],"&gt;""",Tbl_Responses[[Resp_Group]:[Resp_Group]],Agronomist)+COUNTIFS(Tbl_Responses[7 - Type of test],Tbl_Q17_sampling[[#Headers],[Aluminium (CaCl2)]],Tbl_Responses[7 - How many cores per paddock],"&gt;""",Tbl_Responses[[Resp_Group]:[Resp_Group]],Agronomist)+COUNTIFS(Tbl_Responses[8 - Type of test],Tbl_Q17_sampling[[#Headers],[Aluminium (CaCl2)]],Tbl_Responses[8 - How many cores per paddock],"&gt;""",Tbl_Responses[[Resp_Group]:[Resp_Group]],Agronomist))</f>
        <v>0.19354838709677419</v>
      </c>
      <c r="DQ6" s="64">
        <f>(COUNTIFS(Tbl_Responses[1 - Type of test],Tbl_Q17_sampling[[#Headers],[Chloride]],Tbl_Responses[1 - How many cores per paddock],$DJ6,Tbl_Responses[[Resp_Group]:[Resp_Group]],Agronomist)+COUNTIFS(Tbl_Responses[2 - Type of test],Tbl_Q17_sampling[[#Headers],[Chloride]],Tbl_Responses[2 - How many cores per paddock],$DJ6,Tbl_Responses[[Resp_Group]:[Resp_Group]],Agronomist)+COUNTIFS(Tbl_Responses[3 - Type of test],Tbl_Q17_sampling[[#Headers],[Chloride]],Tbl_Responses[3 - How many cores per paddock],$DJ6,Tbl_Responses[[Resp_Group]:[Resp_Group]],Agronomist)+COUNTIFS(Tbl_Responses[4 - Type of test],Tbl_Q17_sampling[[#Headers],[Chloride]],Tbl_Responses[4 - How many cores per paddock],$DJ6,Tbl_Responses[[Resp_Group]:[Resp_Group]],Agronomist)+COUNTIFS(Tbl_Responses[5 - Type of test],Tbl_Q17_sampling[[#Headers],[Chloride]],Tbl_Responses[5 - How many cores per paddock],$DJ6,Tbl_Responses[[Resp_Group]:[Resp_Group]],Agronomist)+COUNTIFS(Tbl_Responses[6 - Type of test],Tbl_Q17_sampling[[#Headers],[Chloride]],Tbl_Responses[6 - How many cores per paddock],$DJ6,Tbl_Responses[[Resp_Group]:[Resp_Group]],Agronomist)+COUNTIFS(Tbl_Responses[7 - Type of test],Tbl_Q17_sampling[[#Headers],[Chloride]],Tbl_Responses[7 - How many cores per paddock],$DJ6,Tbl_Responses[[Resp_Group]:[Resp_Group]],Agronomist)+COUNTIFS(Tbl_Responses[8 - Type of test],Tbl_Q17_sampling[[#Headers],[Chloride]],Tbl_Responses[8 - How many cores per paddock],$DJ6,Tbl_Responses[[Resp_Group]:[Resp_Group]],Agronomist))/(COUNTIFS(Tbl_Responses[1 - Type of test],Tbl_Q17_sampling[[#Headers],[Chloride]],Tbl_Responses[1 - How many cores per paddock],"&gt;""",Tbl_Responses[[Resp_Group]:[Resp_Group]],Agronomist)+COUNTIFS(Tbl_Responses[2 - Type of test],Tbl_Q17_sampling[[#Headers],[Chloride]],Tbl_Responses[2 - How many cores per paddock],"&gt;""",Tbl_Responses[[Resp_Group]:[Resp_Group]],Agronomist)+COUNTIFS(Tbl_Responses[3 - Type of test],Tbl_Q17_sampling[[#Headers],[Chloride]],Tbl_Responses[3 - How many cores per paddock],"&gt;""",Tbl_Responses[[Resp_Group]:[Resp_Group]],Agronomist)+COUNTIFS(Tbl_Responses[4 - Type of test],Tbl_Q17_sampling[[#Headers],[Chloride]],Tbl_Responses[4 - How many cores per paddock],"&gt;""",Tbl_Responses[[Resp_Group]:[Resp_Group]],Agronomist)+COUNTIFS(Tbl_Responses[5 - Type of test],Tbl_Q17_sampling[[#Headers],[Chloride]],Tbl_Responses[5 - How many cores per paddock],"&gt;""",Tbl_Responses[[Resp_Group]:[Resp_Group]],Agronomist)+COUNTIFS(Tbl_Responses[6 - Type of test],Tbl_Q17_sampling[[#Headers],[Chloride]],Tbl_Responses[6 - How many cores per paddock],"&gt;""",Tbl_Responses[[Resp_Group]:[Resp_Group]],Agronomist)+COUNTIFS(Tbl_Responses[7 - Type of test],Tbl_Q17_sampling[[#Headers],[Chloride]],Tbl_Responses[7 - How many cores per paddock],"&gt;""",Tbl_Responses[[Resp_Group]:[Resp_Group]],Agronomist)+COUNTIFS(Tbl_Responses[8 - Type of test],Tbl_Q17_sampling[[#Headers],[Chloride]],Tbl_Responses[8 - How many cores per paddock],"&gt;""",Tbl_Responses[[Resp_Group]:[Resp_Group]],Agronomist))</f>
        <v>0.125</v>
      </c>
      <c r="DR6" s="64">
        <f>(COUNTIFS(Tbl_Responses[1 - Type of test],Tbl_Q17_sampling[[#Headers],[Boron]],Tbl_Responses[1 - How many cores per paddock],$DJ6,Tbl_Responses[[Resp_Group]:[Resp_Group]],Agronomist)+COUNTIFS(Tbl_Responses[2 - Type of test],Tbl_Q17_sampling[[#Headers],[Boron]],Tbl_Responses[2 - How many cores per paddock],$DJ6,Tbl_Responses[[Resp_Group]:[Resp_Group]],Agronomist)+COUNTIFS(Tbl_Responses[3 - Type of test],Tbl_Q17_sampling[[#Headers],[Boron]],Tbl_Responses[3 - How many cores per paddock],$DJ6,Tbl_Responses[[Resp_Group]:[Resp_Group]],Agronomist)+COUNTIFS(Tbl_Responses[4 - Type of test],Tbl_Q17_sampling[[#Headers],[Boron]],Tbl_Responses[4 - How many cores per paddock],$DJ6,Tbl_Responses[[Resp_Group]:[Resp_Group]],Agronomist)+COUNTIFS(Tbl_Responses[5 - Type of test],Tbl_Q17_sampling[[#Headers],[Boron]],Tbl_Responses[5 - How many cores per paddock],$DJ6,Tbl_Responses[[Resp_Group]:[Resp_Group]],Agronomist)+COUNTIFS(Tbl_Responses[6 - Type of test],Tbl_Q17_sampling[[#Headers],[Boron]],Tbl_Responses[6 - How many cores per paddock],$DJ6,Tbl_Responses[[Resp_Group]:[Resp_Group]],Agronomist)+COUNTIFS(Tbl_Responses[7 - Type of test],Tbl_Q17_sampling[[#Headers],[Boron]],Tbl_Responses[7 - How many cores per paddock],$DJ6,Tbl_Responses[[Resp_Group]:[Resp_Group]],Agronomist)+COUNTIFS(Tbl_Responses[8 - Type of test],Tbl_Q17_sampling[[#Headers],[Boron]],Tbl_Responses[8 - How many cores per paddock],$DJ6,Tbl_Responses[[Resp_Group]:[Resp_Group]],Agronomist))/(COUNTIFS(Tbl_Responses[1 - Type of test],Tbl_Q17_sampling[[#Headers],[Boron]],Tbl_Responses[1 - How many cores per paddock],"&gt;""",Tbl_Responses[[Resp_Group]:[Resp_Group]],Agronomist)+COUNTIFS(Tbl_Responses[2 - Type of test],Tbl_Q17_sampling[[#Headers],[Boron]],Tbl_Responses[2 - How many cores per paddock],"&gt;""",Tbl_Responses[[Resp_Group]:[Resp_Group]],Agronomist)+COUNTIFS(Tbl_Responses[3 - Type of test],Tbl_Q17_sampling[[#Headers],[Boron]],Tbl_Responses[3 - How many cores per paddock],"&gt;""",Tbl_Responses[[Resp_Group]:[Resp_Group]],Agronomist)+COUNTIFS(Tbl_Responses[4 - Type of test],Tbl_Q17_sampling[[#Headers],[Boron]],Tbl_Responses[4 - How many cores per paddock],"&gt;""",Tbl_Responses[[Resp_Group]:[Resp_Group]],Agronomist)+COUNTIFS(Tbl_Responses[5 - Type of test],Tbl_Q17_sampling[[#Headers],[Boron]],Tbl_Responses[5 - How many cores per paddock],"&gt;""",Tbl_Responses[[Resp_Group]:[Resp_Group]],Agronomist)+COUNTIFS(Tbl_Responses[6 - Type of test],Tbl_Q17_sampling[[#Headers],[Boron]],Tbl_Responses[6 - How many cores per paddock],"&gt;""",Tbl_Responses[[Resp_Group]:[Resp_Group]],Agronomist)+COUNTIFS(Tbl_Responses[7 - Type of test],Tbl_Q17_sampling[[#Headers],[Boron]],Tbl_Responses[7 - How many cores per paddock],"&gt;""",Tbl_Responses[[Resp_Group]:[Resp_Group]],Agronomist)+COUNTIFS(Tbl_Responses[8 - Type of test],Tbl_Q17_sampling[[#Headers],[Boron]],Tbl_Responses[8 - How many cores per paddock],"&gt;""",Tbl_Responses[[Resp_Group]:[Resp_Group]],Agronomist))</f>
        <v>0.16129032258064516</v>
      </c>
      <c r="DS6" s="64">
        <f>(COUNTIFS(Tbl_Responses[1 - Type of test],Tbl_Q17_sampling[[#Headers],[Sulfur (KCl40)]],Tbl_Responses[1 - How many cores per paddock],$DJ6,Tbl_Responses[[Resp_Group]:[Resp_Group]],Agronomist)+COUNTIFS(Tbl_Responses[2 - Type of test],Tbl_Q17_sampling[[#Headers],[Sulfur (KCl40)]],Tbl_Responses[2 - How many cores per paddock],$DJ6,Tbl_Responses[[Resp_Group]:[Resp_Group]],Agronomist)+COUNTIFS(Tbl_Responses[3 - Type of test],Tbl_Q17_sampling[[#Headers],[Sulfur (KCl40)]],Tbl_Responses[3 - How many cores per paddock],$DJ6,Tbl_Responses[[Resp_Group]:[Resp_Group]],Agronomist)+COUNTIFS(Tbl_Responses[4 - Type of test],Tbl_Q17_sampling[[#Headers],[Sulfur (KCl40)]],Tbl_Responses[4 - How many cores per paddock],$DJ6,Tbl_Responses[[Resp_Group]:[Resp_Group]],Agronomist)+COUNTIFS(Tbl_Responses[5 - Type of test],Tbl_Q17_sampling[[#Headers],[Sulfur (KCl40)]],Tbl_Responses[5 - How many cores per paddock],$DJ6,Tbl_Responses[[Resp_Group]:[Resp_Group]],Agronomist)+COUNTIFS(Tbl_Responses[6 - Type of test],Tbl_Q17_sampling[[#Headers],[Sulfur (KCl40)]],Tbl_Responses[6 - How many cores per paddock],$DJ6,Tbl_Responses[[Resp_Group]:[Resp_Group]],Agronomist)+COUNTIFS(Tbl_Responses[7 - Type of test],Tbl_Q17_sampling[[#Headers],[Sulfur (KCl40)]],Tbl_Responses[7 - How many cores per paddock],$DJ6,Tbl_Responses[[Resp_Group]:[Resp_Group]],Agronomist)+COUNTIFS(Tbl_Responses[8 - Type of test],Tbl_Q17_sampling[[#Headers],[Sulfur (KCl40)]],Tbl_Responses[8 - How many cores per paddock],$DJ6,Tbl_Responses[[Resp_Group]:[Resp_Group]],Agronomist))/(COUNTIFS(Tbl_Responses[1 - Type of test],Tbl_Q17_sampling[[#Headers],[Sulfur (KCl40)]],Tbl_Responses[1 - How many cores per paddock],"&gt;""",Tbl_Responses[[Resp_Group]:[Resp_Group]],Agronomist)+COUNTIFS(Tbl_Responses[2 - Type of test],Tbl_Q17_sampling[[#Headers],[Sulfur (KCl40)]],Tbl_Responses[2 - How many cores per paddock],"&gt;""",Tbl_Responses[[Resp_Group]:[Resp_Group]],Agronomist)+COUNTIFS(Tbl_Responses[3 - Type of test],Tbl_Q17_sampling[[#Headers],[Sulfur (KCl40)]],Tbl_Responses[3 - How many cores per paddock],"&gt;""",Tbl_Responses[[Resp_Group]:[Resp_Group]],Agronomist)+COUNTIFS(Tbl_Responses[4 - Type of test],Tbl_Q17_sampling[[#Headers],[Sulfur (KCl40)]],Tbl_Responses[4 - How many cores per paddock],"&gt;""",Tbl_Responses[[Resp_Group]:[Resp_Group]],Agronomist)+COUNTIFS(Tbl_Responses[5 - Type of test],Tbl_Q17_sampling[[#Headers],[Sulfur (KCl40)]],Tbl_Responses[5 - How many cores per paddock],"&gt;""",Tbl_Responses[[Resp_Group]:[Resp_Group]],Agronomist)+COUNTIFS(Tbl_Responses[6 - Type of test],Tbl_Q17_sampling[[#Headers],[Sulfur (KCl40)]],Tbl_Responses[6 - How many cores per paddock],"&gt;""",Tbl_Responses[[Resp_Group]:[Resp_Group]],Agronomist)+COUNTIFS(Tbl_Responses[7 - Type of test],Tbl_Q17_sampling[[#Headers],[Sulfur (KCl40)]],Tbl_Responses[7 - How many cores per paddock],"&gt;""",Tbl_Responses[[Resp_Group]:[Resp_Group]],Agronomist)+COUNTIFS(Tbl_Responses[8 - Type of test],Tbl_Q17_sampling[[#Headers],[Sulfur (KCl40)]],Tbl_Responses[8 - How many cores per paddock],"&gt;""",Tbl_Responses[[Resp_Group]:[Resp_Group]],Agronomist))</f>
        <v>9.375E-2</v>
      </c>
      <c r="DT6" s="64">
        <f>(COUNTIFS(Tbl_Responses[1 - Type of test],Tbl_Q17_sampling[[#Headers],[Calcium carbonate %]],Tbl_Responses[1 - How many cores per paddock],$DJ6,Tbl_Responses[[Resp_Group]:[Resp_Group]],Agronomist)+COUNTIFS(Tbl_Responses[2 - Type of test],Tbl_Q17_sampling[[#Headers],[Calcium carbonate %]],Tbl_Responses[2 - How many cores per paddock],$DJ6,Tbl_Responses[[Resp_Group]:[Resp_Group]],Agronomist)+COUNTIFS(Tbl_Responses[3 - Type of test],Tbl_Q17_sampling[[#Headers],[Calcium carbonate %]],Tbl_Responses[3 - How many cores per paddock],$DJ6,Tbl_Responses[[Resp_Group]:[Resp_Group]],Agronomist)+COUNTIFS(Tbl_Responses[4 - Type of test],Tbl_Q17_sampling[[#Headers],[Calcium carbonate %]],Tbl_Responses[4 - How many cores per paddock],$DJ6,Tbl_Responses[[Resp_Group]:[Resp_Group]],Agronomist)+COUNTIFS(Tbl_Responses[5 - Type of test],Tbl_Q17_sampling[[#Headers],[Calcium carbonate %]],Tbl_Responses[5 - How many cores per paddock],$DJ6,Tbl_Responses[[Resp_Group]:[Resp_Group]],Agronomist)+COUNTIFS(Tbl_Responses[6 - Type of test],Tbl_Q17_sampling[[#Headers],[Calcium carbonate %]],Tbl_Responses[6 - How many cores per paddock],$DJ6,Tbl_Responses[[Resp_Group]:[Resp_Group]],Agronomist)+COUNTIFS(Tbl_Responses[7 - Type of test],Tbl_Q17_sampling[[#Headers],[Calcium carbonate %]],Tbl_Responses[7 - How many cores per paddock],$DJ6,Tbl_Responses[[Resp_Group]:[Resp_Group]],Agronomist)+COUNTIFS(Tbl_Responses[8 - Type of test],Tbl_Q17_sampling[[#Headers],[Calcium carbonate %]],Tbl_Responses[8 - How many cores per paddock],$DJ6,Tbl_Responses[[Resp_Group]:[Resp_Group]],Agronomist))/(COUNTIFS(Tbl_Responses[1 - Type of test],Tbl_Q17_sampling[[#Headers],[Calcium carbonate %]],Tbl_Responses[1 - How many cores per paddock],"&gt;""",Tbl_Responses[[Resp_Group]:[Resp_Group]],Agronomist)+COUNTIFS(Tbl_Responses[2 - Type of test],Tbl_Q17_sampling[[#Headers],[Calcium carbonate %]],Tbl_Responses[2 - How many cores per paddock],"&gt;""",Tbl_Responses[[Resp_Group]:[Resp_Group]],Agronomist)+COUNTIFS(Tbl_Responses[3 - Type of test],Tbl_Q17_sampling[[#Headers],[Calcium carbonate %]],Tbl_Responses[3 - How many cores per paddock],"&gt;""",Tbl_Responses[[Resp_Group]:[Resp_Group]],Agronomist)+COUNTIFS(Tbl_Responses[4 - Type of test],Tbl_Q17_sampling[[#Headers],[Calcium carbonate %]],Tbl_Responses[4 - How many cores per paddock],"&gt;""",Tbl_Responses[[Resp_Group]:[Resp_Group]],Agronomist)+COUNTIFS(Tbl_Responses[5 - Type of test],Tbl_Q17_sampling[[#Headers],[Calcium carbonate %]],Tbl_Responses[5 - How many cores per paddock],"&gt;""",Tbl_Responses[[Resp_Group]:[Resp_Group]],Agronomist)+COUNTIFS(Tbl_Responses[6 - Type of test],Tbl_Q17_sampling[[#Headers],[Calcium carbonate %]],Tbl_Responses[6 - How many cores per paddock],"&gt;""",Tbl_Responses[[Resp_Group]:[Resp_Group]],Agronomist)+COUNTIFS(Tbl_Responses[7 - Type of test],Tbl_Q17_sampling[[#Headers],[Calcium carbonate %]],Tbl_Responses[7 - How many cores per paddock],"&gt;""",Tbl_Responses[[Resp_Group]:[Resp_Group]],Agronomist)+COUNTIFS(Tbl_Responses[8 - Type of test],Tbl_Q17_sampling[[#Headers],[Calcium carbonate %]],Tbl_Responses[8 - How many cores per paddock],"&gt;""",Tbl_Responses[[Resp_Group]:[Resp_Group]],Agronomist))</f>
        <v>0.14285714285714285</v>
      </c>
      <c r="DU6" s="64">
        <f>(COUNTIFS(Tbl_Responses[1 - Type of test],Tbl_Q17_sampling[[#Headers],[Sulfur (MCP)]],Tbl_Responses[1 - How many cores per paddock],$DJ6,Tbl_Responses[[Resp_Group]:[Resp_Group]],Agronomist)+COUNTIFS(Tbl_Responses[2 - Type of test],Tbl_Q17_sampling[[#Headers],[Sulfur (MCP)]],Tbl_Responses[2 - How many cores per paddock],$DJ6,Tbl_Responses[[Resp_Group]:[Resp_Group]],Agronomist)+COUNTIFS(Tbl_Responses[3 - Type of test],Tbl_Q17_sampling[[#Headers],[Sulfur (MCP)]],Tbl_Responses[3 - How many cores per paddock],$DJ6,Tbl_Responses[[Resp_Group]:[Resp_Group]],Agronomist)+COUNTIFS(Tbl_Responses[4 - Type of test],Tbl_Q17_sampling[[#Headers],[Sulfur (MCP)]],Tbl_Responses[4 - How many cores per paddock],$DJ6,Tbl_Responses[[Resp_Group]:[Resp_Group]],Agronomist)+COUNTIFS(Tbl_Responses[5 - Type of test],Tbl_Q17_sampling[[#Headers],[Sulfur (MCP)]],Tbl_Responses[5 - How many cores per paddock],$DJ6,Tbl_Responses[[Resp_Group]:[Resp_Group]],Agronomist)+COUNTIFS(Tbl_Responses[6 - Type of test],Tbl_Q17_sampling[[#Headers],[Sulfur (MCP)]],Tbl_Responses[6 - How many cores per paddock],$DJ6,Tbl_Responses[[Resp_Group]:[Resp_Group]],Agronomist)+COUNTIFS(Tbl_Responses[7 - Type of test],Tbl_Q17_sampling[[#Headers],[Sulfur (MCP)]],Tbl_Responses[7 - How many cores per paddock],$DJ6,Tbl_Responses[[Resp_Group]:[Resp_Group]],Agronomist)+COUNTIFS(Tbl_Responses[8 - Type of test],Tbl_Q17_sampling[[#Headers],[Sulfur (MCP)]],Tbl_Responses[8 - How many cores per paddock],$DJ6,Tbl_Responses[[Resp_Group]:[Resp_Group]],Agronomist))/(COUNTIFS(Tbl_Responses[1 - Type of test],Tbl_Q17_sampling[[#Headers],[Sulfur (MCP)]],Tbl_Responses[1 - How many cores per paddock],"&gt;""",Tbl_Responses[[Resp_Group]:[Resp_Group]],Agronomist)+COUNTIFS(Tbl_Responses[2 - Type of test],Tbl_Q17_sampling[[#Headers],[Sulfur (MCP)]],Tbl_Responses[2 - How many cores per paddock],"&gt;""",Tbl_Responses[[Resp_Group]:[Resp_Group]],Agronomist)+COUNTIFS(Tbl_Responses[3 - Type of test],Tbl_Q17_sampling[[#Headers],[Sulfur (MCP)]],Tbl_Responses[3 - How many cores per paddock],"&gt;""",Tbl_Responses[[Resp_Group]:[Resp_Group]],Agronomist)+COUNTIFS(Tbl_Responses[4 - Type of test],Tbl_Q17_sampling[[#Headers],[Sulfur (MCP)]],Tbl_Responses[4 - How many cores per paddock],"&gt;""",Tbl_Responses[[Resp_Group]:[Resp_Group]],Agronomist)+COUNTIFS(Tbl_Responses[5 - Type of test],Tbl_Q17_sampling[[#Headers],[Sulfur (MCP)]],Tbl_Responses[5 - How many cores per paddock],"&gt;""",Tbl_Responses[[Resp_Group]:[Resp_Group]],Agronomist)+COUNTIFS(Tbl_Responses[6 - Type of test],Tbl_Q17_sampling[[#Headers],[Sulfur (MCP)]],Tbl_Responses[6 - How many cores per paddock],"&gt;""",Tbl_Responses[[Resp_Group]:[Resp_Group]],Agronomist)+COUNTIFS(Tbl_Responses[7 - Type of test],Tbl_Q17_sampling[[#Headers],[Sulfur (MCP)]],Tbl_Responses[7 - How many cores per paddock],"&gt;""",Tbl_Responses[[Resp_Group]:[Resp_Group]],Agronomist)+COUNTIFS(Tbl_Responses[8 - Type of test],Tbl_Q17_sampling[[#Headers],[Sulfur (MCP)]],Tbl_Responses[8 - How many cores per paddock],"&gt;""",Tbl_Responses[[Resp_Group]:[Resp_Group]],Agronomist))</f>
        <v>0</v>
      </c>
      <c r="DV6" s="82">
        <f>(COUNTIFS(Tbl_Responses[1 - How many cores per paddock],$DJ6,Tbl_Responses[[Resp_Group]:[Resp_Group]],Agronomist)+COUNTIFS(Tbl_Responses[2 - How many cores per paddock],$DJ6,Tbl_Responses[[Resp_Group]:[Resp_Group]],Agronomist)+COUNTIFS(Tbl_Responses[3 - How many cores per paddock],$DJ6,Tbl_Responses[[Resp_Group]:[Resp_Group]],Agronomist)+COUNTIFS(Tbl_Responses[4 - How many cores per paddock],$DJ6,Tbl_Responses[[Resp_Group]:[Resp_Group]],Agronomist)+COUNTIFS(Tbl_Responses[5 - How many cores per paddock],$DJ6,Tbl_Responses[[Resp_Group]:[Resp_Group]],Agronomist)+COUNTIFS(Tbl_Responses[6 - How many cores per paddock],$DJ6,Tbl_Responses[[Resp_Group]:[Resp_Group]],Agronomist)+COUNTIFS(Tbl_Responses[7 - How many cores per paddock],$DJ6,Tbl_Responses[[Resp_Group]:[Resp_Group]],Agronomist))/(COUNTIFS(Tbl_Responses[1 - How many cores per paddock],"&gt;""",Tbl_Responses[[Resp_Group]:[Resp_Group]],Agronomist)+COUNTIFS(Tbl_Responses[2 - How many cores per paddock],"&gt;""",Tbl_Responses[[Resp_Group]:[Resp_Group]],Agronomist)+COUNTIFS(Tbl_Responses[3 - How many cores per paddock],"&gt;""",Tbl_Responses[[Resp_Group]:[Resp_Group]],Agronomist)+COUNTIFS(Tbl_Responses[4 - How many cores per paddock],"&gt;""",Tbl_Responses[[Resp_Group]:[Resp_Group]],Agronomist)+COUNTIFS(Tbl_Responses[5 - How many cores per paddock],"&gt;""",Tbl_Responses[[Resp_Group]:[Resp_Group]],Agronomist)+COUNTIFS(Tbl_Responses[6 - How many cores per paddock],"&gt;""",Tbl_Responses[[Resp_Group]:[Resp_Group]],Agronomist)+COUNTIFS(Tbl_Responses[7 - How many cores per paddock],"&gt;""",Tbl_Responses[[Resp_Group]:[Resp_Group]],Agronomist))</f>
        <v>0.14901960784313725</v>
      </c>
      <c r="EC6" t="s">
        <v>112</v>
      </c>
      <c r="ED6" s="3">
        <f>COUNTIFS(Tbl_Responses[The cost of soil testing lab analysis],$EC6,Tbl_Responses[[Resp_Group]:[Resp_Group]],Agronomist)</f>
        <v>17</v>
      </c>
      <c r="EE6" s="4">
        <f>Tbl_19[[#This Row],[No. Responses]]/SUM(Tbl_19[No. Responses])</f>
        <v>0.18085106382978725</v>
      </c>
      <c r="EH6" t="s">
        <v>112</v>
      </c>
      <c r="EI6" s="3">
        <f>COUNTIFS(Tbl_Responses[The cost of soil testing lab analysisP],$EC6,Tbl_Responses[[Resp_Group]:[Resp_Group]],Agronomist)</f>
        <v>13</v>
      </c>
      <c r="EJ6" s="4">
        <f>Tbl_Q20[[#This Row],[No. Responses]]/SUM(Tbl_Q20[No. Responses])</f>
        <v>0.14130434782608695</v>
      </c>
      <c r="EM6" t="s">
        <v>120</v>
      </c>
      <c r="EN6" s="3">
        <f>COUNTIFS(Tbl_Responses[[My clients recommend the use of regular soil testing to other local farmers]:[My clients recommend the use of regular soil testing to other local farmers]],Tbl_Q21[[#Headers],[Disagree]],Tbl_Responses[[Resp_Group]:[Resp_Group]],Agronomist)</f>
        <v>15</v>
      </c>
      <c r="EO6" s="3">
        <f>COUNTIFS(Tbl_Responses[[My clients recommend the use of regular soil testing to other local farmers]:[My clients recommend the use of regular soil testing to other local farmers]],Tbl_Q21[[#Headers],[Neutral]],Tbl_Responses[[Resp_Group]:[Resp_Group]],Agronomist)</f>
        <v>25</v>
      </c>
      <c r="EP6" s="3">
        <f>COUNTIFS(Tbl_Responses[[My clients recommend the use of regular soil testing to other local farmers]:[My clients recommend the use of regular soil testing to other local farmers]],Tbl_Q21[[#Headers],[Agree]],Tbl_Responses[[Resp_Group]:[Resp_Group]],Agronomist)</f>
        <v>19</v>
      </c>
      <c r="EQ6" s="3">
        <f>COUNTIFS(Tbl_Responses[[My clients recommend the use of regular soil testing to other local farmers]:[My clients recommend the use of regular soil testing to other local farmers]],Tbl_Q21[[#Headers],[Strongly Agree]],Tbl_Responses[[Resp_Group]:[Resp_Group]],Agronomist)</f>
        <v>1</v>
      </c>
      <c r="ET6" t="s">
        <v>249</v>
      </c>
      <c r="EU6" s="3">
        <f>COUNTIFS(Tbl_Responses[Soil testing annual spend],$ET6,Tbl_Responses[[Resp_Group]:[Resp_Group]],Agronomist)</f>
        <v>4</v>
      </c>
      <c r="EV6" s="4">
        <f>Tbl_Q22[[#This Row],[No. Respondants]]/SUM(Tbl_Q22[No. Respondants])</f>
        <v>6.4516129032258063E-2</v>
      </c>
      <c r="EY6" t="s">
        <v>228</v>
      </c>
      <c r="EZ6" s="3">
        <f>COUNTIFS(Tbl_Responses[5 year change in testing],$EY6,Tbl_Responses[[Resp_Group]:[Resp_Group]],Agronomist)</f>
        <v>25</v>
      </c>
      <c r="FA6" s="4">
        <f>Tbl_Q23[[#This Row],[No. Respondants]]/SUM(Tbl_Q23[No. Respondants])</f>
        <v>0.4098360655737705</v>
      </c>
      <c r="FD6" t="s">
        <v>233</v>
      </c>
      <c r="FE6" s="3">
        <f>COUNTIFS(Tbl_Responses[5 year future testing plan],$FD6,Tbl_Responses[[Resp_Group]:[Resp_Group]],Agronomist)</f>
        <v>32</v>
      </c>
      <c r="FF6" s="4">
        <f>Tbl_Q24[[#This Row],[No. Respondants]]/SUM(Tbl_Q24[No. Respondants])</f>
        <v>0.5161290322580645</v>
      </c>
      <c r="FN6" s="87" t="s">
        <v>124</v>
      </c>
      <c r="FO6" s="3">
        <f>COUNTIFS(Tbl_Responses[The cost of lab analysis_Plant],$FN6,Tbl_Responses[[Resp_Group]:[Resp_Group]],Agronomist)</f>
        <v>9</v>
      </c>
      <c r="FP6" s="4">
        <f>Tbl_Q26[[#This Row],[No. Respondants]]/SUM(Tbl_Q26[No. Respondants])</f>
        <v>0.10975609756097561</v>
      </c>
      <c r="FS6" s="87" t="s">
        <v>130</v>
      </c>
      <c r="FT6" s="88">
        <f>COUNTIFS(Tbl_Responses[[My clients recommend the use of regular plant testing to other local farmers]:[My clients recommend the use of regular plant testing to other local farmers]],Tbl_Q27[[#Headers],[Disagree]],Tbl_Responses[[Resp_Group]:[Resp_Group]],Agronomist)</f>
        <v>12</v>
      </c>
      <c r="FU6" s="88">
        <f>COUNTIFS(Tbl_Responses[[My clients recommend the use of regular plant testing to other local farmers]:[My clients recommend the use of regular plant testing to other local farmers]],Tbl_Q27[[#Headers],[Neutral]],Tbl_Responses[[Resp_Group]:[Resp_Group]],Agronomist)</f>
        <v>27</v>
      </c>
      <c r="FV6" s="88">
        <f>COUNTIFS(Tbl_Responses[[My clients recommend the use of regular plant testing to other local farmers]:[My clients recommend the use of regular plant testing to other local farmers]],Tbl_Q27[[#Headers],[Agree]],Tbl_Responses[[Resp_Group]:[Resp_Group]],Agronomist)</f>
        <v>10</v>
      </c>
      <c r="FW6" s="88">
        <f>COUNTIFS(Tbl_Responses[[My clients recommend the use of regular plant testing to other local farmers]:[My clients recommend the use of regular plant testing to other local farmers]],Tbl_Q27[[#Headers],[Strongly Agree]],Tbl_Responses[[Resp_Group]:[Resp_Group]],Agronomist)</f>
        <v>1</v>
      </c>
      <c r="FZ6" t="s">
        <v>249</v>
      </c>
      <c r="GA6" s="3">
        <f>COUNTIFS(Tbl_Responses[Average annual spend - Plant testing],$FZ6,Tbl_Responses[[Resp_Group]:[Resp_Group]],Agronomist)</f>
        <v>2</v>
      </c>
      <c r="GB6" s="4">
        <f>Tbl_Q28[[#This Row],[No. Respondants]]/SUM(Tbl_Q28[No. Respondants])</f>
        <v>3.7037037037037035E-2</v>
      </c>
      <c r="GE6" t="s">
        <v>228</v>
      </c>
      <c r="GF6" s="3">
        <f>COUNTIFS(Tbl_Responses[5 years ago_Plant],$GE6,Tbl_Responses[[Resp_Group]:[Resp_Group]],Agronomist)</f>
        <v>0</v>
      </c>
      <c r="GG6" s="4">
        <f>Tbl_Q2361[[#This Row],[No. Respondants]]/SUM(Tbl_Q2361[No. Respondants])</f>
        <v>0</v>
      </c>
      <c r="GJ6" t="s">
        <v>233</v>
      </c>
      <c r="GK6" s="3">
        <f>COUNTIFS(Tbl_Responses[5 years'' time_Plant],$GJ6,Tbl_Responses[[Resp_Group]:[Resp_Group]],Agronomist)</f>
        <v>27</v>
      </c>
      <c r="GL6" s="4">
        <f>Tbl_Q2462[[#This Row],[No. Respondants]]/SUM(Tbl_Q2462[No. Respondants])</f>
        <v>0.50943396226415094</v>
      </c>
      <c r="GO6" t="s">
        <v>112</v>
      </c>
      <c r="GP6" s="3">
        <f>COUNTIFS(Tbl_Responses[The cost of soil testing lab analysis_PL],$GO6,Tbl_Responses[[Resp_Group]:[Resp_Group]],Agronomist)</f>
        <v>0</v>
      </c>
      <c r="GQ6" s="4" t="e">
        <f>Tbl_1965[[#This Row],[No. Responses]]/SUM(Tbl_1965[No. Responses])</f>
        <v>#DIV/0!</v>
      </c>
      <c r="GT6" t="s">
        <v>112</v>
      </c>
      <c r="GU6" s="3">
        <f>COUNTIFS(Tbl_Responses[The cost of soil testing lab analysis_PLP],$GT6,Tbl_Responses[[Resp_Group]:[Resp_Group]],Agronomist)</f>
        <v>0</v>
      </c>
      <c r="GV6" s="4" t="e">
        <f>Tbl_196566[[#This Row],[No. Responses]]/SUM(Tbl_196566[No. Responses])</f>
        <v>#DIV/0!</v>
      </c>
      <c r="HA6" s="87" t="s">
        <v>152</v>
      </c>
      <c r="HB6" s="3">
        <f>COUNTIFS(Tbl_Responses[Workshops],$HA6,Tbl_Responses[[Resp_Group]:[Resp_Group]],Agronomist)</f>
        <v>38</v>
      </c>
      <c r="HC6" s="4">
        <f>Tbl_infoSources[[#This Row],[No. Responses]]/SUM(Tbl_infoSources[No. Responses])</f>
        <v>0.152</v>
      </c>
    </row>
    <row r="7" spans="1:266" x14ac:dyDescent="0.25">
      <c r="A7" t="s">
        <v>279</v>
      </c>
      <c r="B7" s="3">
        <f>COUNTIFS(Tbl_Responses[Q1: region],Results!$A7,Tbl_Responses[Resp_Group],Agronomist)</f>
        <v>7</v>
      </c>
      <c r="C7" s="4">
        <f>B7/SUM(Tbl_Q1[Respondants])</f>
        <v>9.8591549295774641E-2</v>
      </c>
      <c r="D7" s="7">
        <f>AVERAGEIFS(Tbl_Responses[Q2: Cropped Area],Tbl_Responses[Q1: region],Tbl_Q1[[#This Row],[Region]],Tbl_Responses[[Resp_Group]:[Resp_Group]],Agronomist)</f>
        <v>6642.8571428571431</v>
      </c>
      <c r="F7">
        <v>10001</v>
      </c>
      <c r="G7">
        <v>20000</v>
      </c>
      <c r="H7" t="str">
        <f t="shared" si="0"/>
        <v>10001-20000</v>
      </c>
      <c r="I7" s="3">
        <f>COUNTIFS(Tbl_Responses[Q2: Cropped Area],"&gt;"&amp;F7,Tbl_Responses[Q2: Cropped Area],"&lt;="&amp;G7,Tbl_Responses[Resp_Group],Agronomist)</f>
        <v>7</v>
      </c>
      <c r="J7" s="4">
        <f>I7/SUM(Tbl_Q2[Number])</f>
        <v>0.1044776119402985</v>
      </c>
      <c r="M7" t="s">
        <v>38</v>
      </c>
      <c r="N7" s="4">
        <f>AVERAGEIF(Tbl_Responses[Resp_Group],Agronomist,Tbl_Responses[Pasture])/100</f>
        <v>9.6478873239436616E-2</v>
      </c>
      <c r="O7" s="6">
        <f>SUMPRODUCT(--(Group="Agronomist"),Tbl_Responses[Q2: Cropped Area],Tbl_Responses[Pasture])/100</f>
        <v>88571</v>
      </c>
      <c r="P7" s="4">
        <f t="shared" si="1"/>
        <v>7.6252290039533308E-2</v>
      </c>
      <c r="S7" t="s">
        <v>260</v>
      </c>
      <c r="T7" s="4">
        <f>COUNTIFS(Tbl_Responses[[Variable Costs]:[Variable Costs]],T$3,Tbl_Responses[[Q1: region]:[Q1: region]],$S7,Tbl_Responses[[Resp_Group]:[Resp_Group]],Agronomist)/COUNTIFS(Tbl_Responses[[Q1: region]:[Q1: region]],$S7,Tbl_Responses[[Resp_Group]:[Resp_Group]],Agronomist)</f>
        <v>0</v>
      </c>
      <c r="U7" s="4">
        <f>COUNTIFS(Tbl_Responses[[Variable Costs]:[Variable Costs]],U$3,Tbl_Responses[[Q1: region]:[Q1: region]],$S7,Tbl_Responses[[Resp_Group]:[Resp_Group]],Agronomist)/COUNTIFS(Tbl_Responses[[Q1: region]:[Q1: region]],$S7,Tbl_Responses[[Resp_Group]:[Resp_Group]],Agronomist)</f>
        <v>0</v>
      </c>
      <c r="V7" s="4">
        <f>COUNTIFS(Tbl_Responses[[Variable Costs]:[Variable Costs]],V$3,Tbl_Responses[[Q1: region]:[Q1: region]],$S7,Tbl_Responses[[Resp_Group]:[Resp_Group]],Agronomist)/COUNTIFS(Tbl_Responses[[Q1: region]:[Q1: region]],$S7,Tbl_Responses[[Resp_Group]:[Resp_Group]],Agronomist)</f>
        <v>0.15384615384615385</v>
      </c>
      <c r="W7" s="4">
        <f>COUNTIFS(Tbl_Responses[[Variable Costs]:[Variable Costs]],W$3,Tbl_Responses[[Q1: region]:[Q1: region]],$S7,Tbl_Responses[[Resp_Group]:[Resp_Group]],Agronomist)/COUNTIFS(Tbl_Responses[[Q1: region]:[Q1: region]],$S7,Tbl_Responses[[Resp_Group]:[Resp_Group]],Agronomist)</f>
        <v>0.30769230769230771</v>
      </c>
      <c r="X7" s="4">
        <f>COUNTIFS(Tbl_Responses[[Variable Costs]:[Variable Costs]],X$3,Tbl_Responses[[Q1: region]:[Q1: region]],$S7,Tbl_Responses[[Resp_Group]:[Resp_Group]],Agronomist)/COUNTIFS(Tbl_Responses[[Q1: region]:[Q1: region]],$S7,Tbl_Responses[[Resp_Group]:[Resp_Group]],Agronomist)</f>
        <v>0.38461538461538464</v>
      </c>
      <c r="Y7" s="4">
        <f>COUNTIFS(Tbl_Responses[[Variable Costs]:[Variable Costs]],Y$3,Tbl_Responses[[Q1: region]:[Q1: region]],$S7,Tbl_Responses[[Resp_Group]:[Resp_Group]],Agronomist)/COUNTIFS(Tbl_Responses[[Q1: region]:[Q1: region]],$S7,Tbl_Responses[[Resp_Group]:[Resp_Group]],Agronomist)</f>
        <v>7.6923076923076927E-2</v>
      </c>
      <c r="Z7" s="4">
        <f>COUNTIFS(Tbl_Responses[[Variable Costs]:[Variable Costs]],Z$3,Tbl_Responses[[Q1: region]:[Q1: region]],$S7,Tbl_Responses[[Resp_Group]:[Resp_Group]],Agronomist)/COUNTIFS(Tbl_Responses[[Q1: region]:[Q1: region]],$S7,Tbl_Responses[[Resp_Group]:[Resp_Group]],Agronomist)</f>
        <v>0</v>
      </c>
      <c r="AA7" s="4">
        <f>COUNTIFS(Tbl_Responses[[Variable Costs]:[Variable Costs]],AA$3,Tbl_Responses[[Q1: region]:[Q1: region]],$S7,Tbl_Responses[[Resp_Group]:[Resp_Group]],Agronomist)/COUNTIFS(Tbl_Responses[[Q1: region]:[Q1: region]],$S7,Tbl_Responses[[Resp_Group]:[Resp_Group]],Agronomist)</f>
        <v>7.6923076923076927E-2</v>
      </c>
      <c r="AB7" s="4">
        <f>COUNTIFS(Tbl_Responses[[Variable Costs]:[Variable Costs]],AB$3,Tbl_Responses[[Q1: region]:[Q1: region]],$S7,Tbl_Responses[[Resp_Group]:[Resp_Group]],Agronomist)/COUNTIFS(Tbl_Responses[[Q1: region]:[Q1: region]],$S7,Tbl_Responses[[Resp_Group]:[Resp_Group]],Agronomist)</f>
        <v>0</v>
      </c>
      <c r="AG7" t="s">
        <v>260</v>
      </c>
      <c r="AH7" s="4">
        <f>COUNTIFS(Tbl_Responses[[Def_Nutrient_ID]:[Def_Nutrient_ID]],"*N*",Tbl_Responses[[Q1: region]:[Q1: region]],$AG7,Tbl_Responses[[Resp_Group]:[Resp_Group]],Agronomist)/COUNTIFS(Tbl_Responses[[Def_Nutrient_ID]:[Def_Nutrient_ID]],"&lt;&gt;"&amp;"",Tbl_Responses[[Q1: region]:[Q1: region]],$AG7,Tbl_Responses[[Resp_Group]:[Resp_Group]],Agronomist)</f>
        <v>0.84615384615384615</v>
      </c>
      <c r="AI7" s="4">
        <f>COUNTIFS(Tbl_Responses[[Def_Nutrient_ID]:[Def_Nutrient_ID]],"*P*",Tbl_Responses[[Q1: region]:[Q1: region]],$AG7,Tbl_Responses[[Resp_Group]:[Resp_Group]],Agronomist)/COUNTIFS(Tbl_Responses[[Def_Nutrient_ID]:[Def_Nutrient_ID]],"&lt;&gt;"&amp;"",Tbl_Responses[[Q1: region]:[Q1: region]],$AG7,Tbl_Responses[[Resp_Group]:[Resp_Group]],Agronomist)</f>
        <v>0.76923076923076927</v>
      </c>
      <c r="AJ7" s="4">
        <f>COUNTIFS(Tbl_Responses[[Def_Nutrient_ID]:[Def_Nutrient_ID]],"*K*",Tbl_Responses[[Q1: region]:[Q1: region]],$AG7,Tbl_Responses[[Resp_Group]:[Resp_Group]],Agronomist)/COUNTIFS(Tbl_Responses[[Def_Nutrient_ID]:[Def_Nutrient_ID]],"&lt;&gt;"&amp;"",Tbl_Responses[[Q1: region]:[Q1: region]],$AG7,Tbl_Responses[[Resp_Group]:[Resp_Group]],Agronomist)</f>
        <v>7.6923076923076927E-2</v>
      </c>
      <c r="AK7" s="4">
        <f>COUNTIFS(Tbl_Responses[[Def_Nutrient_ID]:[Def_Nutrient_ID]],"*S*",Tbl_Responses[[Q1: region]:[Q1: region]],$AG7,Tbl_Responses[[Resp_Group]:[Resp_Group]],Agronomist)/COUNTIFS(Tbl_Responses[[Def_Nutrient_ID]:[Def_Nutrient_ID]],"&lt;&gt;"&amp;"",Tbl_Responses[[Q1: region]:[Q1: region]],$AG7,Tbl_Responses[[Resp_Group]:[Resp_Group]],Agronomist)</f>
        <v>0.30769230769230771</v>
      </c>
      <c r="AL7" s="4">
        <f>COUNTIFS(Tbl_Responses[[Def_Nutrient_ID]:[Def_Nutrient_ID]],"*Zn*",Tbl_Responses[[Q1: region]:[Q1: region]],$AG7,Tbl_Responses[[Resp_Group]:[Resp_Group]],Agronomist)/COUNTIFS(Tbl_Responses[[Def_Nutrient_ID]:[Def_Nutrient_ID]],"&lt;&gt;"&amp;"",Tbl_Responses[[Q1: region]:[Q1: region]],$AG7,Tbl_Responses[[Resp_Group]:[Resp_Group]],Agronomist)</f>
        <v>0.38461538461538464</v>
      </c>
      <c r="AM7" s="4">
        <f>COUNTIFS(Tbl_Responses[[Def_Nutrient_ID]:[Def_Nutrient_ID]],"*Mn*",Tbl_Responses[[Q1: region]:[Q1: region]],$AG7,Tbl_Responses[[Resp_Group]:[Resp_Group]],Agronomist)/COUNTIFS(Tbl_Responses[[Def_Nutrient_ID]:[Def_Nutrient_ID]],"&lt;&gt;"&amp;"",Tbl_Responses[[Q1: region]:[Q1: region]],$AG7,Tbl_Responses[[Resp_Group]:[Resp_Group]],Agronomist)</f>
        <v>7.6923076923076927E-2</v>
      </c>
      <c r="AN7" s="4">
        <f>COUNTIFS(Tbl_Responses[[Def_Nutrient_ID]:[Def_Nutrient_ID]],"*Mg*",Tbl_Responses[[Q1: region]:[Q1: region]],$AG7,Tbl_Responses[[Resp_Group]:[Resp_Group]],Agronomist)/COUNTIFS(Tbl_Responses[[Def_Nutrient_ID]:[Def_Nutrient_ID]],"&lt;&gt;"&amp;"",Tbl_Responses[[Q1: region]:[Q1: region]],$AG7,Tbl_Responses[[Resp_Group]:[Resp_Group]],Agronomist)</f>
        <v>0</v>
      </c>
      <c r="AO7" s="4">
        <f>COUNTIFS(Tbl_Responses[[Def_Nutrient_ID]:[Def_Nutrient_ID]],"*Cu*",Tbl_Responses[[Q1: region]:[Q1: region]],$AG7,Tbl_Responses[[Resp_Group]:[Resp_Group]],Agronomist)/COUNTIFS(Tbl_Responses[[Def_Nutrient_ID]:[Def_Nutrient_ID]],"&lt;&gt;"&amp;"",Tbl_Responses[[Q1: region]:[Q1: region]],$AG7,Tbl_Responses[[Resp_Group]:[Resp_Group]],Agronomist)</f>
        <v>7.6923076923076927E-2</v>
      </c>
      <c r="AP7" s="4">
        <f>COUNTIFS(Tbl_Responses[[Def_Nutrient_ID]:[Def_Nutrient_ID]],"*B*",Tbl_Responses[[Q1: region]:[Q1: region]],$AG7,Tbl_Responses[[Resp_Group]:[Resp_Group]],Agronomist)/COUNTIFS(Tbl_Responses[[Def_Nutrient_ID]:[Def_Nutrient_ID]],"&lt;&gt;"&amp;"",Tbl_Responses[[Q1: region]:[Q1: region]],$AG7,Tbl_Responses[[Resp_Group]:[Resp_Group]],Agronomist)</f>
        <v>0</v>
      </c>
      <c r="AQ7" s="4">
        <f>COUNTIFS(Tbl_Responses[[Def_Nutrient_ID]:[Def_Nutrient_ID]],"*Ca*",Tbl_Responses[[Q1: region]:[Q1: region]],$AG7,Tbl_Responses[[Resp_Group]:[Resp_Group]],Agronomist)/COUNTIFS(Tbl_Responses[[Def_Nutrient_ID]:[Def_Nutrient_ID]],"&lt;&gt;"&amp;"",Tbl_Responses[[Q1: region]:[Q1: region]],$AG7,Tbl_Responses[[Resp_Group]:[Resp_Group]],Agronomist)</f>
        <v>0</v>
      </c>
      <c r="AR7" s="4">
        <f>COUNTIFS(Tbl_Responses[[Def_Nutrient_ID]:[Def_Nutrient_ID]],"*pH*",Tbl_Responses[[Q1: region]:[Q1: region]],$AG7,Tbl_Responses[[Resp_Group]:[Resp_Group]],Agronomist)/COUNTIFS(Tbl_Responses[[Def_Nutrient_ID]:[Def_Nutrient_ID]],"&lt;&gt;"&amp;"",Tbl_Responses[[Q1: region]:[Q1: region]],$AG7,Tbl_Responses[[Resp_Group]:[Resp_Group]],Agronomist)</f>
        <v>0</v>
      </c>
      <c r="AS7" s="4">
        <f>COUNTIFS(Tbl_Responses[[Def_Nutrient_ID]:[Def_Nutrient_ID]],"*T*",Tbl_Responses[[Q1: region]:[Q1: region]],$AG7,Tbl_Responses[[Resp_Group]:[Resp_Group]],Agronomist)/COUNTIFS(Tbl_Responses[[Def_Nutrient_ID]:[Def_Nutrient_ID]],"&lt;&gt;"&amp;"",Tbl_Responses[[Q1: region]:[Q1: region]],$AG7,Tbl_Responses[[Resp_Group]:[Resp_Group]],Agronomist)</f>
        <v>0</v>
      </c>
      <c r="AV7" t="s">
        <v>260</v>
      </c>
      <c r="AW7" s="4">
        <f>COUNTIFS(Tbl_Responses[[Q6: Do you do/recommend soil and/or plant testing?]:[Q6: Do you do/recommend soil and/or plant testing?]],"Yes",Tbl_Responses[[Q1: region]:[Q1: region]],$AV7,Tbl_Responses[[Resp_Group]:[Resp_Group]],Agronomist)/COUNTIFS(Tbl_Responses[[Q6: Do you do/recommend soil and/or plant testing?]:[Q6: Do you do/recommend soil and/or plant testing?]],"&lt;&gt;"&amp;"",Tbl_Responses[[Q1: region]:[Q1: region]],$AV7,Tbl_Responses[[Resp_Group]:[Resp_Group]],Agronomist)</f>
        <v>1</v>
      </c>
      <c r="AX7" s="4">
        <f>COUNTIFS(Tbl_Responses[[Q6: Do you do/recommend soil and/or plant testing?]:[Q6: Do you do/recommend soil and/or plant testing?]],"No",Tbl_Responses[[Q1: region]:[Q1: region]],$AV7,Tbl_Responses[[Resp_Group]:[Resp_Group]],Agronomist)/COUNTIFS(Tbl_Responses[[Q6: Do you do/recommend soil and/or plant testing?]:[Q6: Do you do/recommend soil and/or plant testing?]],"&lt;&gt;"&amp;"",Tbl_Responses[[Q1: region]:[Q1: region]],$AV7,Tbl_Responses[[Resp_Group]:[Resp_Group]],Agronomist)</f>
        <v>0</v>
      </c>
      <c r="AY7" s="3">
        <f>COUNTIFS(Tbl_Responses[[Q6: Do you do/recommend soil and/or plant testing?]:[Q6: Do you do/recommend soil and/or plant testing?]],"&gt;""",Tbl_Responses[[Q1: region]:[Q1: region]],$AV7,Tbl_Responses[[Resp_Group]:[Resp_Group]],Agronomist)</f>
        <v>13</v>
      </c>
      <c r="BA7" t="s">
        <v>238</v>
      </c>
      <c r="BB7" s="3">
        <f>COUNTIFS(Tbl_Responses[Q8: Of your clients, how many of them rely entirely on you to make the nutrient decisions?],$BA7,Tbl_Responses[[Resp_Group]:[Resp_Group]],Agronomist)</f>
        <v>15</v>
      </c>
      <c r="BC7" s="3">
        <f>COUNTIFS(Tbl_Responses[Response4],$BA7,Tbl_Responses[[Resp_Group]:[Resp_Group]],Agronomist)</f>
        <v>7</v>
      </c>
      <c r="BD7" s="3">
        <f>COUNTIFS(Tbl_Responses[Response5],$BA7,Tbl_Responses[[Resp_Group]:[Resp_Group]],Agronomist)</f>
        <v>3</v>
      </c>
      <c r="BE7" s="3">
        <f>COUNTIFS(Tbl_Responses[Response6],$BA7,Tbl_Responses[[Resp_Group]:[Resp_Group]],Agronomist)</f>
        <v>15</v>
      </c>
      <c r="BF7" s="3">
        <f>COUNTIFS(Tbl_Responses[Response7],$BA7,Tbl_Responses[[Resp_Group]:[Resp_Group]],Agronomist)</f>
        <v>10</v>
      </c>
      <c r="BH7" t="s">
        <v>2442</v>
      </c>
      <c r="BI7" s="3">
        <f>COUNTIFS(Tbl_Responses[Source_1_ID],$BH7,Tbl_Responses[[Resp_Group]:[Resp_Group]],Agronomist)+COUNTIFS(Tbl_Responses[Source_2_ID],$BH7,Tbl_Responses[[Resp_Group]:[Resp_Group]],Agronomist)+COUNTIFS(Tbl_Responses[Source_3_ID],$BH7,Tbl_Responses[[Resp_Group]:[Resp_Group]],Agronomist)</f>
        <v>10</v>
      </c>
      <c r="BJ7" s="4">
        <f>Tbl_Q11[[#This Row],[Q11 Response]]/SUM(Tbl_Q11[Q11 Response])</f>
        <v>6.097560975609756E-2</v>
      </c>
      <c r="BQ7" s="38" t="s">
        <v>261</v>
      </c>
      <c r="BR7" s="4">
        <f>COUNTIFS(Tbl_Responses[What % of your clients soil tested in 2018?],$BQ7,Tbl_Responses[[Resp_Group]:[Resp_Group]],Agronomist)/COUNTIFS(Tbl_Responses[What % of your clients soil tested in 2018?],"&gt;""",Tbl_Responses[[Resp_Group]:[Resp_Group]],Agronomist)</f>
        <v>0.13333333333333333</v>
      </c>
      <c r="BS7" s="4">
        <f>COUNTIFS(Tbl_Responses[What % of your clients tested for N in 2018?],$BQ7,Tbl_Responses[[Resp_Group]:[Resp_Group]],Agronomist)/COUNTIFS(Tbl_Responses[What % of your clients tested for N in 2018?],"&gt;""",Tbl_Responses[[Resp_Group]:[Resp_Group]],Agronomist)</f>
        <v>0.12280701754385964</v>
      </c>
      <c r="BT7" s="4">
        <f>COUNTIFS(Tbl_Responses[What % of your clients tested for N to at least 60cm in 2018?],$BQ7,Tbl_Responses[[Resp_Group]:[Resp_Group]],Agronomist)/COUNTIFS(Tbl_Responses[What % of your clients tested for N to at least 60cm in 2018?],"&gt;""",Tbl_Responses[[Resp_Group]:[Resp_Group]],Agronomist)</f>
        <v>0.12</v>
      </c>
      <c r="BU7" s="4">
        <f>COUNTIFS(Tbl_Responses[What % of your clients tested for P in 2018?],$BQ7,Tbl_Responses[[Resp_Group]:[Resp_Group]],Agronomist)/COUNTIFS(Tbl_Responses[What % of your clients tested for P in 2018?],"&gt;""",Tbl_Responses[[Resp_Group]:[Resp_Group]],Agronomist)</f>
        <v>0.10169491525423729</v>
      </c>
      <c r="CB7" s="49" t="s">
        <v>403</v>
      </c>
      <c r="CC7" s="62">
        <f>(COUNTIFS(Tbl_Responses[Nitrogen 1 - Type of test],Tbl_14_sampling[[#Headers],[Organic Carbon]],Tbl_Responses[Nitrogen 1 - How many representative samples per paddock],$CB7,Tbl_Responses[[Resp_Group]:[Resp_Group]],Agronomist)+COUNTIFS(Tbl_Responses[Nitrogen 2 - Type of test],Tbl_14_sampling[[#Headers],[Organic Carbon]],Tbl_Responses[Nitrogen 2 - How many representative samples per paddock],$CB7,Tbl_Responses[[Resp_Group]:[Resp_Group]],Agronomist)+COUNTIFS(Tbl_Responses[Nitrogen 3 - Type of test],Tbl_14_sampling[[#Headers],[Organic Carbon]],Tbl_Responses[Nitrogen 3 - How many representative samples per paddock],$CB7,Tbl_Responses[[Resp_Group]:[Resp_Group]],Agronomist))/(COUNTIFS(Tbl_Responses[Nitrogen 1 - Type of test],Tbl_14_sampling[[#Headers],[Organic Carbon]],Tbl_Responses[Nitrogen 1 - How many representative samples per paddock],"&gt;""",Tbl_Responses[[Resp_Group]:[Resp_Group]],Agronomist)+COUNTIFS(Tbl_Responses[Nitrogen 2 - Type of test],Tbl_14_sampling[[#Headers],[Organic Carbon]],Tbl_Responses[Nitrogen 2 - How many representative samples per paddock],"&gt;""",Tbl_Responses[[Resp_Group]:[Resp_Group]],Agronomist)+COUNTIFS(Tbl_Responses[Nitrogen 3 - Type of test],Tbl_14_sampling[[#Headers],[Organic Carbon]],Tbl_Responses[Nitrogen 3 - How many representative samples per paddock],"&gt;""",Tbl_Responses[[Resp_Group]:[Resp_Group]],Agronomist))</f>
        <v>9.0909090909090912E-2</v>
      </c>
      <c r="CD7" s="62">
        <f>(COUNTIFS(Tbl_Responses[Nitrogen 1 - Type of test],Tbl_14_sampling[[#Headers],[Mineral N (Nitrate/Ammonium)]],Tbl_Responses[Nitrogen 1 - How many representative samples per paddock],$CB7,Tbl_Responses[[Resp_Group]:[Resp_Group]],Agronomist)+COUNTIFS(Tbl_Responses[Nitrogen 2 - Type of test],Tbl_14_sampling[[#Headers],[Mineral N (Nitrate/Ammonium)]],Tbl_Responses[Nitrogen 2 - How many representative samples per paddock],$CB7,Tbl_Responses[[Resp_Group]:[Resp_Group]],Agronomist)+COUNTIFS(Tbl_Responses[Nitrogen 3 - Type of test],Tbl_14_sampling[[#Headers],[Mineral N (Nitrate/Ammonium)]],Tbl_Responses[Nitrogen 3 - How many representative samples per paddock],$CB7,Tbl_Responses[[Resp_Group]:[Resp_Group]],Agronomist))/(COUNTIFS(Tbl_Responses[Nitrogen 1 - Type of test],Tbl_14_sampling[[#Headers],[Mineral N (Nitrate/Ammonium)]],Tbl_Responses[Nitrogen 1 - How many representative samples per paddock],"&gt;""",Tbl_Responses[[Resp_Group]:[Resp_Group]],Agronomist)+COUNTIFS(Tbl_Responses[Nitrogen 2 - Type of test],Tbl_14_sampling[[#Headers],[Mineral N (Nitrate/Ammonium)]],Tbl_Responses[Nitrogen 2 - How many representative samples per paddock],"&gt;""",Tbl_Responses[[Resp_Group]:[Resp_Group]],Agronomist)+COUNTIFS(Tbl_Responses[Nitrogen 3 - Type of test],Tbl_14_sampling[[#Headers],[Mineral N (Nitrate/Ammonium)]],Tbl_Responses[Nitrogen 3 - How many representative samples per paddock],"&gt;""",Tbl_Responses[[Resp_Group]:[Resp_Group]],Agronomist))</f>
        <v>8.1081081081081086E-2</v>
      </c>
      <c r="CE7" s="62">
        <f>(COUNTIFS(Tbl_Responses[Nitrogen 1 - Type of test],Tbl_14_sampling[[#Headers],[Total N]],Tbl_Responses[Nitrogen 1 - How many representative samples per paddock],$CB7,Tbl_Responses[[Resp_Group]:[Resp_Group]],Agronomist)+COUNTIFS(Tbl_Responses[Nitrogen 2 - Type of test],Tbl_14_sampling[[#Headers],[Total N]],Tbl_Responses[Nitrogen 2 - How many representative samples per paddock],$CB7,Tbl_Responses[[Resp_Group]:[Resp_Group]],Agronomist)+COUNTIFS(Tbl_Responses[Nitrogen 3 - Type of test],Tbl_14_sampling[[#Headers],[Total N]],Tbl_Responses[Nitrogen 3 - How many representative samples per paddock],$CB7,Tbl_Responses[[Resp_Group]:[Resp_Group]],Agronomist))/(COUNTIFS(Tbl_Responses[Nitrogen 1 - Type of test],Tbl_14_sampling[[#Headers],[Total N]],Tbl_Responses[Nitrogen 1 - How many representative samples per paddock],"&gt;""",Tbl_Responses[[Resp_Group]:[Resp_Group]],Agronomist)+COUNTIFS(Tbl_Responses[Nitrogen 2 - Type of test],Tbl_14_sampling[[#Headers],[Total N]],Tbl_Responses[Nitrogen 2 - How many representative samples per paddock],"&gt;""",Tbl_Responses[[Resp_Group]:[Resp_Group]],Agronomist)+COUNTIFS(Tbl_Responses[Nitrogen 3 - Type of test],Tbl_14_sampling[[#Headers],[Total N]],Tbl_Responses[Nitrogen 3 - How many representative samples per paddock],"&gt;""",Tbl_Responses[[Resp_Group]:[Resp_Group]],Agronomist))</f>
        <v>0.12</v>
      </c>
      <c r="CF7" s="62">
        <f>(COUNTIFS(Tbl_Responses[Nitrogen 1 - How many representative samples per paddock],$CB7,Tbl_Responses[[Resp_Group]:[Resp_Group]],Agronomist)+COUNTIFS(Tbl_Responses[Nitrogen 2 - How many representative samples per paddock],$CB7,Tbl_Responses[[Resp_Group]:[Resp_Group]],Agronomist)+COUNTIFS(Tbl_Responses[Nitrogen 3 - How many representative samples per paddock],$CB7,Tbl_Responses[[Resp_Group]:[Resp_Group]],Agronomist))/(COUNTIFS(Tbl_Responses[Nitrogen 1 - How many representative samples per paddock],"&gt;""",Tbl_Responses[[Resp_Group]:[Resp_Group]],Agronomist)+COUNTIFS(Tbl_Responses[Nitrogen 2 - How many representative samples per paddock],"&gt;""",Tbl_Responses[[Resp_Group]:[Resp_Group]],Agronomist)+COUNTIFS(Tbl_Responses[Nitrogen 3 - How many representative samples per paddock],"&gt;""",Tbl_Responses[[Resp_Group]:[Resp_Group]],Agronomist))</f>
        <v>9.4736842105263161E-2</v>
      </c>
      <c r="CG7" s="72"/>
      <c r="CH7" s="72"/>
      <c r="CI7" s="80" t="s">
        <v>183</v>
      </c>
      <c r="CJ7" s="72">
        <f>(COUNTIFS(Tbl_Responses[Phosphorus 1 - Type of test],CI7,Tbl_Responses[[Resp_Group]:[Resp_Group]],Agronomist)+COUNTIFS(Tbl_Responses[Phosphorus 2 - Type of test],CI7,Tbl_Responses[[Resp_Group]:[Resp_Group]],Agronomist)+COUNTIFS(Tbl_Responses[Phosphorus 3 - Type of test],CI7,Tbl_Responses[[Resp_Group]:[Resp_Group]],Agronomist)+COUNTIFS(Tbl_Responses[Phosphorus 4 - Type of test],CI7,Tbl_Responses[[Resp_Group]:[Resp_Group]],Agronomist)+COUNTIFS(Tbl_Responses[Phosphorus 5 - Type of test],CI7,Tbl_Responses[[Resp_Group]:[Resp_Group]],Agronomist))/(COUNTIFS(Tbl_Responses[Phosphorus 1 - Type of test],"&gt;""",Tbl_Responses[[Resp_Group]:[Resp_Group]],Agronomist)+COUNTIFS(Tbl_Responses[Phosphorus 2 - Type of test],"&gt;""",Tbl_Responses[[Resp_Group]:[Resp_Group]],Agronomist)+COUNTIFS(Tbl_Responses[Phosphorus 3 - Type of test],"&gt;""",Tbl_Responses[[Resp_Group]:[Resp_Group]],Agronomist)+COUNTIFS(Tbl_Responses[Phosphorus 4 - Type of test],"&gt;""",Tbl_Responses[[Resp_Group]:[Resp_Group]],Agronomist)+COUNTIFS(Tbl_Responses[Phosphorus 5 - Type of test],"&gt;""",Tbl_Responses[[Resp_Group]:[Resp_Group]],Agronomist))</f>
        <v>0.21897810218978103</v>
      </c>
      <c r="CK7" s="72"/>
      <c r="CL7" s="72"/>
      <c r="CM7" s="56" t="s">
        <v>403</v>
      </c>
      <c r="CN7" s="67">
        <f>(COUNTIFS(Tbl_Responses[Phosphorus 1 - Type of test],Tbl_Q15_sampling[[#Headers],[Colwell P]],Tbl_Responses[Phosphorus 1 - How many representative samples per paddock],$CM7,Tbl_Responses[[Resp_Group]:[Resp_Group]],Agronomist)+COUNTIFS(Tbl_Responses[Phosphorus 2 - Type of test],Tbl_Q15_sampling[[#Headers],[Colwell P]],Tbl_Responses[Phosphorus 2 - How many representative samples per paddock],$CM7,Tbl_Responses[[Resp_Group]:[Resp_Group]],Agronomist)+COUNTIFS(Tbl_Responses[Phosphorus 3 - Type of test],Tbl_Q15_sampling[[#Headers],[Colwell P]],Tbl_Responses[Phosphorus 3 - How many representative samples per paddock],$CM7,Tbl_Responses[[Resp_Group]:[Resp_Group]],Agronomist)+COUNTIFS(Tbl_Responses[Phosphorus 4 - Type of test],Tbl_Q15_sampling[[#Headers],[Colwell P]],Tbl_Responses[Phosphorus 4 - How many representative samples per paddock],$CM7,Tbl_Responses[[Resp_Group]:[Resp_Group]],Agronomist)+COUNTIFS(Tbl_Responses[Phosphorus 5 - Type of test],Tbl_Q15_sampling[[#Headers],[Colwell P]],Tbl_Responses[Phosphorus 5 - How many representative samples per paddock],$CM7,Tbl_Responses[[Resp_Group]:[Resp_Group]],Agronomist))/(COUNTIFS(Tbl_Responses[Phosphorus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f>
        <v>0.21276595744680851</v>
      </c>
      <c r="CO7" s="62">
        <f>(COUNTIFS(Tbl_Responses[Phosphorus 1 - Type of test],Tbl_Q15_sampling[[#Headers],[Olsen-Bray P]],Tbl_Responses[Phosphorus 1 - How many representative samples per paddock],$CM7,Tbl_Responses[[Resp_Group]:[Resp_Group]],Agronomist)+COUNTIFS(Tbl_Responses[Phosphorus 2 - Type of test],Tbl_Q15_sampling[[#Headers],[Olsen-Bray P]],Tbl_Responses[Phosphorus 2 - How many representative samples per paddock],$CM7,Tbl_Responses[[Resp_Group]:[Resp_Group]],Agronomist)+COUNTIFS(Tbl_Responses[Phosphorus 3 - Type of test],Tbl_Q15_sampling[[#Headers],[Olsen-Bray P]],Tbl_Responses[Phosphorus 3 - How many representative samples per paddock],$CM7,Tbl_Responses[[Resp_Group]:[Resp_Group]],Agronomist)+COUNTIFS(Tbl_Responses[Phosphorus 4 - Type of test],Tbl_Q15_sampling[[#Headers],[Olsen-Bray P]],Tbl_Responses[Phosphorus 4 - How many representative samples per paddock],$CM7,Tbl_Responses[[Resp_Group]:[Resp_Group]],Agronomist)+COUNTIFS(Tbl_Responses[Phosphorus 5 - Type of test],Tbl_Q15_sampling[[#Headers],[Olsen-Bray P]],Tbl_Responses[Phosphorus 5 - How many representative samples per paddock],$CM7,Tbl_Responses[[Resp_Group]:[Resp_Group]],Agronomist))/(COUNTIFS(Tbl_Responses[Phosphorus 1 - Type of test],Tbl_Q15_sampling[[#Headers],[Olsen-Bray P]],Tbl_Responses[Phosphorus 1 - How many representative samples per paddock],"&gt;""",Tbl_Responses[[Resp_Group]:[Resp_Group]],Agronomist)+COUNTIFS(Tbl_Responses[Phosphorus 2 - Type of test],Tbl_Q15_sampling[[#Headers],[Olsen-Bray P]],Tbl_Responses[Phosphorus 2 - How many representative samples per paddock],"&gt;""",Tbl_Responses[[Resp_Group]:[Resp_Group]],Agronomist)+COUNTIFS(Tbl_Responses[Phosphorus 3 - Type of test],Tbl_Q15_sampling[[#Headers],[Olsen-Bray P]],Tbl_Responses[Phosphorus 3 - How many representative samples per paddock],"&gt;""",Tbl_Responses[[Resp_Group]:[Resp_Group]],Agronomist)+COUNTIFS(Tbl_Responses[Phosphorus 4 - Type of test],Tbl_Q15_sampling[[#Headers],[Olsen-Bray P]],Tbl_Responses[Phosphorus 4 - How many representative samples per paddock],"&gt;""",Tbl_Responses[[Resp_Group]:[Resp_Group]],Agronomist)+COUNTIFS(Tbl_Responses[Phosphorus 5 - Type of test],Tbl_Q15_sampling[[#Headers],[Olsen-Bray P]],Tbl_Responses[Phosphorus 5 - How many representative samples per paddock],"&gt;""",Tbl_Responses[[Resp_Group]:[Resp_Group]],Agronomist))</f>
        <v>0</v>
      </c>
      <c r="CP7" s="62">
        <f>(COUNTIFS(Tbl_Responses[Phosphorus 1 - Type of test],Tbl_Q15_sampling[[#Headers],[PBI (Phosphorus Buffering Index)]],Tbl_Responses[Phosphorus 1 - How many representative samples per paddock],$CM7,Tbl_Responses[[Resp_Group]:[Resp_Group]],Agronomist)+COUNTIFS(Tbl_Responses[Phosphorus 2 - Type of test],Tbl_Q15_sampling[[#Headers],[PBI (Phosphorus Buffering Index)]],Tbl_Responses[Phosphorus 2 - How many representative samples per paddock],$CM7,Tbl_Responses[[Resp_Group]:[Resp_Group]],Agronomist)+COUNTIFS(Tbl_Responses[Phosphorus 3 - Type of test],Tbl_Q15_sampling[[#Headers],[PBI (Phosphorus Buffering Index)]],Tbl_Responses[Phosphorus 3 - How many representative samples per paddock],$CM7,Tbl_Responses[[Resp_Group]:[Resp_Group]],Agronomist)+COUNTIFS(Tbl_Responses[Phosphorus 4 - Type of test],Tbl_Q15_sampling[[#Headers],[PBI (Phosphorus Buffering Index)]],Tbl_Responses[Phosphorus 4 - How many representative samples per paddock],$CM7,Tbl_Responses[[Resp_Group]:[Resp_Group]],Agronomist)+COUNTIFS(Tbl_Responses[Phosphorus 5 - Type of test],Tbl_Q15_sampling[[#Headers],[PBI (Phosphorus Buffering Index)]],Tbl_Responses[Phosphorus 5 - How many representative samples per paddock],$CM7,Tbl_Responses[[Resp_Group]:[Resp_Group]],Agronomist))/(COUNTIFS(Tbl_Responses[Phosphorus 1 - Type of test],Tbl_Q15_sampling[[#Headers],[PBI (Phosphorus Buffering Index)]],Tbl_Responses[Phosphorus 1 - How many representative samples per paddock],"&gt;""",Tbl_Responses[[Resp_Group]:[Resp_Group]],Agronomist)+COUNTIFS(Tbl_Responses[Phosphorus 2 - Type of test],Tbl_Q15_sampling[[#Headers],[PBI (Phosphorus Buffering Index)]],Tbl_Responses[Phosphorus 2 - How many representative samples per paddock],"&gt;""",Tbl_Responses[[Resp_Group]:[Resp_Group]],Agronomist)+COUNTIFS(Tbl_Responses[Phosphorus 3 - Type of test],Tbl_Q15_sampling[[#Headers],[PBI (Phosphorus Buffering Index)]],Tbl_Responses[Phosphorus 3 - How many representative samples per paddock],"&gt;""",Tbl_Responses[[Resp_Group]:[Resp_Group]],Agronomist)+COUNTIFS(Tbl_Responses[Phosphorus 4 - Type of test],Tbl_Q15_sampling[[#Headers],[PBI (Phosphorus Buffering Index)]],Tbl_Responses[Phosphorus 4 - How many representative samples per paddock],"&gt;""",Tbl_Responses[[Resp_Group]:[Resp_Group]],Agronomist)+COUNTIFS(Tbl_Responses[Phosphorus 5 - Type of test],Tbl_Q15_sampling[[#Headers],[PBI (Phosphorus Buffering Index)]],Tbl_Responses[Phosphorus 5 - How many representative samples per paddock],"&gt;""",Tbl_Responses[[Resp_Group]:[Resp_Group]],Agronomist))</f>
        <v>0.16129032258064516</v>
      </c>
      <c r="CQ7" s="62">
        <f>(COUNTIFS(Tbl_Responses[Phosphorus 1 - Type of test],Tbl_Q15_sampling[[#Headers],[DGT]],Tbl_Responses[Phosphorus 1 - How many representative samples per paddock],$CM7,Tbl_Responses[[Resp_Group]:[Resp_Group]],Agronomist)+COUNTIFS(Tbl_Responses[Phosphorus 2 - Type of test],Tbl_Q15_sampling[[#Headers],[DGT]],Tbl_Responses[Phosphorus 2 - How many representative samples per paddock],$CM7,Tbl_Responses[[Resp_Group]:[Resp_Group]],Agronomist)+COUNTIFS(Tbl_Responses[Phosphorus 3 - Type of test],Tbl_Q15_sampling[[#Headers],[DGT]],Tbl_Responses[Phosphorus 3 - How many representative samples per paddock],$CM7,Tbl_Responses[[Resp_Group]:[Resp_Group]],Agronomist)+COUNTIFS(Tbl_Responses[Phosphorus 4 - Type of test],Tbl_Q15_sampling[[#Headers],[DGT]],Tbl_Responses[Phosphorus 4 - How many representative samples per paddock],$CM7,Tbl_Responses[[Resp_Group]:[Resp_Group]],Agronomist)+COUNTIFS(Tbl_Responses[Phosphorus 5 - Type of test],Tbl_Q15_sampling[[#Headers],[DGT]],Tbl_Responses[Phosphorus 5 - How many representative samples per paddock],$CM7,Tbl_Responses[[Resp_Group]:[Resp_Group]],Agronomist))/(COUNTIFS(Tbl_Responses[Phosphorus 1 - Type of test],Tbl_Q15_sampling[[#Headers],[DGT]],Tbl_Responses[Phosphorus 1 - How many representative samples per paddock],"&gt;""",Tbl_Responses[[Resp_Group]:[Resp_Group]],Agronomist)+COUNTIFS(Tbl_Responses[Phosphorus 2 - Type of test],Tbl_Q15_sampling[[#Headers],[DGT]],Tbl_Responses[Phosphorus 2 - How many representative samples per paddock],"&gt;""",Tbl_Responses[[Resp_Group]:[Resp_Group]],Agronomist)+COUNTIFS(Tbl_Responses[Phosphorus 3 - Type of test],Tbl_Q15_sampling[[#Headers],[DGT]],Tbl_Responses[Phosphorus 3 - How many representative samples per paddock],"&gt;""",Tbl_Responses[[Resp_Group]:[Resp_Group]],Agronomist)+COUNTIFS(Tbl_Responses[Phosphorus 4 - Type of test],Tbl_Q15_sampling[[#Headers],[DGT]],Tbl_Responses[Phosphorus 4 - How many representative samples per paddock],"&gt;""",Tbl_Responses[[Resp_Group]:[Resp_Group]],Agronomist)+COUNTIFS(Tbl_Responses[Phosphorus 5 - Type of test],Tbl_Q15_sampling[[#Headers],[DGT]],Tbl_Responses[Phosphorus 5 - How many representative samples per paddock],"&gt;""",Tbl_Responses[[Resp_Group]:[Resp_Group]],Agronomist))</f>
        <v>0.16666666666666666</v>
      </c>
      <c r="CR7" s="62">
        <f>(COUNTIFS(Tbl_Responses[Phosphorus 1 - Type of test],Tbl_Q15_sampling[[#Headers],[Total P]],Tbl_Responses[Phosphorus 1 - How many representative samples per paddock],$CM7,Tbl_Responses[[Resp_Group]:[Resp_Group]],Agronomist)+COUNTIFS(Tbl_Responses[Phosphorus 2 - Type of test],Tbl_Q15_sampling[[#Headers],[Total P]],Tbl_Responses[Phosphorus 2 - How many representative samples per paddock],$CM7,Tbl_Responses[[Resp_Group]:[Resp_Group]],Agronomist)+COUNTIFS(Tbl_Responses[Phosphorus 3 - Type of test],Tbl_Q15_sampling[[#Headers],[Total P]],Tbl_Responses[Phosphorus 3 - How many representative samples per paddock],$CM7,Tbl_Responses[[Resp_Group]:[Resp_Group]],Agronomist)+COUNTIFS(Tbl_Responses[Phosphorus 4 - Type of test],Tbl_Q15_sampling[[#Headers],[Total P]],Tbl_Responses[Phosphorus 4 - How many representative samples per paddock],$CM7,Tbl_Responses[[Resp_Group]:[Resp_Group]],Agronomist)+COUNTIFS(Tbl_Responses[Phosphorus 5 - Type of test],Tbl_Q15_sampling[[#Headers],[Total P]],Tbl_Responses[Phosphorus 5 - How many representative samples per paddock],$CM7,Tbl_Responses[[Resp_Group]:[Resp_Group]],Agronomist))/(COUNTIFS(Tbl_Responses[Phosphorus 1 - Type of test],Tbl_Q15_sampling[[#Headers],[Total P]],Tbl_Responses[Phosphorus 1 - How many representative samples per paddock],"&gt;""",Tbl_Responses[[Resp_Group]:[Resp_Group]],Agronomist)+COUNTIFS(Tbl_Responses[Phosphorus 2 - Type of test],Tbl_Q15_sampling[[#Headers],[Total P]],Tbl_Responses[Phosphorus 2 - How many representative samples per paddock],"&gt;""",Tbl_Responses[[Resp_Group]:[Resp_Group]],Agronomist)+COUNTIFS(Tbl_Responses[Phosphorus 3 - Type of test],Tbl_Q15_sampling[[#Headers],[Total P]],Tbl_Responses[Phosphorus 3 - How many representative samples per paddock],"&gt;""",Tbl_Responses[[Resp_Group]:[Resp_Group]],Agronomist)+COUNTIFS(Tbl_Responses[Phosphorus 4 - Type of test],Tbl_Q15_sampling[[#Headers],[Total P]],Tbl_Responses[Phosphorus 4 - How many representative samples per paddock],"&gt;""",Tbl_Responses[[Resp_Group]:[Resp_Group]],Agronomist)+COUNTIFS(Tbl_Responses[Phosphorus 5 - Type of test],Tbl_Q15_sampling[[#Headers],[Total P]],Tbl_Responses[Phosphorus 5 - How many representative samples per paddock],"&gt;""",Tbl_Responses[[Resp_Group]:[Resp_Group]],Agronomist))</f>
        <v>0.25</v>
      </c>
      <c r="CS7" s="82">
        <f>(COUNTIFS(Tbl_Responses[Phosphorus 1 - How many representative samples per paddock],$CM7,Tbl_Responses[[Resp_Group]:[Resp_Group]],Agronomist)+COUNTIFS(Tbl_Responses[Phosphorus 2 - How many representative samples per paddock],$CM7,Tbl_Responses[[Resp_Group]:[Resp_Group]],Agronomist)+COUNTIFS(Tbl_Responses[Phosphorus 3 - How many representative samples per paddock],$CM7,Tbl_Responses[[Resp_Group]:[Resp_Group]],Agronomist)+COUNTIFS(Tbl_Responses[Phosphorus 4 - How many representative samples per paddock],$CM7,Tbl_Responses[[Resp_Group]:[Resp_Group]],Agronomist)+COUNTIFS(Tbl_Responses[Phosphorus 5 - How many representative samples per paddock],$CM7,Tbl_Responses[[Resp_Group]:[Resp_Group]],Agronomist))/(COUNTIFS(Tbl_Responses[Phosphorus 1 - How many representative samples per paddock],"&gt;""",Tbl_Responses[[Resp_Group]:[Resp_Group]],Agronomist)+COUNTIFS(Tbl_Responses[Phosphorus 2 - How many representative samples per paddock],"&gt;""",Tbl_Responses[[Resp_Group]:[Resp_Group]],Agronomist)+COUNTIFS(Tbl_Responses[Phosphorus 3 - How many representative samples per paddock],"&gt;""",Tbl_Responses[[Resp_Group]:[Resp_Group]],Agronomist)+COUNTIFS(Tbl_Responses[Phosphorus 4 - How many representative samples per paddock],"&gt;""",Tbl_Responses[[Resp_Group]:[Resp_Group]],Agronomist)+COUNTIFS(Tbl_Responses[Phosphorus 5 - How many representative samples per paddock],"&gt;""",Tbl_Responses[[Resp_Group]:[Resp_Group]],Agronomist))</f>
        <v>0.17094017094017094</v>
      </c>
      <c r="CT7" s="72"/>
      <c r="CU7" s="72"/>
      <c r="CV7" s="72"/>
      <c r="CW7" s="72"/>
      <c r="CX7" s="72"/>
      <c r="CY7" s="72"/>
      <c r="CZ7" s="56" t="s">
        <v>403</v>
      </c>
      <c r="DA7" s="67">
        <f>(COUNTIFS(Tbl_Responses[Potassium 1 - Type of test],Tbl_Q16_sampling[[#Headers],[Colwell K]],Tbl_Responses[Potassium 1 - How many representative samples per paddock],$CZ7,Tbl_Responses[[Resp_Group]:[Resp_Group]],Agronomist)+COUNTIFS(Tbl_Responses[Potassium 2 - Type of test],Tbl_Q16_sampling[[#Headers],[Colwell K]],Tbl_Responses[Potassium 2 - How many representative samples per paddock],$CZ7,Tbl_Responses[[Resp_Group]:[Resp_Group]],Agronomist)+COUNTIFS(Tbl_Responses[Potassium 3 - Type of test],Tbl_Q16_sampling[[#Headers],[Colwell K]],Tbl_Responses[Potassium 3 - How many representative samples per paddock],$CZ7,Tbl_Responses[[Resp_Group]:[Resp_Group]],Agronomist))/(COUNTIFS(Tbl_Responses[Potassium 1 - Type of test],Tbl_Q16_sampling[[#Headers],[Colwell K]],Tbl_Responses[Potassium 1 - How many representative samples per paddock],"&gt;""",Tbl_Responses[[Resp_Group]:[Resp_Group]],Agronomist)+COUNTIFS(Tbl_Responses[Potassium 2 - Type of test],Tbl_Q16_sampling[[#Headers],[Colwell K]],Tbl_Responses[Potassium 2 - How many representative samples per paddock],"&gt;""",Tbl_Responses[[Resp_Group]:[Resp_Group]],Agronomist)+COUNTIFS(Tbl_Responses[Potassium 3 - Type of test],Tbl_Q16_sampling[[#Headers],[Colwell K]],Tbl_Responses[Potassium 3 - How many representative samples per paddock],"&gt;""",Tbl_Responses[[Resp_Group]:[Resp_Group]],Agronomist))</f>
        <v>0.12903225806451613</v>
      </c>
      <c r="DB7" s="62">
        <f>(COUNTIFS(Tbl_Responses[Potassium 1 - Type of test],Tbl_Q16_sampling[[#Headers],[Exchangable Cations (Ca, Mg, K, Na)]],Tbl_Responses[Potassium 1 - How many representative samples per paddock],$CZ7,Tbl_Responses[[Resp_Group]:[Resp_Group]],Agronomist)+COUNTIFS(Tbl_Responses[Potassium 2 - Type of test],Tbl_Q16_sampling[[#Headers],[Exchangable Cations (Ca, Mg, K, Na)]],Tbl_Responses[Potassium 2 - How many representative samples per paddock],$CZ7,Tbl_Responses[[Resp_Group]:[Resp_Group]],Agronomist)+COUNTIFS(Tbl_Responses[Potassium 3 - Type of test],Tbl_Q16_sampling[[#Headers],[Exchangable Cations (Ca, Mg, K, Na)]],Tbl_Responses[Potassium 3 - How many representative samples per paddock],$CZ7,Tbl_Responses[[Resp_Group]:[Resp_Group]],Agronomist))/(COUNTIFS(Tbl_Responses[Potassium 1 - Type of test],Tbl_Q16_sampling[[#Headers],[Exchangable Cations (Ca, Mg, K, Na)]],Tbl_Responses[Potassium 1 - How many representative samples per paddock],"&gt;""",Tbl_Responses[[Resp_Group]:[Resp_Group]],Agronomist)+COUNTIFS(Tbl_Responses[Potassium 2 - Type of test],Tbl_Q16_sampling[[#Headers],[Exchangable Cations (Ca, Mg, K, Na)]],Tbl_Responses[Potassium 2 - How many representative samples per paddock],"&gt;""",Tbl_Responses[[Resp_Group]:[Resp_Group]],Agronomist)+COUNTIFS(Tbl_Responses[Potassium 3 - Type of test],Tbl_Q16_sampling[[#Headers],[Exchangable Cations (Ca, Mg, K, Na)]],Tbl_Responses[Potassium 3 - How many representative samples per paddock],"&gt;""",Tbl_Responses[[Resp_Group]:[Resp_Group]],Agronomist))</f>
        <v>0.22727272727272727</v>
      </c>
      <c r="DC7" s="70">
        <f>(COUNTIFS(Tbl_Responses[Potassium 1 - How many representative samples per paddock],$CZ7,Tbl_Responses[[Resp_Group]:[Resp_Group]],Agronomist)+COUNTIFS(Tbl_Responses[Potassium 2 - How many representative samples per paddock],$CZ7,Tbl_Responses[[Resp_Group]:[Resp_Group]],Agronomist)+COUNTIFS(Tbl_Responses[Potassium 3 - How many representative samples per paddock],$CZ7,Tbl_Responses[[Resp_Group]:[Resp_Group]],Agronomist))/(COUNTIFS(Tbl_Responses[Potassium 1 - How many representative samples per paddock],"&gt;""",Tbl_Responses[[Resp_Group]:[Resp_Group]],Agronomist)+COUNTIFS(Tbl_Responses[Potassium 2 - How many representative samples per paddock],"&gt;""",Tbl_Responses[[Resp_Group]:[Resp_Group]],Agronomist)+COUNTIFS(Tbl_Responses[Potassium 3 - How many representative samples per paddock],"&gt;""",Tbl_Responses[[Resp_Group]:[Resp_Group]],Agronomist))</f>
        <v>0.16981132075471697</v>
      </c>
      <c r="DD7" s="72"/>
      <c r="DE7" s="72"/>
      <c r="DF7" s="80" t="s">
        <v>192</v>
      </c>
      <c r="DG7" s="72">
        <f>(COUNTIFS(Tbl_Responses[1 - Type of test],DF7,Tbl_Responses[[Resp_Group]:[Resp_Group]],Agronomist)+COUNTIFS(Tbl_Responses[2 - Type of test],DF7,Tbl_Responses[[Resp_Group]:[Resp_Group]],Agronomist)+COUNTIFS(Tbl_Responses[3 - Type of test],DF7,Tbl_Responses[[Resp_Group]:[Resp_Group]],Agronomist)+COUNTIFS(Tbl_Responses[4 - Type of test],DF7,Tbl_Responses[[Resp_Group]:[Resp_Group]],Agronomist)+COUNTIFS(Tbl_Responses[5 - Type of test],DF7,Tbl_Responses[[Resp_Group]:[Resp_Group]],Agronomist))/(COUNTIFS(Tbl_Responses[1 -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f>
        <v>3.0567685589519649E-2</v>
      </c>
      <c r="DH7" s="72"/>
      <c r="DI7" s="72"/>
      <c r="DJ7" s="56" t="s">
        <v>403</v>
      </c>
      <c r="DK7" s="67">
        <f>(COUNTIFS(Tbl_Responses[1 - Type of test],Tbl_Q17_sampling[[#Headers],[pH]],Tbl_Responses[1 - How many cores per paddock],$DJ7,Tbl_Responses[[Resp_Group]:[Resp_Group]],Agronomist)+COUNTIFS(Tbl_Responses[2 - Type of test],Tbl_Q17_sampling[[#Headers],[pH]],Tbl_Responses[2 - How many cores per paddock],$DJ7,Tbl_Responses[[Resp_Group]:[Resp_Group]],Agronomist)+COUNTIFS(Tbl_Responses[3 - Type of test],Tbl_Q17_sampling[[#Headers],[pH]],Tbl_Responses[3 - How many cores per paddock],$DJ7,Tbl_Responses[[Resp_Group]:[Resp_Group]],Agronomist)+COUNTIFS(Tbl_Responses[4 - Type of test],Tbl_Q17_sampling[[#Headers],[pH]],Tbl_Responses[4 - How many cores per paddock],$DJ7,Tbl_Responses[[Resp_Group]:[Resp_Group]],Agronomist)+COUNTIFS(Tbl_Responses[5 - Type of test],Tbl_Q17_sampling[[#Headers],[pH]],Tbl_Responses[5 - How many cores per paddock],$DJ7,Tbl_Responses[[Resp_Group]:[Resp_Group]],Agronomist)+COUNTIFS(Tbl_Responses[6 - Type of test],Tbl_Q17_sampling[[#Headers],[pH]],Tbl_Responses[6 - How many cores per paddock],$DJ7,Tbl_Responses[[Resp_Group]:[Resp_Group]],Agronomist)+COUNTIFS(Tbl_Responses[7 - Type of test],Tbl_Q17_sampling[[#Headers],[pH]],Tbl_Responses[7 - How many cores per paddock],$DJ7,Tbl_Responses[[Resp_Group]:[Resp_Group]],Agronomist)+COUNTIFS(Tbl_Responses[8 - Type of test],Tbl_Q17_sampling[[#Headers],[pH]],Tbl_Responses[8 - How many cores per paddock],$DJ7,Tbl_Responses[[Resp_Group]:[Resp_Group]],Agronomist))/(COUNTIFS(Tbl_Responses[1 -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f>
        <v>0.16216216216216217</v>
      </c>
      <c r="DL7" s="62">
        <f>(COUNTIFS(Tbl_Responses[1 - Type of test],Tbl_Q17_sampling[[#Headers],[Trace elements (DTPA) Cu, Zn, Mg, Fe]],Tbl_Responses[1 - How many cores per paddock],$DJ7,Tbl_Responses[[Resp_Group]:[Resp_Group]],Agronomist)+COUNTIFS(Tbl_Responses[2 - Type of test],Tbl_Q17_sampling[[#Headers],[Trace elements (DTPA) Cu, Zn, Mg, Fe]],Tbl_Responses[2 - How many cores per paddock],$DJ7,Tbl_Responses[[Resp_Group]:[Resp_Group]],Agronomist)+COUNTIFS(Tbl_Responses[3 - Type of test],Tbl_Q17_sampling[[#Headers],[Trace elements (DTPA) Cu, Zn, Mg, Fe]],Tbl_Responses[3 - How many cores per paddock],$DJ7,Tbl_Responses[[Resp_Group]:[Resp_Group]],Agronomist)+COUNTIFS(Tbl_Responses[4 - Type of test],Tbl_Q17_sampling[[#Headers],[Trace elements (DTPA) Cu, Zn, Mg, Fe]],Tbl_Responses[4 - How many cores per paddock],$DJ7,Tbl_Responses[[Resp_Group]:[Resp_Group]],Agronomist)+COUNTIFS(Tbl_Responses[5 - Type of test],Tbl_Q17_sampling[[#Headers],[Trace elements (DTPA) Cu, Zn, Mg, Fe]],Tbl_Responses[5 - How many cores per paddock],$DJ7,Tbl_Responses[[Resp_Group]:[Resp_Group]],Agronomist)+COUNTIFS(Tbl_Responses[6 - Type of test],Tbl_Q17_sampling[[#Headers],[Trace elements (DTPA) Cu, Zn, Mg, Fe]],Tbl_Responses[6 - How many cores per paddock],$DJ7,Tbl_Responses[[Resp_Group]:[Resp_Group]],Agronomist)+COUNTIFS(Tbl_Responses[7 - Type of test],Tbl_Q17_sampling[[#Headers],[Trace elements (DTPA) Cu, Zn, Mg, Fe]],Tbl_Responses[7 - How many cores per paddock],$DJ7,Tbl_Responses[[Resp_Group]:[Resp_Group]],Agronomist)+COUNTIFS(Tbl_Responses[8 - Type of test],Tbl_Q17_sampling[[#Headers],[Trace elements (DTPA) Cu, Zn, Mg, Fe]],Tbl_Responses[8 - How many cores per paddock],$DJ7,Tbl_Responses[[Resp_Group]:[Resp_Group]],Agronomist))/(COUNTIFS(Tbl_Responses[1 - Type of test],Tbl_Q17_sampling[[#Headers],[Trace elements (DTPA) Cu, Zn, Mg, Fe]],Tbl_Responses[1 - How many cores per paddock],"&gt;""",Tbl_Responses[[Resp_Group]:[Resp_Group]],Agronomist)+COUNTIFS(Tbl_Responses[2 - Type of test],Tbl_Q17_sampling[[#Headers],[Trace elements (DTPA) Cu, Zn, Mg, Fe]],Tbl_Responses[2 - How many cores per paddock],"&gt;""",Tbl_Responses[[Resp_Group]:[Resp_Group]],Agronomist)+COUNTIFS(Tbl_Responses[3 - Type of test],Tbl_Q17_sampling[[#Headers],[Trace elements (DTPA) Cu, Zn, Mg, Fe]],Tbl_Responses[3 - How many cores per paddock],"&gt;""",Tbl_Responses[[Resp_Group]:[Resp_Group]],Agronomist)+COUNTIFS(Tbl_Responses[4 - Type of test],Tbl_Q17_sampling[[#Headers],[Trace elements (DTPA) Cu, Zn, Mg, Fe]],Tbl_Responses[4 - How many cores per paddock],"&gt;""",Tbl_Responses[[Resp_Group]:[Resp_Group]],Agronomist)+COUNTIFS(Tbl_Responses[5 - Type of test],Tbl_Q17_sampling[[#Headers],[Trace elements (DTPA) Cu, Zn, Mg, Fe]],Tbl_Responses[5 - How many cores per paddock],"&gt;""",Tbl_Responses[[Resp_Group]:[Resp_Group]],Agronomist)+COUNTIFS(Tbl_Responses[6 - Type of test],Tbl_Q17_sampling[[#Headers],[Trace elements (DTPA) Cu, Zn, Mg, Fe]],Tbl_Responses[6 - How many cores per paddock],"&gt;""",Tbl_Responses[[Resp_Group]:[Resp_Group]],Agronomist)+COUNTIFS(Tbl_Responses[7 - Type of test],Tbl_Q17_sampling[[#Headers],[Trace elements (DTPA) Cu, Zn, Mg, Fe]],Tbl_Responses[7 - How many cores per paddock],"&gt;""",Tbl_Responses[[Resp_Group]:[Resp_Group]],Agronomist)+COUNTIFS(Tbl_Responses[8 - Type of test],Tbl_Q17_sampling[[#Headers],[Trace elements (DTPA) Cu, Zn, Mg, Fe]],Tbl_Responses[8 - How many cores per paddock],"&gt;""",Tbl_Responses[[Resp_Group]:[Resp_Group]],Agronomist))</f>
        <v>0.1111111111111111</v>
      </c>
      <c r="DM7" s="62">
        <f>(COUNTIFS(Tbl_Responses[1 - Type of test],Tbl_Q17_sampling[[#Headers],[Trace elements (EDTA) Cu, Zn, Mg, Fe]],Tbl_Responses[1 - How many cores per paddock],$DJ7,Tbl_Responses[[Resp_Group]:[Resp_Group]],Agronomist)+COUNTIFS(Tbl_Responses[2 - Type of test],Tbl_Q17_sampling[[#Headers],[Trace elements (EDTA) Cu, Zn, Mg, Fe]],Tbl_Responses[2 - How many cores per paddock],$DJ7,Tbl_Responses[[Resp_Group]:[Resp_Group]],Agronomist)+COUNTIFS(Tbl_Responses[3 - Type of test],Tbl_Q17_sampling[[#Headers],[Trace elements (EDTA) Cu, Zn, Mg, Fe]],Tbl_Responses[3 - How many cores per paddock],$DJ7,Tbl_Responses[[Resp_Group]:[Resp_Group]],Agronomist)+COUNTIFS(Tbl_Responses[4 - Type of test],Tbl_Q17_sampling[[#Headers],[Trace elements (EDTA) Cu, Zn, Mg, Fe]],Tbl_Responses[4 - How many cores per paddock],$DJ7,Tbl_Responses[[Resp_Group]:[Resp_Group]],Agronomist)+COUNTIFS(Tbl_Responses[5 - Type of test],Tbl_Q17_sampling[[#Headers],[Trace elements (EDTA) Cu, Zn, Mg, Fe]],Tbl_Responses[5 - How many cores per paddock],$DJ7,Tbl_Responses[[Resp_Group]:[Resp_Group]],Agronomist)+COUNTIFS(Tbl_Responses[6 - Type of test],Tbl_Q17_sampling[[#Headers],[Trace elements (EDTA) Cu, Zn, Mg, Fe]],Tbl_Responses[6 - How many cores per paddock],$DJ7,Tbl_Responses[[Resp_Group]:[Resp_Group]],Agronomist)+COUNTIFS(Tbl_Responses[7 - Type of test],Tbl_Q17_sampling[[#Headers],[Trace elements (EDTA) Cu, Zn, Mg, Fe]],Tbl_Responses[7 - How many cores per paddock],$DJ7,Tbl_Responses[[Resp_Group]:[Resp_Group]],Agronomist)+COUNTIFS(Tbl_Responses[8 - Type of test],Tbl_Q17_sampling[[#Headers],[Trace elements (EDTA) Cu, Zn, Mg, Fe]],Tbl_Responses[8 - How many cores per paddock],$DJ7,Tbl_Responses[[Resp_Group]:[Resp_Group]],Agronomist))/(COUNTIFS(Tbl_Responses[1 - Type of test],Tbl_Q17_sampling[[#Headers],[Trace elements (EDTA) Cu, Zn, Mg, Fe]],Tbl_Responses[1 - How many cores per paddock],"&gt;""",Tbl_Responses[[Resp_Group]:[Resp_Group]],Agronomist)+COUNTIFS(Tbl_Responses[2 - Type of test],Tbl_Q17_sampling[[#Headers],[Trace elements (EDTA) Cu, Zn, Mg, Fe]],Tbl_Responses[2 - How many cores per paddock],"&gt;""",Tbl_Responses[[Resp_Group]:[Resp_Group]],Agronomist)+COUNTIFS(Tbl_Responses[3 - Type of test],Tbl_Q17_sampling[[#Headers],[Trace elements (EDTA) Cu, Zn, Mg, Fe]],Tbl_Responses[3 - How many cores per paddock],"&gt;""",Tbl_Responses[[Resp_Group]:[Resp_Group]],Agronomist)+COUNTIFS(Tbl_Responses[4 - Type of test],Tbl_Q17_sampling[[#Headers],[Trace elements (EDTA) Cu, Zn, Mg, Fe]],Tbl_Responses[4 - How many cores per paddock],"&gt;""",Tbl_Responses[[Resp_Group]:[Resp_Group]],Agronomist)+COUNTIFS(Tbl_Responses[5 - Type of test],Tbl_Q17_sampling[[#Headers],[Trace elements (EDTA) Cu, Zn, Mg, Fe]],Tbl_Responses[5 - How many cores per paddock],"&gt;""",Tbl_Responses[[Resp_Group]:[Resp_Group]],Agronomist)+COUNTIFS(Tbl_Responses[6 - Type of test],Tbl_Q17_sampling[[#Headers],[Trace elements (EDTA) Cu, Zn, Mg, Fe]],Tbl_Responses[6 - How many cores per paddock],"&gt;""",Tbl_Responses[[Resp_Group]:[Resp_Group]],Agronomist)+COUNTIFS(Tbl_Responses[7 - Type of test],Tbl_Q17_sampling[[#Headers],[Trace elements (EDTA) Cu, Zn, Mg, Fe]],Tbl_Responses[7 - How many cores per paddock],"&gt;""",Tbl_Responses[[Resp_Group]:[Resp_Group]],Agronomist)+COUNTIFS(Tbl_Responses[8 - Type of test],Tbl_Q17_sampling[[#Headers],[Trace elements (EDTA) Cu, Zn, Mg, Fe]],Tbl_Responses[8 - How many cores per paddock],"&gt;""",Tbl_Responses[[Resp_Group]:[Resp_Group]],Agronomist))</f>
        <v>0.2857142857142857</v>
      </c>
      <c r="DN7" s="62">
        <f>(COUNTIFS(Tbl_Responses[1 - Type of test],Tbl_Q17_sampling[[#Headers],[Exchangable cations - Ca, Mg, Na, K]],Tbl_Responses[1 - How many cores per paddock],$DJ7,Tbl_Responses[[Resp_Group]:[Resp_Group]],Agronomist)+COUNTIFS(Tbl_Responses[2 - Type of test],Tbl_Q17_sampling[[#Headers],[Exchangable cations - Ca, Mg, Na, K]],Tbl_Responses[2 - How many cores per paddock],$DJ7,Tbl_Responses[[Resp_Group]:[Resp_Group]],Agronomist)+COUNTIFS(Tbl_Responses[3 - Type of test],Tbl_Q17_sampling[[#Headers],[Exchangable cations - Ca, Mg, Na, K]],Tbl_Responses[3 - How many cores per paddock],$DJ7,Tbl_Responses[[Resp_Group]:[Resp_Group]],Agronomist)+COUNTIFS(Tbl_Responses[4 - Type of test],Tbl_Q17_sampling[[#Headers],[Exchangable cations - Ca, Mg, Na, K]],Tbl_Responses[4 - How many cores per paddock],$DJ7,Tbl_Responses[[Resp_Group]:[Resp_Group]],Agronomist)+COUNTIFS(Tbl_Responses[5 - Type of test],Tbl_Q17_sampling[[#Headers],[Exchangable cations - Ca, Mg, Na, K]],Tbl_Responses[5 - How many cores per paddock],$DJ7,Tbl_Responses[[Resp_Group]:[Resp_Group]],Agronomist)+COUNTIFS(Tbl_Responses[6 - Type of test],Tbl_Q17_sampling[[#Headers],[Exchangable cations - Ca, Mg, Na, K]],Tbl_Responses[6 - How many cores per paddock],$DJ7,Tbl_Responses[[Resp_Group]:[Resp_Group]],Agronomist)+COUNTIFS(Tbl_Responses[7 - Type of test],Tbl_Q17_sampling[[#Headers],[Exchangable cations - Ca, Mg, Na, K]],Tbl_Responses[7 - How many cores per paddock],$DJ7,Tbl_Responses[[Resp_Group]:[Resp_Group]],Agronomist)+COUNTIFS(Tbl_Responses[8 - Type of test],Tbl_Q17_sampling[[#Headers],[Exchangable cations - Ca, Mg, Na, K]],Tbl_Responses[8 - How many cores per paddock],$DJ7,Tbl_Responses[[Resp_Group]:[Resp_Group]],Agronomist))/(COUNTIFS(Tbl_Responses[1 - Type of test],Tbl_Q17_sampling[[#Headers],[Exchangable cations - Ca, Mg, Na, K]],Tbl_Responses[1 - How many cores per paddock],"&gt;""",Tbl_Responses[[Resp_Group]:[Resp_Group]],Agronomist)+COUNTIFS(Tbl_Responses[2 - Type of test],Tbl_Q17_sampling[[#Headers],[Exchangable cations - Ca, Mg, Na, K]],Tbl_Responses[2 - How many cores per paddock],"&gt;""",Tbl_Responses[[Resp_Group]:[Resp_Group]],Agronomist)+COUNTIFS(Tbl_Responses[3 - Type of test],Tbl_Q17_sampling[[#Headers],[Exchangable cations - Ca, Mg, Na, K]],Tbl_Responses[3 - How many cores per paddock],"&gt;""",Tbl_Responses[[Resp_Group]:[Resp_Group]],Agronomist)+COUNTIFS(Tbl_Responses[4 - Type of test],Tbl_Q17_sampling[[#Headers],[Exchangable cations - Ca, Mg, Na, K]],Tbl_Responses[4 - How many cores per paddock],"&gt;""",Tbl_Responses[[Resp_Group]:[Resp_Group]],Agronomist)+COUNTIFS(Tbl_Responses[5 - Type of test],Tbl_Q17_sampling[[#Headers],[Exchangable cations - Ca, Mg, Na, K]],Tbl_Responses[5 - How many cores per paddock],"&gt;""",Tbl_Responses[[Resp_Group]:[Resp_Group]],Agronomist)+COUNTIFS(Tbl_Responses[6 - Type of test],Tbl_Q17_sampling[[#Headers],[Exchangable cations - Ca, Mg, Na, K]],Tbl_Responses[6 - How many cores per paddock],"&gt;""",Tbl_Responses[[Resp_Group]:[Resp_Group]],Agronomist)+COUNTIFS(Tbl_Responses[7 - Type of test],Tbl_Q17_sampling[[#Headers],[Exchangable cations - Ca, Mg, Na, K]],Tbl_Responses[7 - How many cores per paddock],"&gt;""",Tbl_Responses[[Resp_Group]:[Resp_Group]],Agronomist)+COUNTIFS(Tbl_Responses[8 - Type of test],Tbl_Q17_sampling[[#Headers],[Exchangable cations - Ca, Mg, Na, K]],Tbl_Responses[8 - How many cores per paddock],"&gt;""",Tbl_Responses[[Resp_Group]:[Resp_Group]],Agronomist))</f>
        <v>9.375E-2</v>
      </c>
      <c r="DO7" s="62">
        <f>(COUNTIFS(Tbl_Responses[1 - Type of test],Tbl_Q17_sampling[[#Headers],[Texture]],Tbl_Responses[1 - How many cores per paddock],$DJ7,Tbl_Responses[[Resp_Group]:[Resp_Group]],Agronomist)+COUNTIFS(Tbl_Responses[2 - Type of test],Tbl_Q17_sampling[[#Headers],[Texture]],Tbl_Responses[2 - How many cores per paddock],$DJ7,Tbl_Responses[[Resp_Group]:[Resp_Group]],Agronomist)+COUNTIFS(Tbl_Responses[3 - Type of test],Tbl_Q17_sampling[[#Headers],[Texture]],Tbl_Responses[3 - How many cores per paddock],$DJ7,Tbl_Responses[[Resp_Group]:[Resp_Group]],Agronomist)+COUNTIFS(Tbl_Responses[4 - Type of test],Tbl_Q17_sampling[[#Headers],[Texture]],Tbl_Responses[4 - How many cores per paddock],$DJ7,Tbl_Responses[[Resp_Group]:[Resp_Group]],Agronomist)+COUNTIFS(Tbl_Responses[5 - Type of test],Tbl_Q17_sampling[[#Headers],[Texture]],Tbl_Responses[5 - How many cores per paddock],$DJ7,Tbl_Responses[[Resp_Group]:[Resp_Group]],Agronomist)+COUNTIFS(Tbl_Responses[6 - Type of test],Tbl_Q17_sampling[[#Headers],[Texture]],Tbl_Responses[6 - How many cores per paddock],$DJ7,Tbl_Responses[[Resp_Group]:[Resp_Group]],Agronomist)+COUNTIFS(Tbl_Responses[7 - Type of test],Tbl_Q17_sampling[[#Headers],[Texture]],Tbl_Responses[7 - How many cores per paddock],$DJ7,Tbl_Responses[[Resp_Group]:[Resp_Group]],Agronomist)+COUNTIFS(Tbl_Responses[8 - Type of test],Tbl_Q17_sampling[[#Headers],[Texture]],Tbl_Responses[8 - How many cores per paddock],$DJ7,Tbl_Responses[[Resp_Group]:[Resp_Group]],Agronomist))/(COUNTIFS(Tbl_Responses[1 - Type of test],Tbl_Q17_sampling[[#Headers],[Texture]],Tbl_Responses[1 - How many cores per paddock],"&gt;""",Tbl_Responses[[Resp_Group]:[Resp_Group]],Agronomist)+COUNTIFS(Tbl_Responses[2 - Type of test],Tbl_Q17_sampling[[#Headers],[Texture]],Tbl_Responses[2 - How many cores per paddock],"&gt;""",Tbl_Responses[[Resp_Group]:[Resp_Group]],Agronomist)+COUNTIFS(Tbl_Responses[3 - Type of test],Tbl_Q17_sampling[[#Headers],[Texture]],Tbl_Responses[3 - How many cores per paddock],"&gt;""",Tbl_Responses[[Resp_Group]:[Resp_Group]],Agronomist)+COUNTIFS(Tbl_Responses[4 - Type of test],Tbl_Q17_sampling[[#Headers],[Texture]],Tbl_Responses[4 - How many cores per paddock],"&gt;""",Tbl_Responses[[Resp_Group]:[Resp_Group]],Agronomist)+COUNTIFS(Tbl_Responses[5 - Type of test],Tbl_Q17_sampling[[#Headers],[Texture]],Tbl_Responses[5 - How many cores per paddock],"&gt;""",Tbl_Responses[[Resp_Group]:[Resp_Group]],Agronomist)+COUNTIFS(Tbl_Responses[6 - Type of test],Tbl_Q17_sampling[[#Headers],[Texture]],Tbl_Responses[6 - How many cores per paddock],"&gt;""",Tbl_Responses[[Resp_Group]:[Resp_Group]],Agronomist)+COUNTIFS(Tbl_Responses[7 - Type of test],Tbl_Q17_sampling[[#Headers],[Texture]],Tbl_Responses[7 - How many cores per paddock],"&gt;""",Tbl_Responses[[Resp_Group]:[Resp_Group]],Agronomist)+COUNTIFS(Tbl_Responses[8 - Type of test],Tbl_Q17_sampling[[#Headers],[Texture]],Tbl_Responses[8 - How many cores per paddock],"&gt;""",Tbl_Responses[[Resp_Group]:[Resp_Group]],Agronomist))</f>
        <v>0.1</v>
      </c>
      <c r="DP7" s="62">
        <f>(COUNTIFS(Tbl_Responses[1 - Type of test],Tbl_Q17_sampling[[#Headers],[Aluminium (CaCl2)]],Tbl_Responses[1 - How many cores per paddock],$DJ7,Tbl_Responses[[Resp_Group]:[Resp_Group]],Agronomist)+COUNTIFS(Tbl_Responses[2 - Type of test],Tbl_Q17_sampling[[#Headers],[Aluminium (CaCl2)]],Tbl_Responses[2 - How many cores per paddock],$DJ7,Tbl_Responses[[Resp_Group]:[Resp_Group]],Agronomist)+COUNTIFS(Tbl_Responses[3 - Type of test],Tbl_Q17_sampling[[#Headers],[Aluminium (CaCl2)]],Tbl_Responses[3 - How many cores per paddock],$DJ7,Tbl_Responses[[Resp_Group]:[Resp_Group]],Agronomist)+COUNTIFS(Tbl_Responses[4 - Type of test],Tbl_Q17_sampling[[#Headers],[Aluminium (CaCl2)]],Tbl_Responses[4 - How many cores per paddock],$DJ7,Tbl_Responses[[Resp_Group]:[Resp_Group]],Agronomist)+COUNTIFS(Tbl_Responses[5 - Type of test],Tbl_Q17_sampling[[#Headers],[Aluminium (CaCl2)]],Tbl_Responses[5 - How many cores per paddock],$DJ7,Tbl_Responses[[Resp_Group]:[Resp_Group]],Agronomist)+COUNTIFS(Tbl_Responses[6 - Type of test],Tbl_Q17_sampling[[#Headers],[Aluminium (CaCl2)]],Tbl_Responses[6 - How many cores per paddock],$DJ7,Tbl_Responses[[Resp_Group]:[Resp_Group]],Agronomist)+COUNTIFS(Tbl_Responses[7 - Type of test],Tbl_Q17_sampling[[#Headers],[Aluminium (CaCl2)]],Tbl_Responses[7 - How many cores per paddock],$DJ7,Tbl_Responses[[Resp_Group]:[Resp_Group]],Agronomist)+COUNTIFS(Tbl_Responses[8 - Type of test],Tbl_Q17_sampling[[#Headers],[Aluminium (CaCl2)]],Tbl_Responses[8 - How many cores per paddock],$DJ7,Tbl_Responses[[Resp_Group]:[Resp_Group]],Agronomist))/(COUNTIFS(Tbl_Responses[1 - Type of test],Tbl_Q17_sampling[[#Headers],[Aluminium (CaCl2)]],Tbl_Responses[1 - How many cores per paddock],"&gt;""",Tbl_Responses[[Resp_Group]:[Resp_Group]],Agronomist)+COUNTIFS(Tbl_Responses[2 - Type of test],Tbl_Q17_sampling[[#Headers],[Aluminium (CaCl2)]],Tbl_Responses[2 - How many cores per paddock],"&gt;""",Tbl_Responses[[Resp_Group]:[Resp_Group]],Agronomist)+COUNTIFS(Tbl_Responses[3 - Type of test],Tbl_Q17_sampling[[#Headers],[Aluminium (CaCl2)]],Tbl_Responses[3 - How many cores per paddock],"&gt;""",Tbl_Responses[[Resp_Group]:[Resp_Group]],Agronomist)+COUNTIFS(Tbl_Responses[4 - Type of test],Tbl_Q17_sampling[[#Headers],[Aluminium (CaCl2)]],Tbl_Responses[4 - How many cores per paddock],"&gt;""",Tbl_Responses[[Resp_Group]:[Resp_Group]],Agronomist)+COUNTIFS(Tbl_Responses[5 - Type of test],Tbl_Q17_sampling[[#Headers],[Aluminium (CaCl2)]],Tbl_Responses[5 - How many cores per paddock],"&gt;""",Tbl_Responses[[Resp_Group]:[Resp_Group]],Agronomist)+COUNTIFS(Tbl_Responses[6 - Type of test],Tbl_Q17_sampling[[#Headers],[Aluminium (CaCl2)]],Tbl_Responses[6 - How many cores per paddock],"&gt;""",Tbl_Responses[[Resp_Group]:[Resp_Group]],Agronomist)+COUNTIFS(Tbl_Responses[7 - Type of test],Tbl_Q17_sampling[[#Headers],[Aluminium (CaCl2)]],Tbl_Responses[7 - How many cores per paddock],"&gt;""",Tbl_Responses[[Resp_Group]:[Resp_Group]],Agronomist)+COUNTIFS(Tbl_Responses[8 - Type of test],Tbl_Q17_sampling[[#Headers],[Aluminium (CaCl2)]],Tbl_Responses[8 - How many cores per paddock],"&gt;""",Tbl_Responses[[Resp_Group]:[Resp_Group]],Agronomist))</f>
        <v>9.6774193548387094E-2</v>
      </c>
      <c r="DQ7" s="62">
        <f>(COUNTIFS(Tbl_Responses[1 - Type of test],Tbl_Q17_sampling[[#Headers],[Chloride]],Tbl_Responses[1 - How many cores per paddock],$DJ7,Tbl_Responses[[Resp_Group]:[Resp_Group]],Agronomist)+COUNTIFS(Tbl_Responses[2 - Type of test],Tbl_Q17_sampling[[#Headers],[Chloride]],Tbl_Responses[2 - How many cores per paddock],$DJ7,Tbl_Responses[[Resp_Group]:[Resp_Group]],Agronomist)+COUNTIFS(Tbl_Responses[3 - Type of test],Tbl_Q17_sampling[[#Headers],[Chloride]],Tbl_Responses[3 - How many cores per paddock],$DJ7,Tbl_Responses[[Resp_Group]:[Resp_Group]],Agronomist)+COUNTIFS(Tbl_Responses[4 - Type of test],Tbl_Q17_sampling[[#Headers],[Chloride]],Tbl_Responses[4 - How many cores per paddock],$DJ7,Tbl_Responses[[Resp_Group]:[Resp_Group]],Agronomist)+COUNTIFS(Tbl_Responses[5 - Type of test],Tbl_Q17_sampling[[#Headers],[Chloride]],Tbl_Responses[5 - How many cores per paddock],$DJ7,Tbl_Responses[[Resp_Group]:[Resp_Group]],Agronomist)+COUNTIFS(Tbl_Responses[6 - Type of test],Tbl_Q17_sampling[[#Headers],[Chloride]],Tbl_Responses[6 - How many cores per paddock],$DJ7,Tbl_Responses[[Resp_Group]:[Resp_Group]],Agronomist)+COUNTIFS(Tbl_Responses[7 - Type of test],Tbl_Q17_sampling[[#Headers],[Chloride]],Tbl_Responses[7 - How many cores per paddock],$DJ7,Tbl_Responses[[Resp_Group]:[Resp_Group]],Agronomist)+COUNTIFS(Tbl_Responses[8 - Type of test],Tbl_Q17_sampling[[#Headers],[Chloride]],Tbl_Responses[8 - How many cores per paddock],$DJ7,Tbl_Responses[[Resp_Group]:[Resp_Group]],Agronomist))/(COUNTIFS(Tbl_Responses[1 - Type of test],Tbl_Q17_sampling[[#Headers],[Chloride]],Tbl_Responses[1 - How many cores per paddock],"&gt;""",Tbl_Responses[[Resp_Group]:[Resp_Group]],Agronomist)+COUNTIFS(Tbl_Responses[2 - Type of test],Tbl_Q17_sampling[[#Headers],[Chloride]],Tbl_Responses[2 - How many cores per paddock],"&gt;""",Tbl_Responses[[Resp_Group]:[Resp_Group]],Agronomist)+COUNTIFS(Tbl_Responses[3 - Type of test],Tbl_Q17_sampling[[#Headers],[Chloride]],Tbl_Responses[3 - How many cores per paddock],"&gt;""",Tbl_Responses[[Resp_Group]:[Resp_Group]],Agronomist)+COUNTIFS(Tbl_Responses[4 - Type of test],Tbl_Q17_sampling[[#Headers],[Chloride]],Tbl_Responses[4 - How many cores per paddock],"&gt;""",Tbl_Responses[[Resp_Group]:[Resp_Group]],Agronomist)+COUNTIFS(Tbl_Responses[5 - Type of test],Tbl_Q17_sampling[[#Headers],[Chloride]],Tbl_Responses[5 - How many cores per paddock],"&gt;""",Tbl_Responses[[Resp_Group]:[Resp_Group]],Agronomist)+COUNTIFS(Tbl_Responses[6 - Type of test],Tbl_Q17_sampling[[#Headers],[Chloride]],Tbl_Responses[6 - How many cores per paddock],"&gt;""",Tbl_Responses[[Resp_Group]:[Resp_Group]],Agronomist)+COUNTIFS(Tbl_Responses[7 - Type of test],Tbl_Q17_sampling[[#Headers],[Chloride]],Tbl_Responses[7 - How many cores per paddock],"&gt;""",Tbl_Responses[[Resp_Group]:[Resp_Group]],Agronomist)+COUNTIFS(Tbl_Responses[8 - Type of test],Tbl_Q17_sampling[[#Headers],[Chloride]],Tbl_Responses[8 - How many cores per paddock],"&gt;""",Tbl_Responses[[Resp_Group]:[Resp_Group]],Agronomist))</f>
        <v>0.1875</v>
      </c>
      <c r="DR7" s="62">
        <f>(COUNTIFS(Tbl_Responses[1 - Type of test],Tbl_Q17_sampling[[#Headers],[Boron]],Tbl_Responses[1 - How many cores per paddock],$DJ7,Tbl_Responses[[Resp_Group]:[Resp_Group]],Agronomist)+COUNTIFS(Tbl_Responses[2 - Type of test],Tbl_Q17_sampling[[#Headers],[Boron]],Tbl_Responses[2 - How many cores per paddock],$DJ7,Tbl_Responses[[Resp_Group]:[Resp_Group]],Agronomist)+COUNTIFS(Tbl_Responses[3 - Type of test],Tbl_Q17_sampling[[#Headers],[Boron]],Tbl_Responses[3 - How many cores per paddock],$DJ7,Tbl_Responses[[Resp_Group]:[Resp_Group]],Agronomist)+COUNTIFS(Tbl_Responses[4 - Type of test],Tbl_Q17_sampling[[#Headers],[Boron]],Tbl_Responses[4 - How many cores per paddock],$DJ7,Tbl_Responses[[Resp_Group]:[Resp_Group]],Agronomist)+COUNTIFS(Tbl_Responses[5 - Type of test],Tbl_Q17_sampling[[#Headers],[Boron]],Tbl_Responses[5 - How many cores per paddock],$DJ7,Tbl_Responses[[Resp_Group]:[Resp_Group]],Agronomist)+COUNTIFS(Tbl_Responses[6 - Type of test],Tbl_Q17_sampling[[#Headers],[Boron]],Tbl_Responses[6 - How many cores per paddock],$DJ7,Tbl_Responses[[Resp_Group]:[Resp_Group]],Agronomist)+COUNTIFS(Tbl_Responses[7 - Type of test],Tbl_Q17_sampling[[#Headers],[Boron]],Tbl_Responses[7 - How many cores per paddock],$DJ7,Tbl_Responses[[Resp_Group]:[Resp_Group]],Agronomist)+COUNTIFS(Tbl_Responses[8 - Type of test],Tbl_Q17_sampling[[#Headers],[Boron]],Tbl_Responses[8 - How many cores per paddock],$DJ7,Tbl_Responses[[Resp_Group]:[Resp_Group]],Agronomist))/(COUNTIFS(Tbl_Responses[1 - Type of test],Tbl_Q17_sampling[[#Headers],[Boron]],Tbl_Responses[1 - How many cores per paddock],"&gt;""",Tbl_Responses[[Resp_Group]:[Resp_Group]],Agronomist)+COUNTIFS(Tbl_Responses[2 - Type of test],Tbl_Q17_sampling[[#Headers],[Boron]],Tbl_Responses[2 - How many cores per paddock],"&gt;""",Tbl_Responses[[Resp_Group]:[Resp_Group]],Agronomist)+COUNTIFS(Tbl_Responses[3 - Type of test],Tbl_Q17_sampling[[#Headers],[Boron]],Tbl_Responses[3 - How many cores per paddock],"&gt;""",Tbl_Responses[[Resp_Group]:[Resp_Group]],Agronomist)+COUNTIFS(Tbl_Responses[4 - Type of test],Tbl_Q17_sampling[[#Headers],[Boron]],Tbl_Responses[4 - How many cores per paddock],"&gt;""",Tbl_Responses[[Resp_Group]:[Resp_Group]],Agronomist)+COUNTIFS(Tbl_Responses[5 - Type of test],Tbl_Q17_sampling[[#Headers],[Boron]],Tbl_Responses[5 - How many cores per paddock],"&gt;""",Tbl_Responses[[Resp_Group]:[Resp_Group]],Agronomist)+COUNTIFS(Tbl_Responses[6 - Type of test],Tbl_Q17_sampling[[#Headers],[Boron]],Tbl_Responses[6 - How many cores per paddock],"&gt;""",Tbl_Responses[[Resp_Group]:[Resp_Group]],Agronomist)+COUNTIFS(Tbl_Responses[7 - Type of test],Tbl_Q17_sampling[[#Headers],[Boron]],Tbl_Responses[7 - How many cores per paddock],"&gt;""",Tbl_Responses[[Resp_Group]:[Resp_Group]],Agronomist)+COUNTIFS(Tbl_Responses[8 - Type of test],Tbl_Q17_sampling[[#Headers],[Boron]],Tbl_Responses[8 - How many cores per paddock],"&gt;""",Tbl_Responses[[Resp_Group]:[Resp_Group]],Agronomist))</f>
        <v>9.6774193548387094E-2</v>
      </c>
      <c r="DS7" s="62">
        <f>(COUNTIFS(Tbl_Responses[1 - Type of test],Tbl_Q17_sampling[[#Headers],[Sulfur (KCl40)]],Tbl_Responses[1 - How many cores per paddock],$DJ7,Tbl_Responses[[Resp_Group]:[Resp_Group]],Agronomist)+COUNTIFS(Tbl_Responses[2 - Type of test],Tbl_Q17_sampling[[#Headers],[Sulfur (KCl40)]],Tbl_Responses[2 - How many cores per paddock],$DJ7,Tbl_Responses[[Resp_Group]:[Resp_Group]],Agronomist)+COUNTIFS(Tbl_Responses[3 - Type of test],Tbl_Q17_sampling[[#Headers],[Sulfur (KCl40)]],Tbl_Responses[3 - How many cores per paddock],$DJ7,Tbl_Responses[[Resp_Group]:[Resp_Group]],Agronomist)+COUNTIFS(Tbl_Responses[4 - Type of test],Tbl_Q17_sampling[[#Headers],[Sulfur (KCl40)]],Tbl_Responses[4 - How many cores per paddock],$DJ7,Tbl_Responses[[Resp_Group]:[Resp_Group]],Agronomist)+COUNTIFS(Tbl_Responses[5 - Type of test],Tbl_Q17_sampling[[#Headers],[Sulfur (KCl40)]],Tbl_Responses[5 - How many cores per paddock],$DJ7,Tbl_Responses[[Resp_Group]:[Resp_Group]],Agronomist)+COUNTIFS(Tbl_Responses[6 - Type of test],Tbl_Q17_sampling[[#Headers],[Sulfur (KCl40)]],Tbl_Responses[6 - How many cores per paddock],$DJ7,Tbl_Responses[[Resp_Group]:[Resp_Group]],Agronomist)+COUNTIFS(Tbl_Responses[7 - Type of test],Tbl_Q17_sampling[[#Headers],[Sulfur (KCl40)]],Tbl_Responses[7 - How many cores per paddock],$DJ7,Tbl_Responses[[Resp_Group]:[Resp_Group]],Agronomist)+COUNTIFS(Tbl_Responses[8 - Type of test],Tbl_Q17_sampling[[#Headers],[Sulfur (KCl40)]],Tbl_Responses[8 - How many cores per paddock],$DJ7,Tbl_Responses[[Resp_Group]:[Resp_Group]],Agronomist))/(COUNTIFS(Tbl_Responses[1 - Type of test],Tbl_Q17_sampling[[#Headers],[Sulfur (KCl40)]],Tbl_Responses[1 - How many cores per paddock],"&gt;""",Tbl_Responses[[Resp_Group]:[Resp_Group]],Agronomist)+COUNTIFS(Tbl_Responses[2 - Type of test],Tbl_Q17_sampling[[#Headers],[Sulfur (KCl40)]],Tbl_Responses[2 - How many cores per paddock],"&gt;""",Tbl_Responses[[Resp_Group]:[Resp_Group]],Agronomist)+COUNTIFS(Tbl_Responses[3 - Type of test],Tbl_Q17_sampling[[#Headers],[Sulfur (KCl40)]],Tbl_Responses[3 - How many cores per paddock],"&gt;""",Tbl_Responses[[Resp_Group]:[Resp_Group]],Agronomist)+COUNTIFS(Tbl_Responses[4 - Type of test],Tbl_Q17_sampling[[#Headers],[Sulfur (KCl40)]],Tbl_Responses[4 - How many cores per paddock],"&gt;""",Tbl_Responses[[Resp_Group]:[Resp_Group]],Agronomist)+COUNTIFS(Tbl_Responses[5 - Type of test],Tbl_Q17_sampling[[#Headers],[Sulfur (KCl40)]],Tbl_Responses[5 - How many cores per paddock],"&gt;""",Tbl_Responses[[Resp_Group]:[Resp_Group]],Agronomist)+COUNTIFS(Tbl_Responses[6 - Type of test],Tbl_Q17_sampling[[#Headers],[Sulfur (KCl40)]],Tbl_Responses[6 - How many cores per paddock],"&gt;""",Tbl_Responses[[Resp_Group]:[Resp_Group]],Agronomist)+COUNTIFS(Tbl_Responses[7 - Type of test],Tbl_Q17_sampling[[#Headers],[Sulfur (KCl40)]],Tbl_Responses[7 - How many cores per paddock],"&gt;""",Tbl_Responses[[Resp_Group]:[Resp_Group]],Agronomist)+COUNTIFS(Tbl_Responses[8 - Type of test],Tbl_Q17_sampling[[#Headers],[Sulfur (KCl40)]],Tbl_Responses[8 - How many cores per paddock],"&gt;""",Tbl_Responses[[Resp_Group]:[Resp_Group]],Agronomist))</f>
        <v>0.15625</v>
      </c>
      <c r="DT7" s="62">
        <f>(COUNTIFS(Tbl_Responses[1 - Type of test],Tbl_Q17_sampling[[#Headers],[Calcium carbonate %]],Tbl_Responses[1 - How many cores per paddock],$DJ7,Tbl_Responses[[Resp_Group]:[Resp_Group]],Agronomist)+COUNTIFS(Tbl_Responses[2 - Type of test],Tbl_Q17_sampling[[#Headers],[Calcium carbonate %]],Tbl_Responses[2 - How many cores per paddock],$DJ7,Tbl_Responses[[Resp_Group]:[Resp_Group]],Agronomist)+COUNTIFS(Tbl_Responses[3 - Type of test],Tbl_Q17_sampling[[#Headers],[Calcium carbonate %]],Tbl_Responses[3 - How many cores per paddock],$DJ7,Tbl_Responses[[Resp_Group]:[Resp_Group]],Agronomist)+COUNTIFS(Tbl_Responses[4 - Type of test],Tbl_Q17_sampling[[#Headers],[Calcium carbonate %]],Tbl_Responses[4 - How many cores per paddock],$DJ7,Tbl_Responses[[Resp_Group]:[Resp_Group]],Agronomist)+COUNTIFS(Tbl_Responses[5 - Type of test],Tbl_Q17_sampling[[#Headers],[Calcium carbonate %]],Tbl_Responses[5 - How many cores per paddock],$DJ7,Tbl_Responses[[Resp_Group]:[Resp_Group]],Agronomist)+COUNTIFS(Tbl_Responses[6 - Type of test],Tbl_Q17_sampling[[#Headers],[Calcium carbonate %]],Tbl_Responses[6 - How many cores per paddock],$DJ7,Tbl_Responses[[Resp_Group]:[Resp_Group]],Agronomist)+COUNTIFS(Tbl_Responses[7 - Type of test],Tbl_Q17_sampling[[#Headers],[Calcium carbonate %]],Tbl_Responses[7 - How many cores per paddock],$DJ7,Tbl_Responses[[Resp_Group]:[Resp_Group]],Agronomist)+COUNTIFS(Tbl_Responses[8 - Type of test],Tbl_Q17_sampling[[#Headers],[Calcium carbonate %]],Tbl_Responses[8 - How many cores per paddock],$DJ7,Tbl_Responses[[Resp_Group]:[Resp_Group]],Agronomist))/(COUNTIFS(Tbl_Responses[1 - Type of test],Tbl_Q17_sampling[[#Headers],[Calcium carbonate %]],Tbl_Responses[1 - How many cores per paddock],"&gt;""",Tbl_Responses[[Resp_Group]:[Resp_Group]],Agronomist)+COUNTIFS(Tbl_Responses[2 - Type of test],Tbl_Q17_sampling[[#Headers],[Calcium carbonate %]],Tbl_Responses[2 - How many cores per paddock],"&gt;""",Tbl_Responses[[Resp_Group]:[Resp_Group]],Agronomist)+COUNTIFS(Tbl_Responses[3 - Type of test],Tbl_Q17_sampling[[#Headers],[Calcium carbonate %]],Tbl_Responses[3 - How many cores per paddock],"&gt;""",Tbl_Responses[[Resp_Group]:[Resp_Group]],Agronomist)+COUNTIFS(Tbl_Responses[4 - Type of test],Tbl_Q17_sampling[[#Headers],[Calcium carbonate %]],Tbl_Responses[4 - How many cores per paddock],"&gt;""",Tbl_Responses[[Resp_Group]:[Resp_Group]],Agronomist)+COUNTIFS(Tbl_Responses[5 - Type of test],Tbl_Q17_sampling[[#Headers],[Calcium carbonate %]],Tbl_Responses[5 - How many cores per paddock],"&gt;""",Tbl_Responses[[Resp_Group]:[Resp_Group]],Agronomist)+COUNTIFS(Tbl_Responses[6 - Type of test],Tbl_Q17_sampling[[#Headers],[Calcium carbonate %]],Tbl_Responses[6 - How many cores per paddock],"&gt;""",Tbl_Responses[[Resp_Group]:[Resp_Group]],Agronomist)+COUNTIFS(Tbl_Responses[7 - Type of test],Tbl_Q17_sampling[[#Headers],[Calcium carbonate %]],Tbl_Responses[7 - How many cores per paddock],"&gt;""",Tbl_Responses[[Resp_Group]:[Resp_Group]],Agronomist)+COUNTIFS(Tbl_Responses[8 - Type of test],Tbl_Q17_sampling[[#Headers],[Calcium carbonate %]],Tbl_Responses[8 - How many cores per paddock],"&gt;""",Tbl_Responses[[Resp_Group]:[Resp_Group]],Agronomist))</f>
        <v>9.5238095238095233E-2</v>
      </c>
      <c r="DU7" s="62">
        <f>(COUNTIFS(Tbl_Responses[1 - Type of test],Tbl_Q17_sampling[[#Headers],[Sulfur (MCP)]],Tbl_Responses[1 - How many cores per paddock],$DJ7,Tbl_Responses[[Resp_Group]:[Resp_Group]],Agronomist)+COUNTIFS(Tbl_Responses[2 - Type of test],Tbl_Q17_sampling[[#Headers],[Sulfur (MCP)]],Tbl_Responses[2 - How many cores per paddock],$DJ7,Tbl_Responses[[Resp_Group]:[Resp_Group]],Agronomist)+COUNTIFS(Tbl_Responses[3 - Type of test],Tbl_Q17_sampling[[#Headers],[Sulfur (MCP)]],Tbl_Responses[3 - How many cores per paddock],$DJ7,Tbl_Responses[[Resp_Group]:[Resp_Group]],Agronomist)+COUNTIFS(Tbl_Responses[4 - Type of test],Tbl_Q17_sampling[[#Headers],[Sulfur (MCP)]],Tbl_Responses[4 - How many cores per paddock],$DJ7,Tbl_Responses[[Resp_Group]:[Resp_Group]],Agronomist)+COUNTIFS(Tbl_Responses[5 - Type of test],Tbl_Q17_sampling[[#Headers],[Sulfur (MCP)]],Tbl_Responses[5 - How many cores per paddock],$DJ7,Tbl_Responses[[Resp_Group]:[Resp_Group]],Agronomist)+COUNTIFS(Tbl_Responses[6 - Type of test],Tbl_Q17_sampling[[#Headers],[Sulfur (MCP)]],Tbl_Responses[6 - How many cores per paddock],$DJ7,Tbl_Responses[[Resp_Group]:[Resp_Group]],Agronomist)+COUNTIFS(Tbl_Responses[7 - Type of test],Tbl_Q17_sampling[[#Headers],[Sulfur (MCP)]],Tbl_Responses[7 - How many cores per paddock],$DJ7,Tbl_Responses[[Resp_Group]:[Resp_Group]],Agronomist)+COUNTIFS(Tbl_Responses[8 - Type of test],Tbl_Q17_sampling[[#Headers],[Sulfur (MCP)]],Tbl_Responses[8 - How many cores per paddock],$DJ7,Tbl_Responses[[Resp_Group]:[Resp_Group]],Agronomist))/(COUNTIFS(Tbl_Responses[1 - Type of test],Tbl_Q17_sampling[[#Headers],[Sulfur (MCP)]],Tbl_Responses[1 - How many cores per paddock],"&gt;""",Tbl_Responses[[Resp_Group]:[Resp_Group]],Agronomist)+COUNTIFS(Tbl_Responses[2 - Type of test],Tbl_Q17_sampling[[#Headers],[Sulfur (MCP)]],Tbl_Responses[2 - How many cores per paddock],"&gt;""",Tbl_Responses[[Resp_Group]:[Resp_Group]],Agronomist)+COUNTIFS(Tbl_Responses[3 - Type of test],Tbl_Q17_sampling[[#Headers],[Sulfur (MCP)]],Tbl_Responses[3 - How many cores per paddock],"&gt;""",Tbl_Responses[[Resp_Group]:[Resp_Group]],Agronomist)+COUNTIFS(Tbl_Responses[4 - Type of test],Tbl_Q17_sampling[[#Headers],[Sulfur (MCP)]],Tbl_Responses[4 - How many cores per paddock],"&gt;""",Tbl_Responses[[Resp_Group]:[Resp_Group]],Agronomist)+COUNTIFS(Tbl_Responses[5 - Type of test],Tbl_Q17_sampling[[#Headers],[Sulfur (MCP)]],Tbl_Responses[5 - How many cores per paddock],"&gt;""",Tbl_Responses[[Resp_Group]:[Resp_Group]],Agronomist)+COUNTIFS(Tbl_Responses[6 - Type of test],Tbl_Q17_sampling[[#Headers],[Sulfur (MCP)]],Tbl_Responses[6 - How many cores per paddock],"&gt;""",Tbl_Responses[[Resp_Group]:[Resp_Group]],Agronomist)+COUNTIFS(Tbl_Responses[7 - Type of test],Tbl_Q17_sampling[[#Headers],[Sulfur (MCP)]],Tbl_Responses[7 - How many cores per paddock],"&gt;""",Tbl_Responses[[Resp_Group]:[Resp_Group]],Agronomist)+COUNTIFS(Tbl_Responses[8 - Type of test],Tbl_Q17_sampling[[#Headers],[Sulfur (MCP)]],Tbl_Responses[8 - How many cores per paddock],"&gt;""",Tbl_Responses[[Resp_Group]:[Resp_Group]],Agronomist))</f>
        <v>0.33333333333333331</v>
      </c>
      <c r="DV7" s="82">
        <f>(COUNTIFS(Tbl_Responses[1 - How many cores per paddock],$DJ7,Tbl_Responses[[Resp_Group]:[Resp_Group]],Agronomist)+COUNTIFS(Tbl_Responses[2 - How many cores per paddock],$DJ7,Tbl_Responses[[Resp_Group]:[Resp_Group]],Agronomist)+COUNTIFS(Tbl_Responses[3 - How many cores per paddock],$DJ7,Tbl_Responses[[Resp_Group]:[Resp_Group]],Agronomist)+COUNTIFS(Tbl_Responses[4 - How many cores per paddock],$DJ7,Tbl_Responses[[Resp_Group]:[Resp_Group]],Agronomist)+COUNTIFS(Tbl_Responses[5 - How many cores per paddock],$DJ7,Tbl_Responses[[Resp_Group]:[Resp_Group]],Agronomist)+COUNTIFS(Tbl_Responses[6 - How many cores per paddock],$DJ7,Tbl_Responses[[Resp_Group]:[Resp_Group]],Agronomist)+COUNTIFS(Tbl_Responses[7 - How many cores per paddock],$DJ7,Tbl_Responses[[Resp_Group]:[Resp_Group]],Agronomist))/(COUNTIFS(Tbl_Responses[1 - How many cores per paddock],"&gt;""",Tbl_Responses[[Resp_Group]:[Resp_Group]],Agronomist)+COUNTIFS(Tbl_Responses[2 - How many cores per paddock],"&gt;""",Tbl_Responses[[Resp_Group]:[Resp_Group]],Agronomist)+COUNTIFS(Tbl_Responses[3 - How many cores per paddock],"&gt;""",Tbl_Responses[[Resp_Group]:[Resp_Group]],Agronomist)+COUNTIFS(Tbl_Responses[4 - How many cores per paddock],"&gt;""",Tbl_Responses[[Resp_Group]:[Resp_Group]],Agronomist)+COUNTIFS(Tbl_Responses[5 - How many cores per paddock],"&gt;""",Tbl_Responses[[Resp_Group]:[Resp_Group]],Agronomist)+COUNTIFS(Tbl_Responses[6 - How many cores per paddock],"&gt;""",Tbl_Responses[[Resp_Group]:[Resp_Group]],Agronomist)+COUNTIFS(Tbl_Responses[7 - How many cores per paddock],"&gt;""",Tbl_Responses[[Resp_Group]:[Resp_Group]],Agronomist))</f>
        <v>0.12549019607843137</v>
      </c>
      <c r="EC7" t="s">
        <v>113</v>
      </c>
      <c r="ED7" s="3">
        <f>COUNTIFS(Tbl_Responses[The difficulty in being able to represent the variability in a paddock],$EC7,Tbl_Responses[[Resp_Group]:[Resp_Group]],Agronomist)</f>
        <v>11</v>
      </c>
      <c r="EE7" s="4">
        <f>Tbl_19[[#This Row],[No. Responses]]/SUM(Tbl_19[No. Responses])</f>
        <v>0.11702127659574468</v>
      </c>
      <c r="EH7" t="s">
        <v>113</v>
      </c>
      <c r="EI7" s="3">
        <f>COUNTIFS(Tbl_Responses[The difficulty in being able to represent the variability in a paddockP],$EC7,Tbl_Responses[[Resp_Group]:[Resp_Group]],Agronomist)</f>
        <v>10</v>
      </c>
      <c r="EJ7" s="4">
        <f>Tbl_Q20[[#This Row],[No. Responses]]/SUM(Tbl_Q20[No. Responses])</f>
        <v>0.10869565217391304</v>
      </c>
      <c r="ET7" t="s">
        <v>1451</v>
      </c>
      <c r="EU7" s="3">
        <f>COUNTIFS(Tbl_Responses[Soil testing annual spend],$ET7,Tbl_Responses[[Resp_Group]:[Resp_Group]],Agronomist)</f>
        <v>0</v>
      </c>
      <c r="EV7" s="4">
        <f>Tbl_Q22[[#This Row],[No. Respondants]]/SUM(Tbl_Q22[No. Respondants])</f>
        <v>0</v>
      </c>
      <c r="EY7" t="s">
        <v>326</v>
      </c>
      <c r="EZ7" s="3">
        <f>COUNTIFS(Tbl_Responses[5 year change in testing],$EY7,Tbl_Responses[[Resp_Group]:[Resp_Group]],Agronomist)</f>
        <v>6</v>
      </c>
      <c r="FA7" s="4">
        <f>Tbl_Q23[[#This Row],[No. Respondants]]/SUM(Tbl_Q23[No. Respondants])</f>
        <v>9.8360655737704916E-2</v>
      </c>
      <c r="FD7" t="s">
        <v>433</v>
      </c>
      <c r="FE7" s="3">
        <f>COUNTIFS(Tbl_Responses[5 year future testing plan],$FD7,Tbl_Responses[[Resp_Group]:[Resp_Group]],Agronomist)</f>
        <v>5</v>
      </c>
      <c r="FF7" s="4">
        <f>Tbl_Q24[[#This Row],[No. Respondants]]/SUM(Tbl_Q24[No. Respondants])</f>
        <v>8.0645161290322578E-2</v>
      </c>
      <c r="FN7" s="87" t="s">
        <v>113</v>
      </c>
      <c r="FO7" s="3">
        <f>COUNTIFS(Tbl_Responses[The difficulty in being able to represent the variability in a paddock_Plant],$FN7,Tbl_Responses[[Resp_Group]:[Resp_Group]],Agronomist)</f>
        <v>9</v>
      </c>
      <c r="FP7" s="4">
        <f>Tbl_Q26[[#This Row],[No. Respondants]]/SUM(Tbl_Q26[No. Respondants])</f>
        <v>0.10975609756097561</v>
      </c>
      <c r="FZ7" t="s">
        <v>1451</v>
      </c>
      <c r="GA7" s="3">
        <f>COUNTIFS(Tbl_Responses[Average annual spend - Plant testing],$FZ7,Tbl_Responses[[Resp_Group]:[Resp_Group]],Agronomist)</f>
        <v>0</v>
      </c>
      <c r="GB7" s="4">
        <f>Tbl_Q28[[#This Row],[No. Respondants]]/SUM(Tbl_Q28[No. Respondants])</f>
        <v>0</v>
      </c>
      <c r="GE7" t="s">
        <v>326</v>
      </c>
      <c r="GF7" s="3">
        <f>COUNTIFS(Tbl_Responses[5 years ago_Plant],$GE7,Tbl_Responses[[Resp_Group]:[Resp_Group]],Agronomist)</f>
        <v>0</v>
      </c>
      <c r="GG7" s="4">
        <f>Tbl_Q2361[[#This Row],[No. Respondants]]/SUM(Tbl_Q2361[No. Respondants])</f>
        <v>0</v>
      </c>
      <c r="GJ7" t="s">
        <v>433</v>
      </c>
      <c r="GK7" s="3">
        <f>COUNTIFS(Tbl_Responses[5 years'' time_Plant],$GJ7,Tbl_Responses[[Resp_Group]:[Resp_Group]],Agronomist)</f>
        <v>5</v>
      </c>
      <c r="GL7" s="4">
        <f>Tbl_Q2462[[#This Row],[No. Respondants]]/SUM(Tbl_Q2462[No. Respondants])</f>
        <v>9.4339622641509441E-2</v>
      </c>
      <c r="GO7" t="s">
        <v>113</v>
      </c>
      <c r="GP7" s="3">
        <f>COUNTIFS(Tbl_Responses[The difficulty in being able to represent the variability in a paddock_PL],$GO7,Tbl_Responses[[Resp_Group]:[Resp_Group]],Agronomist)</f>
        <v>0</v>
      </c>
      <c r="GQ7" s="4" t="e">
        <f>Tbl_1965[[#This Row],[No. Responses]]/SUM(Tbl_1965[No. Responses])</f>
        <v>#DIV/0!</v>
      </c>
      <c r="GT7" t="s">
        <v>113</v>
      </c>
      <c r="GU7" s="3">
        <f>COUNTIFS(Tbl_Responses[The difficulty in being able to represent the variability in a paddock_PLP],$GT7,Tbl_Responses[[Resp_Group]:[Resp_Group]],Agronomist)</f>
        <v>0</v>
      </c>
      <c r="GV7" s="4" t="e">
        <f>Tbl_196566[[#This Row],[No. Responses]]/SUM(Tbl_196566[No. Responses])</f>
        <v>#DIV/0!</v>
      </c>
      <c r="HA7" s="87" t="s">
        <v>153</v>
      </c>
      <c r="HB7" s="3">
        <f>COUNTIFS(Tbl_Responses[Merchandise companies],$HA7,Tbl_Responses[[Resp_Group]:[Resp_Group]],Agronomist)</f>
        <v>5</v>
      </c>
      <c r="HC7" s="4">
        <f>Tbl_infoSources[[#This Row],[No. Responses]]/SUM(Tbl_infoSources[No. Responses])</f>
        <v>0.02</v>
      </c>
    </row>
    <row r="8" spans="1:266" x14ac:dyDescent="0.25">
      <c r="A8" t="s">
        <v>948</v>
      </c>
      <c r="B8" s="3">
        <f>COUNTIFS(Tbl_Responses[Q1: region],Results!$A8,Tbl_Responses[Resp_Group],Agronomist)</f>
        <v>3</v>
      </c>
      <c r="C8" s="4">
        <f>B8/SUM(Tbl_Q1[Respondants])</f>
        <v>4.2253521126760563E-2</v>
      </c>
      <c r="D8" s="7">
        <f>AVERAGEIFS(Tbl_Responses[Q2: Cropped Area],Tbl_Responses[Q1: region],Tbl_Q1[[#This Row],[Region]],Tbl_Responses[[Resp_Group]:[Resp_Group]],Agronomist)</f>
        <v>9400</v>
      </c>
      <c r="F8">
        <v>20001</v>
      </c>
      <c r="G8">
        <v>30000</v>
      </c>
      <c r="H8" t="str">
        <f t="shared" si="0"/>
        <v>20001-30000</v>
      </c>
      <c r="I8" s="3">
        <f>COUNTIFS(Tbl_Responses[Q2: Cropped Area],"&gt;"&amp;F8,Tbl_Responses[Q2: Cropped Area],"&lt;="&amp;G8,Tbl_Responses[Resp_Group],Agronomist)</f>
        <v>9</v>
      </c>
      <c r="J8" s="4">
        <f>I8/SUM(Tbl_Q2[Number])</f>
        <v>0.13432835820895522</v>
      </c>
      <c r="M8" t="s">
        <v>39</v>
      </c>
      <c r="N8" s="4">
        <f>AVERAGEIF(Tbl_Responses[Resp_Group],Agronomist,Tbl_Responses[Hay])/100</f>
        <v>5.5915492957746477E-2</v>
      </c>
      <c r="O8" s="6">
        <f>SUMPRODUCT(--(Group="Agronomist"),Tbl_Responses[Q2: Cropped Area],Tbl_Responses[Hay])/100</f>
        <v>77202</v>
      </c>
      <c r="P8" s="4">
        <f t="shared" si="1"/>
        <v>6.6464523327410222E-2</v>
      </c>
      <c r="S8" t="s">
        <v>279</v>
      </c>
      <c r="T8" s="4">
        <f>COUNTIFS(Tbl_Responses[[Variable Costs]:[Variable Costs]],T$3,Tbl_Responses[[Q1: region]:[Q1: region]],$S8,Tbl_Responses[[Resp_Group]:[Resp_Group]],Agronomist)/COUNTIFS(Tbl_Responses[[Q1: region]:[Q1: region]],$S8,Tbl_Responses[[Resp_Group]:[Resp_Group]],Agronomist)</f>
        <v>0</v>
      </c>
      <c r="U8" s="4">
        <f>COUNTIFS(Tbl_Responses[[Variable Costs]:[Variable Costs]],U$3,Tbl_Responses[[Q1: region]:[Q1: region]],$S8,Tbl_Responses[[Resp_Group]:[Resp_Group]],Agronomist)/COUNTIFS(Tbl_Responses[[Q1: region]:[Q1: region]],$S8,Tbl_Responses[[Resp_Group]:[Resp_Group]],Agronomist)</f>
        <v>0</v>
      </c>
      <c r="V8" s="4">
        <f>COUNTIFS(Tbl_Responses[[Variable Costs]:[Variable Costs]],V$3,Tbl_Responses[[Q1: region]:[Q1: region]],$S8,Tbl_Responses[[Resp_Group]:[Resp_Group]],Agronomist)/COUNTIFS(Tbl_Responses[[Q1: region]:[Q1: region]],$S8,Tbl_Responses[[Resp_Group]:[Resp_Group]],Agronomist)</f>
        <v>0</v>
      </c>
      <c r="W8" s="4">
        <f>COUNTIFS(Tbl_Responses[[Variable Costs]:[Variable Costs]],W$3,Tbl_Responses[[Q1: region]:[Q1: region]],$S8,Tbl_Responses[[Resp_Group]:[Resp_Group]],Agronomist)/COUNTIFS(Tbl_Responses[[Q1: region]:[Q1: region]],$S8,Tbl_Responses[[Resp_Group]:[Resp_Group]],Agronomist)</f>
        <v>0</v>
      </c>
      <c r="X8" s="4">
        <f>COUNTIFS(Tbl_Responses[[Variable Costs]:[Variable Costs]],X$3,Tbl_Responses[[Q1: region]:[Q1: region]],$S8,Tbl_Responses[[Resp_Group]:[Resp_Group]],Agronomist)/COUNTIFS(Tbl_Responses[[Q1: region]:[Q1: region]],$S8,Tbl_Responses[[Resp_Group]:[Resp_Group]],Agronomist)</f>
        <v>0.14285714285714285</v>
      </c>
      <c r="Y8" s="4">
        <f>COUNTIFS(Tbl_Responses[[Variable Costs]:[Variable Costs]],Y$3,Tbl_Responses[[Q1: region]:[Q1: region]],$S8,Tbl_Responses[[Resp_Group]:[Resp_Group]],Agronomist)/COUNTIFS(Tbl_Responses[[Q1: region]:[Q1: region]],$S8,Tbl_Responses[[Resp_Group]:[Resp_Group]],Agronomist)</f>
        <v>0.2857142857142857</v>
      </c>
      <c r="Z8" s="4">
        <f>COUNTIFS(Tbl_Responses[[Variable Costs]:[Variable Costs]],Z$3,Tbl_Responses[[Q1: region]:[Q1: region]],$S8,Tbl_Responses[[Resp_Group]:[Resp_Group]],Agronomist)/COUNTIFS(Tbl_Responses[[Q1: region]:[Q1: region]],$S8,Tbl_Responses[[Resp_Group]:[Resp_Group]],Agronomist)</f>
        <v>0.14285714285714285</v>
      </c>
      <c r="AA8" s="4">
        <f>COUNTIFS(Tbl_Responses[[Variable Costs]:[Variable Costs]],AA$3,Tbl_Responses[[Q1: region]:[Q1: region]],$S8,Tbl_Responses[[Resp_Group]:[Resp_Group]],Agronomist)/COUNTIFS(Tbl_Responses[[Q1: region]:[Q1: region]],$S8,Tbl_Responses[[Resp_Group]:[Resp_Group]],Agronomist)</f>
        <v>0.2857142857142857</v>
      </c>
      <c r="AB8" s="4">
        <f>COUNTIFS(Tbl_Responses[[Variable Costs]:[Variable Costs]],AB$3,Tbl_Responses[[Q1: region]:[Q1: region]],$S8,Tbl_Responses[[Resp_Group]:[Resp_Group]],Agronomist)/COUNTIFS(Tbl_Responses[[Q1: region]:[Q1: region]],$S8,Tbl_Responses[[Resp_Group]:[Resp_Group]],Agronomist)</f>
        <v>0.14285714285714285</v>
      </c>
      <c r="AG8" t="s">
        <v>279</v>
      </c>
      <c r="AH8" s="4">
        <f>COUNTIFS(Tbl_Responses[[Def_Nutrient_ID]:[Def_Nutrient_ID]],"*N*",Tbl_Responses[[Q1: region]:[Q1: region]],$AG8,Tbl_Responses[[Resp_Group]:[Resp_Group]],Agronomist)/COUNTIFS(Tbl_Responses[[Def_Nutrient_ID]:[Def_Nutrient_ID]],"&lt;&gt;"&amp;"",Tbl_Responses[[Q1: region]:[Q1: region]],$AG8,Tbl_Responses[[Resp_Group]:[Resp_Group]],Agronomist)</f>
        <v>0.7142857142857143</v>
      </c>
      <c r="AI8" s="4">
        <f>COUNTIFS(Tbl_Responses[[Def_Nutrient_ID]:[Def_Nutrient_ID]],"*P*",Tbl_Responses[[Q1: region]:[Q1: region]],$AG8,Tbl_Responses[[Resp_Group]:[Resp_Group]],Agronomist)/COUNTIFS(Tbl_Responses[[Def_Nutrient_ID]:[Def_Nutrient_ID]],"&lt;&gt;"&amp;"",Tbl_Responses[[Q1: region]:[Q1: region]],$AG8,Tbl_Responses[[Resp_Group]:[Resp_Group]],Agronomist)</f>
        <v>0.7142857142857143</v>
      </c>
      <c r="AJ8" s="4">
        <f>COUNTIFS(Tbl_Responses[[Def_Nutrient_ID]:[Def_Nutrient_ID]],"*K*",Tbl_Responses[[Q1: region]:[Q1: region]],$AG8,Tbl_Responses[[Resp_Group]:[Resp_Group]],Agronomist)/COUNTIFS(Tbl_Responses[[Def_Nutrient_ID]:[Def_Nutrient_ID]],"&lt;&gt;"&amp;"",Tbl_Responses[[Q1: region]:[Q1: region]],$AG8,Tbl_Responses[[Resp_Group]:[Resp_Group]],Agronomist)</f>
        <v>0.2857142857142857</v>
      </c>
      <c r="AK8" s="4">
        <f>COUNTIFS(Tbl_Responses[[Def_Nutrient_ID]:[Def_Nutrient_ID]],"*S*",Tbl_Responses[[Q1: region]:[Q1: region]],$AG8,Tbl_Responses[[Resp_Group]:[Resp_Group]],Agronomist)/COUNTIFS(Tbl_Responses[[Def_Nutrient_ID]:[Def_Nutrient_ID]],"&lt;&gt;"&amp;"",Tbl_Responses[[Q1: region]:[Q1: region]],$AG8,Tbl_Responses[[Resp_Group]:[Resp_Group]],Agronomist)</f>
        <v>0.2857142857142857</v>
      </c>
      <c r="AL8" s="4">
        <f>COUNTIFS(Tbl_Responses[[Def_Nutrient_ID]:[Def_Nutrient_ID]],"*Zn*",Tbl_Responses[[Q1: region]:[Q1: region]],$AG8,Tbl_Responses[[Resp_Group]:[Resp_Group]],Agronomist)/COUNTIFS(Tbl_Responses[[Def_Nutrient_ID]:[Def_Nutrient_ID]],"&lt;&gt;"&amp;"",Tbl_Responses[[Q1: region]:[Q1: region]],$AG8,Tbl_Responses[[Resp_Group]:[Resp_Group]],Agronomist)</f>
        <v>0.2857142857142857</v>
      </c>
      <c r="AM8" s="4">
        <f>COUNTIFS(Tbl_Responses[[Def_Nutrient_ID]:[Def_Nutrient_ID]],"*Mn*",Tbl_Responses[[Q1: region]:[Q1: region]],$AG8,Tbl_Responses[[Resp_Group]:[Resp_Group]],Agronomist)/COUNTIFS(Tbl_Responses[[Def_Nutrient_ID]:[Def_Nutrient_ID]],"&lt;&gt;"&amp;"",Tbl_Responses[[Q1: region]:[Q1: region]],$AG8,Tbl_Responses[[Resp_Group]:[Resp_Group]],Agronomist)</f>
        <v>0.2857142857142857</v>
      </c>
      <c r="AN8" s="4">
        <f>COUNTIFS(Tbl_Responses[[Def_Nutrient_ID]:[Def_Nutrient_ID]],"*Mg*",Tbl_Responses[[Q1: region]:[Q1: region]],$AG8,Tbl_Responses[[Resp_Group]:[Resp_Group]],Agronomist)/COUNTIFS(Tbl_Responses[[Def_Nutrient_ID]:[Def_Nutrient_ID]],"&lt;&gt;"&amp;"",Tbl_Responses[[Q1: region]:[Q1: region]],$AG8,Tbl_Responses[[Resp_Group]:[Resp_Group]],Agronomist)</f>
        <v>0.14285714285714285</v>
      </c>
      <c r="AO8" s="4">
        <f>COUNTIFS(Tbl_Responses[[Def_Nutrient_ID]:[Def_Nutrient_ID]],"*Cu*",Tbl_Responses[[Q1: region]:[Q1: region]],$AG8,Tbl_Responses[[Resp_Group]:[Resp_Group]],Agronomist)/COUNTIFS(Tbl_Responses[[Def_Nutrient_ID]:[Def_Nutrient_ID]],"&lt;&gt;"&amp;"",Tbl_Responses[[Q1: region]:[Q1: region]],$AG8,Tbl_Responses[[Resp_Group]:[Resp_Group]],Agronomist)</f>
        <v>0.14285714285714285</v>
      </c>
      <c r="AP8" s="4">
        <f>COUNTIFS(Tbl_Responses[[Def_Nutrient_ID]:[Def_Nutrient_ID]],"*B*",Tbl_Responses[[Q1: region]:[Q1: region]],$AG8,Tbl_Responses[[Resp_Group]:[Resp_Group]],Agronomist)/COUNTIFS(Tbl_Responses[[Def_Nutrient_ID]:[Def_Nutrient_ID]],"&lt;&gt;"&amp;"",Tbl_Responses[[Q1: region]:[Q1: region]],$AG8,Tbl_Responses[[Resp_Group]:[Resp_Group]],Agronomist)</f>
        <v>0</v>
      </c>
      <c r="AQ8" s="4">
        <f>COUNTIFS(Tbl_Responses[[Def_Nutrient_ID]:[Def_Nutrient_ID]],"*Ca*",Tbl_Responses[[Q1: region]:[Q1: region]],$AG8,Tbl_Responses[[Resp_Group]:[Resp_Group]],Agronomist)/COUNTIFS(Tbl_Responses[[Def_Nutrient_ID]:[Def_Nutrient_ID]],"&lt;&gt;"&amp;"",Tbl_Responses[[Q1: region]:[Q1: region]],$AG8,Tbl_Responses[[Resp_Group]:[Resp_Group]],Agronomist)</f>
        <v>0</v>
      </c>
      <c r="AR8" s="4">
        <f>COUNTIFS(Tbl_Responses[[Def_Nutrient_ID]:[Def_Nutrient_ID]],"*pH*",Tbl_Responses[[Q1: region]:[Q1: region]],$AG8,Tbl_Responses[[Resp_Group]:[Resp_Group]],Agronomist)/COUNTIFS(Tbl_Responses[[Def_Nutrient_ID]:[Def_Nutrient_ID]],"&lt;&gt;"&amp;"",Tbl_Responses[[Q1: region]:[Q1: region]],$AG8,Tbl_Responses[[Resp_Group]:[Resp_Group]],Agronomist)</f>
        <v>0</v>
      </c>
      <c r="AS8" s="4">
        <f>COUNTIFS(Tbl_Responses[[Def_Nutrient_ID]:[Def_Nutrient_ID]],"*T*",Tbl_Responses[[Q1: region]:[Q1: region]],$AG8,Tbl_Responses[[Resp_Group]:[Resp_Group]],Agronomist)/COUNTIFS(Tbl_Responses[[Def_Nutrient_ID]:[Def_Nutrient_ID]],"&lt;&gt;"&amp;"",Tbl_Responses[[Q1: region]:[Q1: region]],$AG8,Tbl_Responses[[Resp_Group]:[Resp_Group]],Agronomist)</f>
        <v>0</v>
      </c>
      <c r="AV8" t="s">
        <v>279</v>
      </c>
      <c r="AW8" s="4">
        <f>COUNTIFS(Tbl_Responses[[Q6: Do you do/recommend soil and/or plant testing?]:[Q6: Do you do/recommend soil and/or plant testing?]],"Yes",Tbl_Responses[[Q1: region]:[Q1: region]],$AV8,Tbl_Responses[[Resp_Group]:[Resp_Group]],Agronomist)/COUNTIFS(Tbl_Responses[[Q6: Do you do/recommend soil and/or plant testing?]:[Q6: Do you do/recommend soil and/or plant testing?]],"&lt;&gt;"&amp;"",Tbl_Responses[[Q1: region]:[Q1: region]],$AV8,Tbl_Responses[[Resp_Group]:[Resp_Group]],Agronomist)</f>
        <v>1</v>
      </c>
      <c r="AX8" s="4">
        <f>COUNTIFS(Tbl_Responses[[Q6: Do you do/recommend soil and/or plant testing?]:[Q6: Do you do/recommend soil and/or plant testing?]],"No",Tbl_Responses[[Q1: region]:[Q1: region]],$AV8,Tbl_Responses[[Resp_Group]:[Resp_Group]],Agronomist)/COUNTIFS(Tbl_Responses[[Q6: Do you do/recommend soil and/or plant testing?]:[Q6: Do you do/recommend soil and/or plant testing?]],"&lt;&gt;"&amp;"",Tbl_Responses[[Q1: region]:[Q1: region]],$AV8,Tbl_Responses[[Resp_Group]:[Resp_Group]],Agronomist)</f>
        <v>0</v>
      </c>
      <c r="AY8" s="3">
        <f>COUNTIFS(Tbl_Responses[[Q6: Do you do/recommend soil and/or plant testing?]:[Q6: Do you do/recommend soil and/or plant testing?]],"&gt;""",Tbl_Responses[[Q1: region]:[Q1: region]],$AV8,Tbl_Responses[[Resp_Group]:[Resp_Group]],Agronomist)</f>
        <v>7</v>
      </c>
      <c r="BA8" t="s">
        <v>167</v>
      </c>
      <c r="BB8" s="3">
        <f>COUNTIFS(Tbl_Responses[Q8: Of your clients, how many of them rely entirely on you to make the nutrient decisions?],$BA8,Tbl_Responses[[Resp_Group]:[Resp_Group]],Agronomist)</f>
        <v>21</v>
      </c>
      <c r="BC8" s="3">
        <f>COUNTIFS(Tbl_Responses[Response4],$BA8,Tbl_Responses[[Resp_Group]:[Resp_Group]],Agronomist)</f>
        <v>3</v>
      </c>
      <c r="BD8" s="3">
        <f>COUNTIFS(Tbl_Responses[Response5],$BA8,Tbl_Responses[[Resp_Group]:[Resp_Group]],Agronomist)</f>
        <v>1</v>
      </c>
      <c r="BE8" s="3">
        <f>COUNTIFS(Tbl_Responses[Response6],$BA8,Tbl_Responses[[Resp_Group]:[Resp_Group]],Agronomist)</f>
        <v>22</v>
      </c>
      <c r="BF8" s="3">
        <f>COUNTIFS(Tbl_Responses[Response7],$BA8,Tbl_Responses[[Resp_Group]:[Resp_Group]],Agronomist)</f>
        <v>30</v>
      </c>
      <c r="BH8" t="s">
        <v>412</v>
      </c>
      <c r="BI8" s="3">
        <f>COUNTIFS(Tbl_Responses[Source_1_ID],$BH8,Tbl_Responses[[Resp_Group]:[Resp_Group]],Agronomist)+COUNTIFS(Tbl_Responses[Source_2_ID],$BH8,Tbl_Responses[[Resp_Group]:[Resp_Group]],Agronomist)+COUNTIFS(Tbl_Responses[Source_3_ID],$BH8,Tbl_Responses[[Resp_Group]:[Resp_Group]],Agronomist)</f>
        <v>1</v>
      </c>
      <c r="BJ8" s="4">
        <f>Tbl_Q11[[#This Row],[Q11 Response]]/SUM(Tbl_Q11[Q11 Response])</f>
        <v>6.0975609756097563E-3</v>
      </c>
      <c r="BQ8" s="38" t="s">
        <v>245</v>
      </c>
      <c r="BR8" s="4">
        <f>COUNTIFS(Tbl_Responses[What % of your clients soil tested in 2018?],$BQ8,Tbl_Responses[[Resp_Group]:[Resp_Group]],Agronomist)/COUNTIFS(Tbl_Responses[What % of your clients soil tested in 2018?],"&gt;""",Tbl_Responses[[Resp_Group]:[Resp_Group]],Agronomist)</f>
        <v>0.3</v>
      </c>
      <c r="BS8" s="4">
        <f>COUNTIFS(Tbl_Responses[What % of your clients tested for N in 2018?],$BQ8,Tbl_Responses[[Resp_Group]:[Resp_Group]],Agronomist)/COUNTIFS(Tbl_Responses[What % of your clients tested for N in 2018?],"&gt;""",Tbl_Responses[[Resp_Group]:[Resp_Group]],Agronomist)</f>
        <v>0.26315789473684209</v>
      </c>
      <c r="BT8" s="4">
        <f>COUNTIFS(Tbl_Responses[What % of your clients tested for N to at least 60cm in 2018?],$BQ8,Tbl_Responses[[Resp_Group]:[Resp_Group]],Agronomist)/COUNTIFS(Tbl_Responses[What % of your clients tested for N to at least 60cm in 2018?],"&gt;""",Tbl_Responses[[Resp_Group]:[Resp_Group]],Agronomist)</f>
        <v>0.22</v>
      </c>
      <c r="BU8" s="4">
        <f>COUNTIFS(Tbl_Responses[What % of your clients tested for P in 2018?],$BQ8,Tbl_Responses[[Resp_Group]:[Resp_Group]],Agronomist)/COUNTIFS(Tbl_Responses[What % of your clients tested for P in 2018?],"&gt;""",Tbl_Responses[[Resp_Group]:[Resp_Group]],Agronomist)</f>
        <v>0.32203389830508472</v>
      </c>
      <c r="CB8" s="47" t="s">
        <v>592</v>
      </c>
      <c r="CC8" s="64">
        <f>(COUNTIFS(Tbl_Responses[Nitrogen 1 - Type of test],Tbl_14_sampling[[#Headers],[Organic Carbon]],Tbl_Responses[Nitrogen 1 - How many representative samples per paddock],$CB8,Tbl_Responses[[Resp_Group]:[Resp_Group]],Agronomist)+COUNTIFS(Tbl_Responses[Nitrogen 2 - Type of test],Tbl_14_sampling[[#Headers],[Organic Carbon]],Tbl_Responses[Nitrogen 2 - How many representative samples per paddock],$CB8,Tbl_Responses[[Resp_Group]:[Resp_Group]],Agronomist)+COUNTIFS(Tbl_Responses[Nitrogen 3 - Type of test],Tbl_14_sampling[[#Headers],[Organic Carbon]],Tbl_Responses[Nitrogen 3 - How many representative samples per paddock],$CB8,Tbl_Responses[[Resp_Group]:[Resp_Group]],Agronomist))/(COUNTIFS(Tbl_Responses[Nitrogen 1 - Type of test],Tbl_14_sampling[[#Headers],[Organic Carbon]],Tbl_Responses[Nitrogen 1 - How many representative samples per paddock],"&gt;""",Tbl_Responses[[Resp_Group]:[Resp_Group]],Agronomist)+COUNTIFS(Tbl_Responses[Nitrogen 2 - Type of test],Tbl_14_sampling[[#Headers],[Organic Carbon]],Tbl_Responses[Nitrogen 2 - How many representative samples per paddock],"&gt;""",Tbl_Responses[[Resp_Group]:[Resp_Group]],Agronomist)+COUNTIFS(Tbl_Responses[Nitrogen 3 - Type of test],Tbl_14_sampling[[#Headers],[Organic Carbon]],Tbl_Responses[Nitrogen 3 - How many representative samples per paddock],"&gt;""",Tbl_Responses[[Resp_Group]:[Resp_Group]],Agronomist))</f>
        <v>9.0909090909090912E-2</v>
      </c>
      <c r="CD8" s="64">
        <f>(COUNTIFS(Tbl_Responses[Nitrogen 1 - Type of test],Tbl_14_sampling[[#Headers],[Mineral N (Nitrate/Ammonium)]],Tbl_Responses[Nitrogen 1 - How many representative samples per paddock],$CB8,Tbl_Responses[[Resp_Group]:[Resp_Group]],Agronomist)+COUNTIFS(Tbl_Responses[Nitrogen 2 - Type of test],Tbl_14_sampling[[#Headers],[Mineral N (Nitrate/Ammonium)]],Tbl_Responses[Nitrogen 2 - How many representative samples per paddock],$CB8,Tbl_Responses[[Resp_Group]:[Resp_Group]],Agronomist)+COUNTIFS(Tbl_Responses[Nitrogen 3 - Type of test],Tbl_14_sampling[[#Headers],[Mineral N (Nitrate/Ammonium)]],Tbl_Responses[Nitrogen 3 - How many representative samples per paddock],$CB8,Tbl_Responses[[Resp_Group]:[Resp_Group]],Agronomist))/(COUNTIFS(Tbl_Responses[Nitrogen 1 - Type of test],Tbl_14_sampling[[#Headers],[Mineral N (Nitrate/Ammonium)]],Tbl_Responses[Nitrogen 1 - How many representative samples per paddock],"&gt;""",Tbl_Responses[[Resp_Group]:[Resp_Group]],Agronomist)+COUNTIFS(Tbl_Responses[Nitrogen 2 - Type of test],Tbl_14_sampling[[#Headers],[Mineral N (Nitrate/Ammonium)]],Tbl_Responses[Nitrogen 2 - How many representative samples per paddock],"&gt;""",Tbl_Responses[[Resp_Group]:[Resp_Group]],Agronomist)+COUNTIFS(Tbl_Responses[Nitrogen 3 - Type of test],Tbl_14_sampling[[#Headers],[Mineral N (Nitrate/Ammonium)]],Tbl_Responses[Nitrogen 3 - How many representative samples per paddock],"&gt;""",Tbl_Responses[[Resp_Group]:[Resp_Group]],Agronomist))</f>
        <v>2.7027027027027029E-2</v>
      </c>
      <c r="CE8" s="64">
        <f>(COUNTIFS(Tbl_Responses[Nitrogen 1 - Type of test],Tbl_14_sampling[[#Headers],[Total N]],Tbl_Responses[Nitrogen 1 - How many representative samples per paddock],$CB8,Tbl_Responses[[Resp_Group]:[Resp_Group]],Agronomist)+COUNTIFS(Tbl_Responses[Nitrogen 2 - Type of test],Tbl_14_sampling[[#Headers],[Total N]],Tbl_Responses[Nitrogen 2 - How many representative samples per paddock],$CB8,Tbl_Responses[[Resp_Group]:[Resp_Group]],Agronomist)+COUNTIFS(Tbl_Responses[Nitrogen 3 - Type of test],Tbl_14_sampling[[#Headers],[Total N]],Tbl_Responses[Nitrogen 3 - How many representative samples per paddock],$CB8,Tbl_Responses[[Resp_Group]:[Resp_Group]],Agronomist))/(COUNTIFS(Tbl_Responses[Nitrogen 1 - Type of test],Tbl_14_sampling[[#Headers],[Total N]],Tbl_Responses[Nitrogen 1 - How many representative samples per paddock],"&gt;""",Tbl_Responses[[Resp_Group]:[Resp_Group]],Agronomist)+COUNTIFS(Tbl_Responses[Nitrogen 2 - Type of test],Tbl_14_sampling[[#Headers],[Total N]],Tbl_Responses[Nitrogen 2 - How many representative samples per paddock],"&gt;""",Tbl_Responses[[Resp_Group]:[Resp_Group]],Agronomist)+COUNTIFS(Tbl_Responses[Nitrogen 3 - Type of test],Tbl_14_sampling[[#Headers],[Total N]],Tbl_Responses[Nitrogen 3 - How many representative samples per paddock],"&gt;""",Tbl_Responses[[Resp_Group]:[Resp_Group]],Agronomist))</f>
        <v>0.04</v>
      </c>
      <c r="CF8" s="64">
        <f>(COUNTIFS(Tbl_Responses[Nitrogen 1 - How many representative samples per paddock],$CB8,Tbl_Responses[[Resp_Group]:[Resp_Group]],Agronomist)+COUNTIFS(Tbl_Responses[Nitrogen 2 - How many representative samples per paddock],$CB8,Tbl_Responses[[Resp_Group]:[Resp_Group]],Agronomist)+COUNTIFS(Tbl_Responses[Nitrogen 3 - How many representative samples per paddock],$CB8,Tbl_Responses[[Resp_Group]:[Resp_Group]],Agronomist))/(COUNTIFS(Tbl_Responses[Nitrogen 1 - How many representative samples per paddock],"&gt;""",Tbl_Responses[[Resp_Group]:[Resp_Group]],Agronomist)+COUNTIFS(Tbl_Responses[Nitrogen 2 - How many representative samples per paddock],"&gt;""",Tbl_Responses[[Resp_Group]:[Resp_Group]],Agronomist)+COUNTIFS(Tbl_Responses[Nitrogen 3 - How many representative samples per paddock],"&gt;""",Tbl_Responses[[Resp_Group]:[Resp_Group]],Agronomist))</f>
        <v>5.2631578947368418E-2</v>
      </c>
      <c r="CG8" s="72"/>
      <c r="CH8" s="72"/>
      <c r="CI8" s="80" t="s">
        <v>679</v>
      </c>
      <c r="CJ8" s="72">
        <f>(COUNTIFS(Tbl_Responses[Phosphorus 1 - Type of test],CI8,Tbl_Responses[[Resp_Group]:[Resp_Group]],Agronomist)+COUNTIFS(Tbl_Responses[Phosphorus 2 - Type of test],CI8,Tbl_Responses[[Resp_Group]:[Resp_Group]],Agronomist)+COUNTIFS(Tbl_Responses[Phosphorus 3 - Type of test],CI8,Tbl_Responses[[Resp_Group]:[Resp_Group]],Agronomist)+COUNTIFS(Tbl_Responses[Phosphorus 4 - Type of test],CI8,Tbl_Responses[[Resp_Group]:[Resp_Group]],Agronomist)+COUNTIFS(Tbl_Responses[Phosphorus 5 - Type of test],CI8,Tbl_Responses[[Resp_Group]:[Resp_Group]],Agronomist))/(COUNTIFS(Tbl_Responses[Phosphorus 1 - Type of test],"&gt;""",Tbl_Responses[[Resp_Group]:[Resp_Group]],Agronomist)+COUNTIFS(Tbl_Responses[Phosphorus 2 - Type of test],"&gt;""",Tbl_Responses[[Resp_Group]:[Resp_Group]],Agronomist)+COUNTIFS(Tbl_Responses[Phosphorus 3 - Type of test],"&gt;""",Tbl_Responses[[Resp_Group]:[Resp_Group]],Agronomist)+COUNTIFS(Tbl_Responses[Phosphorus 4 - Type of test],"&gt;""",Tbl_Responses[[Resp_Group]:[Resp_Group]],Agronomist)+COUNTIFS(Tbl_Responses[Phosphorus 5 - Type of test],"&gt;""",Tbl_Responses[[Resp_Group]:[Resp_Group]],Agronomist))</f>
        <v>2.9197080291970802E-2</v>
      </c>
      <c r="CK8" s="72"/>
      <c r="CL8" s="72"/>
      <c r="CM8" s="55" t="s">
        <v>592</v>
      </c>
      <c r="CN8" s="68">
        <f>(COUNTIFS(Tbl_Responses[Phosphorus 1 - Type of test],Tbl_Q15_sampling[[#Headers],[Colwell P]],Tbl_Responses[Phosphorus 1 - How many representative samples per paddock],$CM8,Tbl_Responses[[Resp_Group]:[Resp_Group]],Agronomist)+COUNTIFS(Tbl_Responses[Phosphorus 2 - Type of test],Tbl_Q15_sampling[[#Headers],[Colwell P]],Tbl_Responses[Phosphorus 2 - How many representative samples per paddock],$CM8,Tbl_Responses[[Resp_Group]:[Resp_Group]],Agronomist)+COUNTIFS(Tbl_Responses[Phosphorus 3 - Type of test],Tbl_Q15_sampling[[#Headers],[Colwell P]],Tbl_Responses[Phosphorus 3 - How many representative samples per paddock],$CM8,Tbl_Responses[[Resp_Group]:[Resp_Group]],Agronomist)+COUNTIFS(Tbl_Responses[Phosphorus 4 - Type of test],Tbl_Q15_sampling[[#Headers],[Colwell P]],Tbl_Responses[Phosphorus 4 - How many representative samples per paddock],$CM8,Tbl_Responses[[Resp_Group]:[Resp_Group]],Agronomist)+COUNTIFS(Tbl_Responses[Phosphorus 5 - Type of test],Tbl_Q15_sampling[[#Headers],[Colwell P]],Tbl_Responses[Phosphorus 5 - How many representative samples per paddock],$CM8,Tbl_Responses[[Resp_Group]:[Resp_Group]],Agronomist))/(COUNTIFS(Tbl_Responses[Phosphorus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f>
        <v>0.10638297872340426</v>
      </c>
      <c r="CO8" s="64">
        <f>(COUNTIFS(Tbl_Responses[Phosphorus 1 - Type of test],Tbl_Q15_sampling[[#Headers],[Olsen-Bray P]],Tbl_Responses[Phosphorus 1 - How many representative samples per paddock],$CM8,Tbl_Responses[[Resp_Group]:[Resp_Group]],Agronomist)+COUNTIFS(Tbl_Responses[Phosphorus 2 - Type of test],Tbl_Q15_sampling[[#Headers],[Olsen-Bray P]],Tbl_Responses[Phosphorus 2 - How many representative samples per paddock],$CM8,Tbl_Responses[[Resp_Group]:[Resp_Group]],Agronomist)+COUNTIFS(Tbl_Responses[Phosphorus 3 - Type of test],Tbl_Q15_sampling[[#Headers],[Olsen-Bray P]],Tbl_Responses[Phosphorus 3 - How many representative samples per paddock],$CM8,Tbl_Responses[[Resp_Group]:[Resp_Group]],Agronomist)+COUNTIFS(Tbl_Responses[Phosphorus 4 - Type of test],Tbl_Q15_sampling[[#Headers],[Olsen-Bray P]],Tbl_Responses[Phosphorus 4 - How many representative samples per paddock],$CM8,Tbl_Responses[[Resp_Group]:[Resp_Group]],Agronomist)+COUNTIFS(Tbl_Responses[Phosphorus 5 - Type of test],Tbl_Q15_sampling[[#Headers],[Olsen-Bray P]],Tbl_Responses[Phosphorus 5 - How many representative samples per paddock],$CM8,Tbl_Responses[[Resp_Group]:[Resp_Group]],Agronomist))/(COUNTIFS(Tbl_Responses[Phosphorus 1 - Type of test],Tbl_Q15_sampling[[#Headers],[Olsen-Bray P]],Tbl_Responses[Phosphorus 1 - How many representative samples per paddock],"&gt;""",Tbl_Responses[[Resp_Group]:[Resp_Group]],Agronomist)+COUNTIFS(Tbl_Responses[Phosphorus 2 - Type of test],Tbl_Q15_sampling[[#Headers],[Olsen-Bray P]],Tbl_Responses[Phosphorus 2 - How many representative samples per paddock],"&gt;""",Tbl_Responses[[Resp_Group]:[Resp_Group]],Agronomist)+COUNTIFS(Tbl_Responses[Phosphorus 3 - Type of test],Tbl_Q15_sampling[[#Headers],[Olsen-Bray P]],Tbl_Responses[Phosphorus 3 - How many representative samples per paddock],"&gt;""",Tbl_Responses[[Resp_Group]:[Resp_Group]],Agronomist)+COUNTIFS(Tbl_Responses[Phosphorus 4 - Type of test],Tbl_Q15_sampling[[#Headers],[Olsen-Bray P]],Tbl_Responses[Phosphorus 4 - How many representative samples per paddock],"&gt;""",Tbl_Responses[[Resp_Group]:[Resp_Group]],Agronomist)+COUNTIFS(Tbl_Responses[Phosphorus 5 - Type of test],Tbl_Q15_sampling[[#Headers],[Olsen-Bray P]],Tbl_Responses[Phosphorus 5 - How many representative samples per paddock],"&gt;""",Tbl_Responses[[Resp_Group]:[Resp_Group]],Agronomist))</f>
        <v>9.0909090909090912E-2</v>
      </c>
      <c r="CP8" s="64">
        <f>(COUNTIFS(Tbl_Responses[Phosphorus 1 - Type of test],Tbl_Q15_sampling[[#Headers],[PBI (Phosphorus Buffering Index)]],Tbl_Responses[Phosphorus 1 - How many representative samples per paddock],$CM8,Tbl_Responses[[Resp_Group]:[Resp_Group]],Agronomist)+COUNTIFS(Tbl_Responses[Phosphorus 2 - Type of test],Tbl_Q15_sampling[[#Headers],[PBI (Phosphorus Buffering Index)]],Tbl_Responses[Phosphorus 2 - How many representative samples per paddock],$CM8,Tbl_Responses[[Resp_Group]:[Resp_Group]],Agronomist)+COUNTIFS(Tbl_Responses[Phosphorus 3 - Type of test],Tbl_Q15_sampling[[#Headers],[PBI (Phosphorus Buffering Index)]],Tbl_Responses[Phosphorus 3 - How many representative samples per paddock],$CM8,Tbl_Responses[[Resp_Group]:[Resp_Group]],Agronomist)+COUNTIFS(Tbl_Responses[Phosphorus 4 - Type of test],Tbl_Q15_sampling[[#Headers],[PBI (Phosphorus Buffering Index)]],Tbl_Responses[Phosphorus 4 - How many representative samples per paddock],$CM8,Tbl_Responses[[Resp_Group]:[Resp_Group]],Agronomist)+COUNTIFS(Tbl_Responses[Phosphorus 5 - Type of test],Tbl_Q15_sampling[[#Headers],[PBI (Phosphorus Buffering Index)]],Tbl_Responses[Phosphorus 5 - How many representative samples per paddock],$CM8,Tbl_Responses[[Resp_Group]:[Resp_Group]],Agronomist))/(COUNTIFS(Tbl_Responses[Phosphorus 1 - Type of test],Tbl_Q15_sampling[[#Headers],[PBI (Phosphorus Buffering Index)]],Tbl_Responses[Phosphorus 1 - How many representative samples per paddock],"&gt;""",Tbl_Responses[[Resp_Group]:[Resp_Group]],Agronomist)+COUNTIFS(Tbl_Responses[Phosphorus 2 - Type of test],Tbl_Q15_sampling[[#Headers],[PBI (Phosphorus Buffering Index)]],Tbl_Responses[Phosphorus 2 - How many representative samples per paddock],"&gt;""",Tbl_Responses[[Resp_Group]:[Resp_Group]],Agronomist)+COUNTIFS(Tbl_Responses[Phosphorus 3 - Type of test],Tbl_Q15_sampling[[#Headers],[PBI (Phosphorus Buffering Index)]],Tbl_Responses[Phosphorus 3 - How many representative samples per paddock],"&gt;""",Tbl_Responses[[Resp_Group]:[Resp_Group]],Agronomist)+COUNTIFS(Tbl_Responses[Phosphorus 4 - Type of test],Tbl_Q15_sampling[[#Headers],[PBI (Phosphorus Buffering Index)]],Tbl_Responses[Phosphorus 4 - How many representative samples per paddock],"&gt;""",Tbl_Responses[[Resp_Group]:[Resp_Group]],Agronomist)+COUNTIFS(Tbl_Responses[Phosphorus 5 - Type of test],Tbl_Q15_sampling[[#Headers],[PBI (Phosphorus Buffering Index)]],Tbl_Responses[Phosphorus 5 - How many representative samples per paddock],"&gt;""",Tbl_Responses[[Resp_Group]:[Resp_Group]],Agronomist))</f>
        <v>9.6774193548387094E-2</v>
      </c>
      <c r="CQ8" s="64">
        <f>(COUNTIFS(Tbl_Responses[Phosphorus 1 - Type of test],Tbl_Q15_sampling[[#Headers],[DGT]],Tbl_Responses[Phosphorus 1 - How many representative samples per paddock],$CM8,Tbl_Responses[[Resp_Group]:[Resp_Group]],Agronomist)+COUNTIFS(Tbl_Responses[Phosphorus 2 - Type of test],Tbl_Q15_sampling[[#Headers],[DGT]],Tbl_Responses[Phosphorus 2 - How many representative samples per paddock],$CM8,Tbl_Responses[[Resp_Group]:[Resp_Group]],Agronomist)+COUNTIFS(Tbl_Responses[Phosphorus 3 - Type of test],Tbl_Q15_sampling[[#Headers],[DGT]],Tbl_Responses[Phosphorus 3 - How many representative samples per paddock],$CM8,Tbl_Responses[[Resp_Group]:[Resp_Group]],Agronomist)+COUNTIFS(Tbl_Responses[Phosphorus 4 - Type of test],Tbl_Q15_sampling[[#Headers],[DGT]],Tbl_Responses[Phosphorus 4 - How many representative samples per paddock],$CM8,Tbl_Responses[[Resp_Group]:[Resp_Group]],Agronomist)+COUNTIFS(Tbl_Responses[Phosphorus 5 - Type of test],Tbl_Q15_sampling[[#Headers],[DGT]],Tbl_Responses[Phosphorus 5 - How many representative samples per paddock],$CM8,Tbl_Responses[[Resp_Group]:[Resp_Group]],Agronomist))/(COUNTIFS(Tbl_Responses[Phosphorus 1 - Type of test],Tbl_Q15_sampling[[#Headers],[DGT]],Tbl_Responses[Phosphorus 1 - How many representative samples per paddock],"&gt;""",Tbl_Responses[[Resp_Group]:[Resp_Group]],Agronomist)+COUNTIFS(Tbl_Responses[Phosphorus 2 - Type of test],Tbl_Q15_sampling[[#Headers],[DGT]],Tbl_Responses[Phosphorus 2 - How many representative samples per paddock],"&gt;""",Tbl_Responses[[Resp_Group]:[Resp_Group]],Agronomist)+COUNTIFS(Tbl_Responses[Phosphorus 3 - Type of test],Tbl_Q15_sampling[[#Headers],[DGT]],Tbl_Responses[Phosphorus 3 - How many representative samples per paddock],"&gt;""",Tbl_Responses[[Resp_Group]:[Resp_Group]],Agronomist)+COUNTIFS(Tbl_Responses[Phosphorus 4 - Type of test],Tbl_Q15_sampling[[#Headers],[DGT]],Tbl_Responses[Phosphorus 4 - How many representative samples per paddock],"&gt;""",Tbl_Responses[[Resp_Group]:[Resp_Group]],Agronomist)+COUNTIFS(Tbl_Responses[Phosphorus 5 - Type of test],Tbl_Q15_sampling[[#Headers],[DGT]],Tbl_Responses[Phosphorus 5 - How many representative samples per paddock],"&gt;""",Tbl_Responses[[Resp_Group]:[Resp_Group]],Agronomist))</f>
        <v>8.3333333333333329E-2</v>
      </c>
      <c r="CR8" s="64">
        <f>(COUNTIFS(Tbl_Responses[Phosphorus 1 - Type of test],Tbl_Q15_sampling[[#Headers],[Total P]],Tbl_Responses[Phosphorus 1 - How many representative samples per paddock],$CM8,Tbl_Responses[[Resp_Group]:[Resp_Group]],Agronomist)+COUNTIFS(Tbl_Responses[Phosphorus 2 - Type of test],Tbl_Q15_sampling[[#Headers],[Total P]],Tbl_Responses[Phosphorus 2 - How many representative samples per paddock],$CM8,Tbl_Responses[[Resp_Group]:[Resp_Group]],Agronomist)+COUNTIFS(Tbl_Responses[Phosphorus 3 - Type of test],Tbl_Q15_sampling[[#Headers],[Total P]],Tbl_Responses[Phosphorus 3 - How many representative samples per paddock],$CM8,Tbl_Responses[[Resp_Group]:[Resp_Group]],Agronomist)+COUNTIFS(Tbl_Responses[Phosphorus 4 - Type of test],Tbl_Q15_sampling[[#Headers],[Total P]],Tbl_Responses[Phosphorus 4 - How many representative samples per paddock],$CM8,Tbl_Responses[[Resp_Group]:[Resp_Group]],Agronomist)+COUNTIFS(Tbl_Responses[Phosphorus 5 - Type of test],Tbl_Q15_sampling[[#Headers],[Total P]],Tbl_Responses[Phosphorus 5 - How many representative samples per paddock],$CM8,Tbl_Responses[[Resp_Group]:[Resp_Group]],Agronomist))/(COUNTIFS(Tbl_Responses[Phosphorus 1 - Type of test],Tbl_Q15_sampling[[#Headers],[Total P]],Tbl_Responses[Phosphorus 1 - How many representative samples per paddock],"&gt;""",Tbl_Responses[[Resp_Group]:[Resp_Group]],Agronomist)+COUNTIFS(Tbl_Responses[Phosphorus 2 - Type of test],Tbl_Q15_sampling[[#Headers],[Total P]],Tbl_Responses[Phosphorus 2 - How many representative samples per paddock],"&gt;""",Tbl_Responses[[Resp_Group]:[Resp_Group]],Agronomist)+COUNTIFS(Tbl_Responses[Phosphorus 3 - Type of test],Tbl_Q15_sampling[[#Headers],[Total P]],Tbl_Responses[Phosphorus 3 - How many representative samples per paddock],"&gt;""",Tbl_Responses[[Resp_Group]:[Resp_Group]],Agronomist)+COUNTIFS(Tbl_Responses[Phosphorus 4 - Type of test],Tbl_Q15_sampling[[#Headers],[Total P]],Tbl_Responses[Phosphorus 4 - How many representative samples per paddock],"&gt;""",Tbl_Responses[[Resp_Group]:[Resp_Group]],Agronomist)+COUNTIFS(Tbl_Responses[Phosphorus 5 - Type of test],Tbl_Q15_sampling[[#Headers],[Total P]],Tbl_Responses[Phosphorus 5 - How many representative samples per paddock],"&gt;""",Tbl_Responses[[Resp_Group]:[Resp_Group]],Agronomist))</f>
        <v>0</v>
      </c>
      <c r="CS8" s="82">
        <f>(COUNTIFS(Tbl_Responses[Phosphorus 1 - How many representative samples per paddock],$CM8,Tbl_Responses[[Resp_Group]:[Resp_Group]],Agronomist)+COUNTIFS(Tbl_Responses[Phosphorus 2 - How many representative samples per paddock],$CM8,Tbl_Responses[[Resp_Group]:[Resp_Group]],Agronomist)+COUNTIFS(Tbl_Responses[Phosphorus 3 - How many representative samples per paddock],$CM8,Tbl_Responses[[Resp_Group]:[Resp_Group]],Agronomist)+COUNTIFS(Tbl_Responses[Phosphorus 4 - How many representative samples per paddock],$CM8,Tbl_Responses[[Resp_Group]:[Resp_Group]],Agronomist)+COUNTIFS(Tbl_Responses[Phosphorus 5 - How many representative samples per paddock],$CM8,Tbl_Responses[[Resp_Group]:[Resp_Group]],Agronomist))/(COUNTIFS(Tbl_Responses[Phosphorus 1 - How many representative samples per paddock],"&gt;""",Tbl_Responses[[Resp_Group]:[Resp_Group]],Agronomist)+COUNTIFS(Tbl_Responses[Phosphorus 2 - How many representative samples per paddock],"&gt;""",Tbl_Responses[[Resp_Group]:[Resp_Group]],Agronomist)+COUNTIFS(Tbl_Responses[Phosphorus 3 - How many representative samples per paddock],"&gt;""",Tbl_Responses[[Resp_Group]:[Resp_Group]],Agronomist)+COUNTIFS(Tbl_Responses[Phosphorus 4 - How many representative samples per paddock],"&gt;""",Tbl_Responses[[Resp_Group]:[Resp_Group]],Agronomist)+COUNTIFS(Tbl_Responses[Phosphorus 5 - How many representative samples per paddock],"&gt;""",Tbl_Responses[[Resp_Group]:[Resp_Group]],Agronomist))</f>
        <v>9.4017094017094016E-2</v>
      </c>
      <c r="CT8" s="72"/>
      <c r="CU8" s="72"/>
      <c r="CV8" s="72"/>
      <c r="CW8" s="72"/>
      <c r="CX8" s="72"/>
      <c r="CY8" s="72"/>
      <c r="CZ8" s="55" t="s">
        <v>592</v>
      </c>
      <c r="DA8" s="68">
        <f>(COUNTIFS(Tbl_Responses[Potassium 1 - Type of test],Tbl_Q16_sampling[[#Headers],[Colwell K]],Tbl_Responses[Potassium 1 - How many representative samples per paddock],$CZ8,Tbl_Responses[[Resp_Group]:[Resp_Group]],Agronomist)+COUNTIFS(Tbl_Responses[Potassium 2 - Type of test],Tbl_Q16_sampling[[#Headers],[Colwell K]],Tbl_Responses[Potassium 2 - How many representative samples per paddock],$CZ8,Tbl_Responses[[Resp_Group]:[Resp_Group]],Agronomist)+COUNTIFS(Tbl_Responses[Potassium 3 - Type of test],Tbl_Q16_sampling[[#Headers],[Colwell K]],Tbl_Responses[Potassium 3 - How many representative samples per paddock],$CZ8,Tbl_Responses[[Resp_Group]:[Resp_Group]],Agronomist))/(COUNTIFS(Tbl_Responses[Potassium 1 - Type of test],Tbl_Q16_sampling[[#Headers],[Colwell K]],Tbl_Responses[Potassium 1 - How many representative samples per paddock],"&gt;""",Tbl_Responses[[Resp_Group]:[Resp_Group]],Agronomist)+COUNTIFS(Tbl_Responses[Potassium 2 - Type of test],Tbl_Q16_sampling[[#Headers],[Colwell K]],Tbl_Responses[Potassium 2 - How many representative samples per paddock],"&gt;""",Tbl_Responses[[Resp_Group]:[Resp_Group]],Agronomist)+COUNTIFS(Tbl_Responses[Potassium 3 - Type of test],Tbl_Q16_sampling[[#Headers],[Colwell K]],Tbl_Responses[Potassium 3 - How many representative samples per paddock],"&gt;""",Tbl_Responses[[Resp_Group]:[Resp_Group]],Agronomist))</f>
        <v>0.12903225806451613</v>
      </c>
      <c r="DB8" s="64">
        <f>(COUNTIFS(Tbl_Responses[Potassium 1 - Type of test],Tbl_Q16_sampling[[#Headers],[Exchangable Cations (Ca, Mg, K, Na)]],Tbl_Responses[Potassium 1 - How many representative samples per paddock],$CZ8,Tbl_Responses[[Resp_Group]:[Resp_Group]],Agronomist)+COUNTIFS(Tbl_Responses[Potassium 2 - Type of test],Tbl_Q16_sampling[[#Headers],[Exchangable Cations (Ca, Mg, K, Na)]],Tbl_Responses[Potassium 2 - How many representative samples per paddock],$CZ8,Tbl_Responses[[Resp_Group]:[Resp_Group]],Agronomist)+COUNTIFS(Tbl_Responses[Potassium 3 - Type of test],Tbl_Q16_sampling[[#Headers],[Exchangable Cations (Ca, Mg, K, Na)]],Tbl_Responses[Potassium 3 - How many representative samples per paddock],$CZ8,Tbl_Responses[[Resp_Group]:[Resp_Group]],Agronomist))/(COUNTIFS(Tbl_Responses[Potassium 1 - Type of test],Tbl_Q16_sampling[[#Headers],[Exchangable Cations (Ca, Mg, K, Na)]],Tbl_Responses[Potassium 1 - How many representative samples per paddock],"&gt;""",Tbl_Responses[[Resp_Group]:[Resp_Group]],Agronomist)+COUNTIFS(Tbl_Responses[Potassium 2 - Type of test],Tbl_Q16_sampling[[#Headers],[Exchangable Cations (Ca, Mg, K, Na)]],Tbl_Responses[Potassium 2 - How many representative samples per paddock],"&gt;""",Tbl_Responses[[Resp_Group]:[Resp_Group]],Agronomist)+COUNTIFS(Tbl_Responses[Potassium 3 - Type of test],Tbl_Q16_sampling[[#Headers],[Exchangable Cations (Ca, Mg, K, Na)]],Tbl_Responses[Potassium 3 - How many representative samples per paddock],"&gt;""",Tbl_Responses[[Resp_Group]:[Resp_Group]],Agronomist))</f>
        <v>9.0909090909090912E-2</v>
      </c>
      <c r="DC8" s="69">
        <f>(COUNTIFS(Tbl_Responses[Potassium 1 - How many representative samples per paddock],$CZ8,Tbl_Responses[[Resp_Group]:[Resp_Group]],Agronomist)+COUNTIFS(Tbl_Responses[Potassium 2 - How many representative samples per paddock],$CZ8,Tbl_Responses[[Resp_Group]:[Resp_Group]],Agronomist)+COUNTIFS(Tbl_Responses[Potassium 3 - How many representative samples per paddock],$CZ8,Tbl_Responses[[Resp_Group]:[Resp_Group]],Agronomist))/(COUNTIFS(Tbl_Responses[Potassium 1 - How many representative samples per paddock],"&gt;""",Tbl_Responses[[Resp_Group]:[Resp_Group]],Agronomist)+COUNTIFS(Tbl_Responses[Potassium 2 - How many representative samples per paddock],"&gt;""",Tbl_Responses[[Resp_Group]:[Resp_Group]],Agronomist)+COUNTIFS(Tbl_Responses[Potassium 3 - How many representative samples per paddock],"&gt;""",Tbl_Responses[[Resp_Group]:[Resp_Group]],Agronomist))</f>
        <v>0.11320754716981132</v>
      </c>
      <c r="DD8" s="72"/>
      <c r="DE8" s="72"/>
      <c r="DF8" s="80" t="s">
        <v>187</v>
      </c>
      <c r="DG8" s="72">
        <f>(COUNTIFS(Tbl_Responses[1 - Type of test],DF8,Tbl_Responses[[Resp_Group]:[Resp_Group]],Agronomist)+COUNTIFS(Tbl_Responses[2 - Type of test],DF8,Tbl_Responses[[Resp_Group]:[Resp_Group]],Agronomist)+COUNTIFS(Tbl_Responses[3 - Type of test],DF8,Tbl_Responses[[Resp_Group]:[Resp_Group]],Agronomist)+COUNTIFS(Tbl_Responses[4 - Type of test],DF8,Tbl_Responses[[Resp_Group]:[Resp_Group]],Agronomist)+COUNTIFS(Tbl_Responses[5 - Type of test],DF8,Tbl_Responses[[Resp_Group]:[Resp_Group]],Agronomist))/(COUNTIFS(Tbl_Responses[1 -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f>
        <v>0.14410480349344978</v>
      </c>
      <c r="DH8" s="72"/>
      <c r="DI8" s="72"/>
      <c r="DJ8" s="55" t="s">
        <v>592</v>
      </c>
      <c r="DK8" s="68">
        <f>(COUNTIFS(Tbl_Responses[1 - Type of test],Tbl_Q17_sampling[[#Headers],[pH]],Tbl_Responses[1 - How many cores per paddock],$DJ8,Tbl_Responses[[Resp_Group]:[Resp_Group]],Agronomist)+COUNTIFS(Tbl_Responses[2 - Type of test],Tbl_Q17_sampling[[#Headers],[pH]],Tbl_Responses[2 - How many cores per paddock],$DJ8,Tbl_Responses[[Resp_Group]:[Resp_Group]],Agronomist)+COUNTIFS(Tbl_Responses[3 - Type of test],Tbl_Q17_sampling[[#Headers],[pH]],Tbl_Responses[3 - How many cores per paddock],$DJ8,Tbl_Responses[[Resp_Group]:[Resp_Group]],Agronomist)+COUNTIFS(Tbl_Responses[4 - Type of test],Tbl_Q17_sampling[[#Headers],[pH]],Tbl_Responses[4 - How many cores per paddock],$DJ8,Tbl_Responses[[Resp_Group]:[Resp_Group]],Agronomist)+COUNTIFS(Tbl_Responses[5 - Type of test],Tbl_Q17_sampling[[#Headers],[pH]],Tbl_Responses[5 - How many cores per paddock],$DJ8,Tbl_Responses[[Resp_Group]:[Resp_Group]],Agronomist)+COUNTIFS(Tbl_Responses[6 - Type of test],Tbl_Q17_sampling[[#Headers],[pH]],Tbl_Responses[6 - How many cores per paddock],$DJ8,Tbl_Responses[[Resp_Group]:[Resp_Group]],Agronomist)+COUNTIFS(Tbl_Responses[7 - Type of test],Tbl_Q17_sampling[[#Headers],[pH]],Tbl_Responses[7 - How many cores per paddock],$DJ8,Tbl_Responses[[Resp_Group]:[Resp_Group]],Agronomist)+COUNTIFS(Tbl_Responses[8 - Type of test],Tbl_Q17_sampling[[#Headers],[pH]],Tbl_Responses[8 - How many cores per paddock],$DJ8,Tbl_Responses[[Resp_Group]:[Resp_Group]],Agronomist))/(COUNTIFS(Tbl_Responses[1 -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f>
        <v>0.10810810810810811</v>
      </c>
      <c r="DL8" s="64">
        <f>(COUNTIFS(Tbl_Responses[1 - Type of test],Tbl_Q17_sampling[[#Headers],[Trace elements (DTPA) Cu, Zn, Mg, Fe]],Tbl_Responses[1 - How many cores per paddock],$DJ8,Tbl_Responses[[Resp_Group]:[Resp_Group]],Agronomist)+COUNTIFS(Tbl_Responses[2 - Type of test],Tbl_Q17_sampling[[#Headers],[Trace elements (DTPA) Cu, Zn, Mg, Fe]],Tbl_Responses[2 - How many cores per paddock],$DJ8,Tbl_Responses[[Resp_Group]:[Resp_Group]],Agronomist)+COUNTIFS(Tbl_Responses[3 - Type of test],Tbl_Q17_sampling[[#Headers],[Trace elements (DTPA) Cu, Zn, Mg, Fe]],Tbl_Responses[3 - How many cores per paddock],$DJ8,Tbl_Responses[[Resp_Group]:[Resp_Group]],Agronomist)+COUNTIFS(Tbl_Responses[4 - Type of test],Tbl_Q17_sampling[[#Headers],[Trace elements (DTPA) Cu, Zn, Mg, Fe]],Tbl_Responses[4 - How many cores per paddock],$DJ8,Tbl_Responses[[Resp_Group]:[Resp_Group]],Agronomist)+COUNTIFS(Tbl_Responses[5 - Type of test],Tbl_Q17_sampling[[#Headers],[Trace elements (DTPA) Cu, Zn, Mg, Fe]],Tbl_Responses[5 - How many cores per paddock],$DJ8,Tbl_Responses[[Resp_Group]:[Resp_Group]],Agronomist)+COUNTIFS(Tbl_Responses[6 - Type of test],Tbl_Q17_sampling[[#Headers],[Trace elements (DTPA) Cu, Zn, Mg, Fe]],Tbl_Responses[6 - How many cores per paddock],$DJ8,Tbl_Responses[[Resp_Group]:[Resp_Group]],Agronomist)+COUNTIFS(Tbl_Responses[7 - Type of test],Tbl_Q17_sampling[[#Headers],[Trace elements (DTPA) Cu, Zn, Mg, Fe]],Tbl_Responses[7 - How many cores per paddock],$DJ8,Tbl_Responses[[Resp_Group]:[Resp_Group]],Agronomist)+COUNTIFS(Tbl_Responses[8 - Type of test],Tbl_Q17_sampling[[#Headers],[Trace elements (DTPA) Cu, Zn, Mg, Fe]],Tbl_Responses[8 - How many cores per paddock],$DJ8,Tbl_Responses[[Resp_Group]:[Resp_Group]],Agronomist))/(COUNTIFS(Tbl_Responses[1 - Type of test],Tbl_Q17_sampling[[#Headers],[Trace elements (DTPA) Cu, Zn, Mg, Fe]],Tbl_Responses[1 - How many cores per paddock],"&gt;""",Tbl_Responses[[Resp_Group]:[Resp_Group]],Agronomist)+COUNTIFS(Tbl_Responses[2 - Type of test],Tbl_Q17_sampling[[#Headers],[Trace elements (DTPA) Cu, Zn, Mg, Fe]],Tbl_Responses[2 - How many cores per paddock],"&gt;""",Tbl_Responses[[Resp_Group]:[Resp_Group]],Agronomist)+COUNTIFS(Tbl_Responses[3 - Type of test],Tbl_Q17_sampling[[#Headers],[Trace elements (DTPA) Cu, Zn, Mg, Fe]],Tbl_Responses[3 - How many cores per paddock],"&gt;""",Tbl_Responses[[Resp_Group]:[Resp_Group]],Agronomist)+COUNTIFS(Tbl_Responses[4 - Type of test],Tbl_Q17_sampling[[#Headers],[Trace elements (DTPA) Cu, Zn, Mg, Fe]],Tbl_Responses[4 - How many cores per paddock],"&gt;""",Tbl_Responses[[Resp_Group]:[Resp_Group]],Agronomist)+COUNTIFS(Tbl_Responses[5 - Type of test],Tbl_Q17_sampling[[#Headers],[Trace elements (DTPA) Cu, Zn, Mg, Fe]],Tbl_Responses[5 - How many cores per paddock],"&gt;""",Tbl_Responses[[Resp_Group]:[Resp_Group]],Agronomist)+COUNTIFS(Tbl_Responses[6 - Type of test],Tbl_Q17_sampling[[#Headers],[Trace elements (DTPA) Cu, Zn, Mg, Fe]],Tbl_Responses[6 - How many cores per paddock],"&gt;""",Tbl_Responses[[Resp_Group]:[Resp_Group]],Agronomist)+COUNTIFS(Tbl_Responses[7 - Type of test],Tbl_Q17_sampling[[#Headers],[Trace elements (DTPA) Cu, Zn, Mg, Fe]],Tbl_Responses[7 - How many cores per paddock],"&gt;""",Tbl_Responses[[Resp_Group]:[Resp_Group]],Agronomist)+COUNTIFS(Tbl_Responses[8 - Type of test],Tbl_Q17_sampling[[#Headers],[Trace elements (DTPA) Cu, Zn, Mg, Fe]],Tbl_Responses[8 - How many cores per paddock],"&gt;""",Tbl_Responses[[Resp_Group]:[Resp_Group]],Agronomist))</f>
        <v>8.3333333333333329E-2</v>
      </c>
      <c r="DM8" s="64">
        <f>(COUNTIFS(Tbl_Responses[1 - Type of test],Tbl_Q17_sampling[[#Headers],[Trace elements (EDTA) Cu, Zn, Mg, Fe]],Tbl_Responses[1 - How many cores per paddock],$DJ8,Tbl_Responses[[Resp_Group]:[Resp_Group]],Agronomist)+COUNTIFS(Tbl_Responses[2 - Type of test],Tbl_Q17_sampling[[#Headers],[Trace elements (EDTA) Cu, Zn, Mg, Fe]],Tbl_Responses[2 - How many cores per paddock],$DJ8,Tbl_Responses[[Resp_Group]:[Resp_Group]],Agronomist)+COUNTIFS(Tbl_Responses[3 - Type of test],Tbl_Q17_sampling[[#Headers],[Trace elements (EDTA) Cu, Zn, Mg, Fe]],Tbl_Responses[3 - How many cores per paddock],$DJ8,Tbl_Responses[[Resp_Group]:[Resp_Group]],Agronomist)+COUNTIFS(Tbl_Responses[4 - Type of test],Tbl_Q17_sampling[[#Headers],[Trace elements (EDTA) Cu, Zn, Mg, Fe]],Tbl_Responses[4 - How many cores per paddock],$DJ8,Tbl_Responses[[Resp_Group]:[Resp_Group]],Agronomist)+COUNTIFS(Tbl_Responses[5 - Type of test],Tbl_Q17_sampling[[#Headers],[Trace elements (EDTA) Cu, Zn, Mg, Fe]],Tbl_Responses[5 - How many cores per paddock],$DJ8,Tbl_Responses[[Resp_Group]:[Resp_Group]],Agronomist)+COUNTIFS(Tbl_Responses[6 - Type of test],Tbl_Q17_sampling[[#Headers],[Trace elements (EDTA) Cu, Zn, Mg, Fe]],Tbl_Responses[6 - How many cores per paddock],$DJ8,Tbl_Responses[[Resp_Group]:[Resp_Group]],Agronomist)+COUNTIFS(Tbl_Responses[7 - Type of test],Tbl_Q17_sampling[[#Headers],[Trace elements (EDTA) Cu, Zn, Mg, Fe]],Tbl_Responses[7 - How many cores per paddock],$DJ8,Tbl_Responses[[Resp_Group]:[Resp_Group]],Agronomist)+COUNTIFS(Tbl_Responses[8 - Type of test],Tbl_Q17_sampling[[#Headers],[Trace elements (EDTA) Cu, Zn, Mg, Fe]],Tbl_Responses[8 - How many cores per paddock],$DJ8,Tbl_Responses[[Resp_Group]:[Resp_Group]],Agronomist))/(COUNTIFS(Tbl_Responses[1 - Type of test],Tbl_Q17_sampling[[#Headers],[Trace elements (EDTA) Cu, Zn, Mg, Fe]],Tbl_Responses[1 - How many cores per paddock],"&gt;""",Tbl_Responses[[Resp_Group]:[Resp_Group]],Agronomist)+COUNTIFS(Tbl_Responses[2 - Type of test],Tbl_Q17_sampling[[#Headers],[Trace elements (EDTA) Cu, Zn, Mg, Fe]],Tbl_Responses[2 - How many cores per paddock],"&gt;""",Tbl_Responses[[Resp_Group]:[Resp_Group]],Agronomist)+COUNTIFS(Tbl_Responses[3 - Type of test],Tbl_Q17_sampling[[#Headers],[Trace elements (EDTA) Cu, Zn, Mg, Fe]],Tbl_Responses[3 - How many cores per paddock],"&gt;""",Tbl_Responses[[Resp_Group]:[Resp_Group]],Agronomist)+COUNTIFS(Tbl_Responses[4 - Type of test],Tbl_Q17_sampling[[#Headers],[Trace elements (EDTA) Cu, Zn, Mg, Fe]],Tbl_Responses[4 - How many cores per paddock],"&gt;""",Tbl_Responses[[Resp_Group]:[Resp_Group]],Agronomist)+COUNTIFS(Tbl_Responses[5 - Type of test],Tbl_Q17_sampling[[#Headers],[Trace elements (EDTA) Cu, Zn, Mg, Fe]],Tbl_Responses[5 - How many cores per paddock],"&gt;""",Tbl_Responses[[Resp_Group]:[Resp_Group]],Agronomist)+COUNTIFS(Tbl_Responses[6 - Type of test],Tbl_Q17_sampling[[#Headers],[Trace elements (EDTA) Cu, Zn, Mg, Fe]],Tbl_Responses[6 - How many cores per paddock],"&gt;""",Tbl_Responses[[Resp_Group]:[Resp_Group]],Agronomist)+COUNTIFS(Tbl_Responses[7 - Type of test],Tbl_Q17_sampling[[#Headers],[Trace elements (EDTA) Cu, Zn, Mg, Fe]],Tbl_Responses[7 - How many cores per paddock],"&gt;""",Tbl_Responses[[Resp_Group]:[Resp_Group]],Agronomist)+COUNTIFS(Tbl_Responses[8 - Type of test],Tbl_Q17_sampling[[#Headers],[Trace elements (EDTA) Cu, Zn, Mg, Fe]],Tbl_Responses[8 - How many cores per paddock],"&gt;""",Tbl_Responses[[Resp_Group]:[Resp_Group]],Agronomist))</f>
        <v>0</v>
      </c>
      <c r="DN8" s="64">
        <f>(COUNTIFS(Tbl_Responses[1 - Type of test],Tbl_Q17_sampling[[#Headers],[Exchangable cations - Ca, Mg, Na, K]],Tbl_Responses[1 - How many cores per paddock],$DJ8,Tbl_Responses[[Resp_Group]:[Resp_Group]],Agronomist)+COUNTIFS(Tbl_Responses[2 - Type of test],Tbl_Q17_sampling[[#Headers],[Exchangable cations - Ca, Mg, Na, K]],Tbl_Responses[2 - How many cores per paddock],$DJ8,Tbl_Responses[[Resp_Group]:[Resp_Group]],Agronomist)+COUNTIFS(Tbl_Responses[3 - Type of test],Tbl_Q17_sampling[[#Headers],[Exchangable cations - Ca, Mg, Na, K]],Tbl_Responses[3 - How many cores per paddock],$DJ8,Tbl_Responses[[Resp_Group]:[Resp_Group]],Agronomist)+COUNTIFS(Tbl_Responses[4 - Type of test],Tbl_Q17_sampling[[#Headers],[Exchangable cations - Ca, Mg, Na, K]],Tbl_Responses[4 - How many cores per paddock],$DJ8,Tbl_Responses[[Resp_Group]:[Resp_Group]],Agronomist)+COUNTIFS(Tbl_Responses[5 - Type of test],Tbl_Q17_sampling[[#Headers],[Exchangable cations - Ca, Mg, Na, K]],Tbl_Responses[5 - How many cores per paddock],$DJ8,Tbl_Responses[[Resp_Group]:[Resp_Group]],Agronomist)+COUNTIFS(Tbl_Responses[6 - Type of test],Tbl_Q17_sampling[[#Headers],[Exchangable cations - Ca, Mg, Na, K]],Tbl_Responses[6 - How many cores per paddock],$DJ8,Tbl_Responses[[Resp_Group]:[Resp_Group]],Agronomist)+COUNTIFS(Tbl_Responses[7 - Type of test],Tbl_Q17_sampling[[#Headers],[Exchangable cations - Ca, Mg, Na, K]],Tbl_Responses[7 - How many cores per paddock],$DJ8,Tbl_Responses[[Resp_Group]:[Resp_Group]],Agronomist)+COUNTIFS(Tbl_Responses[8 - Type of test],Tbl_Q17_sampling[[#Headers],[Exchangable cations - Ca, Mg, Na, K]],Tbl_Responses[8 - How many cores per paddock],$DJ8,Tbl_Responses[[Resp_Group]:[Resp_Group]],Agronomist))/(COUNTIFS(Tbl_Responses[1 - Type of test],Tbl_Q17_sampling[[#Headers],[Exchangable cations - Ca, Mg, Na, K]],Tbl_Responses[1 - How many cores per paddock],"&gt;""",Tbl_Responses[[Resp_Group]:[Resp_Group]],Agronomist)+COUNTIFS(Tbl_Responses[2 - Type of test],Tbl_Q17_sampling[[#Headers],[Exchangable cations - Ca, Mg, Na, K]],Tbl_Responses[2 - How many cores per paddock],"&gt;""",Tbl_Responses[[Resp_Group]:[Resp_Group]],Agronomist)+COUNTIFS(Tbl_Responses[3 - Type of test],Tbl_Q17_sampling[[#Headers],[Exchangable cations - Ca, Mg, Na, K]],Tbl_Responses[3 - How many cores per paddock],"&gt;""",Tbl_Responses[[Resp_Group]:[Resp_Group]],Agronomist)+COUNTIFS(Tbl_Responses[4 - Type of test],Tbl_Q17_sampling[[#Headers],[Exchangable cations - Ca, Mg, Na, K]],Tbl_Responses[4 - How many cores per paddock],"&gt;""",Tbl_Responses[[Resp_Group]:[Resp_Group]],Agronomist)+COUNTIFS(Tbl_Responses[5 - Type of test],Tbl_Q17_sampling[[#Headers],[Exchangable cations - Ca, Mg, Na, K]],Tbl_Responses[5 - How many cores per paddock],"&gt;""",Tbl_Responses[[Resp_Group]:[Resp_Group]],Agronomist)+COUNTIFS(Tbl_Responses[6 - Type of test],Tbl_Q17_sampling[[#Headers],[Exchangable cations - Ca, Mg, Na, K]],Tbl_Responses[6 - How many cores per paddock],"&gt;""",Tbl_Responses[[Resp_Group]:[Resp_Group]],Agronomist)+COUNTIFS(Tbl_Responses[7 - Type of test],Tbl_Q17_sampling[[#Headers],[Exchangable cations - Ca, Mg, Na, K]],Tbl_Responses[7 - How many cores per paddock],"&gt;""",Tbl_Responses[[Resp_Group]:[Resp_Group]],Agronomist)+COUNTIFS(Tbl_Responses[8 - Type of test],Tbl_Q17_sampling[[#Headers],[Exchangable cations - Ca, Mg, Na, K]],Tbl_Responses[8 - How many cores per paddock],"&gt;""",Tbl_Responses[[Resp_Group]:[Resp_Group]],Agronomist))</f>
        <v>9.375E-2</v>
      </c>
      <c r="DO8" s="64">
        <f>(COUNTIFS(Tbl_Responses[1 - Type of test],Tbl_Q17_sampling[[#Headers],[Texture]],Tbl_Responses[1 - How many cores per paddock],$DJ8,Tbl_Responses[[Resp_Group]:[Resp_Group]],Agronomist)+COUNTIFS(Tbl_Responses[2 - Type of test],Tbl_Q17_sampling[[#Headers],[Texture]],Tbl_Responses[2 - How many cores per paddock],$DJ8,Tbl_Responses[[Resp_Group]:[Resp_Group]],Agronomist)+COUNTIFS(Tbl_Responses[3 - Type of test],Tbl_Q17_sampling[[#Headers],[Texture]],Tbl_Responses[3 - How many cores per paddock],$DJ8,Tbl_Responses[[Resp_Group]:[Resp_Group]],Agronomist)+COUNTIFS(Tbl_Responses[4 - Type of test],Tbl_Q17_sampling[[#Headers],[Texture]],Tbl_Responses[4 - How many cores per paddock],$DJ8,Tbl_Responses[[Resp_Group]:[Resp_Group]],Agronomist)+COUNTIFS(Tbl_Responses[5 - Type of test],Tbl_Q17_sampling[[#Headers],[Texture]],Tbl_Responses[5 - How many cores per paddock],$DJ8,Tbl_Responses[[Resp_Group]:[Resp_Group]],Agronomist)+COUNTIFS(Tbl_Responses[6 - Type of test],Tbl_Q17_sampling[[#Headers],[Texture]],Tbl_Responses[6 - How many cores per paddock],$DJ8,Tbl_Responses[[Resp_Group]:[Resp_Group]],Agronomist)+COUNTIFS(Tbl_Responses[7 - Type of test],Tbl_Q17_sampling[[#Headers],[Texture]],Tbl_Responses[7 - How many cores per paddock],$DJ8,Tbl_Responses[[Resp_Group]:[Resp_Group]],Agronomist)+COUNTIFS(Tbl_Responses[8 - Type of test],Tbl_Q17_sampling[[#Headers],[Texture]],Tbl_Responses[8 - How many cores per paddock],$DJ8,Tbl_Responses[[Resp_Group]:[Resp_Group]],Agronomist))/(COUNTIFS(Tbl_Responses[1 - Type of test],Tbl_Q17_sampling[[#Headers],[Texture]],Tbl_Responses[1 - How many cores per paddock],"&gt;""",Tbl_Responses[[Resp_Group]:[Resp_Group]],Agronomist)+COUNTIFS(Tbl_Responses[2 - Type of test],Tbl_Q17_sampling[[#Headers],[Texture]],Tbl_Responses[2 - How many cores per paddock],"&gt;""",Tbl_Responses[[Resp_Group]:[Resp_Group]],Agronomist)+COUNTIFS(Tbl_Responses[3 - Type of test],Tbl_Q17_sampling[[#Headers],[Texture]],Tbl_Responses[3 - How many cores per paddock],"&gt;""",Tbl_Responses[[Resp_Group]:[Resp_Group]],Agronomist)+COUNTIFS(Tbl_Responses[4 - Type of test],Tbl_Q17_sampling[[#Headers],[Texture]],Tbl_Responses[4 - How many cores per paddock],"&gt;""",Tbl_Responses[[Resp_Group]:[Resp_Group]],Agronomist)+COUNTIFS(Tbl_Responses[5 - Type of test],Tbl_Q17_sampling[[#Headers],[Texture]],Tbl_Responses[5 - How many cores per paddock],"&gt;""",Tbl_Responses[[Resp_Group]:[Resp_Group]],Agronomist)+COUNTIFS(Tbl_Responses[6 - Type of test],Tbl_Q17_sampling[[#Headers],[Texture]],Tbl_Responses[6 - How many cores per paddock],"&gt;""",Tbl_Responses[[Resp_Group]:[Resp_Group]],Agronomist)+COUNTIFS(Tbl_Responses[7 - Type of test],Tbl_Q17_sampling[[#Headers],[Texture]],Tbl_Responses[7 - How many cores per paddock],"&gt;""",Tbl_Responses[[Resp_Group]:[Resp_Group]],Agronomist)+COUNTIFS(Tbl_Responses[8 - Type of test],Tbl_Q17_sampling[[#Headers],[Texture]],Tbl_Responses[8 - How many cores per paddock],"&gt;""",Tbl_Responses[[Resp_Group]:[Resp_Group]],Agronomist))</f>
        <v>6.6666666666666666E-2</v>
      </c>
      <c r="DP8" s="64">
        <f>(COUNTIFS(Tbl_Responses[1 - Type of test],Tbl_Q17_sampling[[#Headers],[Aluminium (CaCl2)]],Tbl_Responses[1 - How many cores per paddock],$DJ8,Tbl_Responses[[Resp_Group]:[Resp_Group]],Agronomist)+COUNTIFS(Tbl_Responses[2 - Type of test],Tbl_Q17_sampling[[#Headers],[Aluminium (CaCl2)]],Tbl_Responses[2 - How many cores per paddock],$DJ8,Tbl_Responses[[Resp_Group]:[Resp_Group]],Agronomist)+COUNTIFS(Tbl_Responses[3 - Type of test],Tbl_Q17_sampling[[#Headers],[Aluminium (CaCl2)]],Tbl_Responses[3 - How many cores per paddock],$DJ8,Tbl_Responses[[Resp_Group]:[Resp_Group]],Agronomist)+COUNTIFS(Tbl_Responses[4 - Type of test],Tbl_Q17_sampling[[#Headers],[Aluminium (CaCl2)]],Tbl_Responses[4 - How many cores per paddock],$DJ8,Tbl_Responses[[Resp_Group]:[Resp_Group]],Agronomist)+COUNTIFS(Tbl_Responses[5 - Type of test],Tbl_Q17_sampling[[#Headers],[Aluminium (CaCl2)]],Tbl_Responses[5 - How many cores per paddock],$DJ8,Tbl_Responses[[Resp_Group]:[Resp_Group]],Agronomist)+COUNTIFS(Tbl_Responses[6 - Type of test],Tbl_Q17_sampling[[#Headers],[Aluminium (CaCl2)]],Tbl_Responses[6 - How many cores per paddock],$DJ8,Tbl_Responses[[Resp_Group]:[Resp_Group]],Agronomist)+COUNTIFS(Tbl_Responses[7 - Type of test],Tbl_Q17_sampling[[#Headers],[Aluminium (CaCl2)]],Tbl_Responses[7 - How many cores per paddock],$DJ8,Tbl_Responses[[Resp_Group]:[Resp_Group]],Agronomist)+COUNTIFS(Tbl_Responses[8 - Type of test],Tbl_Q17_sampling[[#Headers],[Aluminium (CaCl2)]],Tbl_Responses[8 - How many cores per paddock],$DJ8,Tbl_Responses[[Resp_Group]:[Resp_Group]],Agronomist))/(COUNTIFS(Tbl_Responses[1 - Type of test],Tbl_Q17_sampling[[#Headers],[Aluminium (CaCl2)]],Tbl_Responses[1 - How many cores per paddock],"&gt;""",Tbl_Responses[[Resp_Group]:[Resp_Group]],Agronomist)+COUNTIFS(Tbl_Responses[2 - Type of test],Tbl_Q17_sampling[[#Headers],[Aluminium (CaCl2)]],Tbl_Responses[2 - How many cores per paddock],"&gt;""",Tbl_Responses[[Resp_Group]:[Resp_Group]],Agronomist)+COUNTIFS(Tbl_Responses[3 - Type of test],Tbl_Q17_sampling[[#Headers],[Aluminium (CaCl2)]],Tbl_Responses[3 - How many cores per paddock],"&gt;""",Tbl_Responses[[Resp_Group]:[Resp_Group]],Agronomist)+COUNTIFS(Tbl_Responses[4 - Type of test],Tbl_Q17_sampling[[#Headers],[Aluminium (CaCl2)]],Tbl_Responses[4 - How many cores per paddock],"&gt;""",Tbl_Responses[[Resp_Group]:[Resp_Group]],Agronomist)+COUNTIFS(Tbl_Responses[5 - Type of test],Tbl_Q17_sampling[[#Headers],[Aluminium (CaCl2)]],Tbl_Responses[5 - How many cores per paddock],"&gt;""",Tbl_Responses[[Resp_Group]:[Resp_Group]],Agronomist)+COUNTIFS(Tbl_Responses[6 - Type of test],Tbl_Q17_sampling[[#Headers],[Aluminium (CaCl2)]],Tbl_Responses[6 - How many cores per paddock],"&gt;""",Tbl_Responses[[Resp_Group]:[Resp_Group]],Agronomist)+COUNTIFS(Tbl_Responses[7 - Type of test],Tbl_Q17_sampling[[#Headers],[Aluminium (CaCl2)]],Tbl_Responses[7 - How many cores per paddock],"&gt;""",Tbl_Responses[[Resp_Group]:[Resp_Group]],Agronomist)+COUNTIFS(Tbl_Responses[8 - Type of test],Tbl_Q17_sampling[[#Headers],[Aluminium (CaCl2)]],Tbl_Responses[8 - How many cores per paddock],"&gt;""",Tbl_Responses[[Resp_Group]:[Resp_Group]],Agronomist))</f>
        <v>6.4516129032258063E-2</v>
      </c>
      <c r="DQ8" s="64">
        <f>(COUNTIFS(Tbl_Responses[1 - Type of test],Tbl_Q17_sampling[[#Headers],[Chloride]],Tbl_Responses[1 - How many cores per paddock],$DJ8,Tbl_Responses[[Resp_Group]:[Resp_Group]],Agronomist)+COUNTIFS(Tbl_Responses[2 - Type of test],Tbl_Q17_sampling[[#Headers],[Chloride]],Tbl_Responses[2 - How many cores per paddock],$DJ8,Tbl_Responses[[Resp_Group]:[Resp_Group]],Agronomist)+COUNTIFS(Tbl_Responses[3 - Type of test],Tbl_Q17_sampling[[#Headers],[Chloride]],Tbl_Responses[3 - How many cores per paddock],$DJ8,Tbl_Responses[[Resp_Group]:[Resp_Group]],Agronomist)+COUNTIFS(Tbl_Responses[4 - Type of test],Tbl_Q17_sampling[[#Headers],[Chloride]],Tbl_Responses[4 - How many cores per paddock],$DJ8,Tbl_Responses[[Resp_Group]:[Resp_Group]],Agronomist)+COUNTIFS(Tbl_Responses[5 - Type of test],Tbl_Q17_sampling[[#Headers],[Chloride]],Tbl_Responses[5 - How many cores per paddock],$DJ8,Tbl_Responses[[Resp_Group]:[Resp_Group]],Agronomist)+COUNTIFS(Tbl_Responses[6 - Type of test],Tbl_Q17_sampling[[#Headers],[Chloride]],Tbl_Responses[6 - How many cores per paddock],$DJ8,Tbl_Responses[[Resp_Group]:[Resp_Group]],Agronomist)+COUNTIFS(Tbl_Responses[7 - Type of test],Tbl_Q17_sampling[[#Headers],[Chloride]],Tbl_Responses[7 - How many cores per paddock],$DJ8,Tbl_Responses[[Resp_Group]:[Resp_Group]],Agronomist)+COUNTIFS(Tbl_Responses[8 - Type of test],Tbl_Q17_sampling[[#Headers],[Chloride]],Tbl_Responses[8 - How many cores per paddock],$DJ8,Tbl_Responses[[Resp_Group]:[Resp_Group]],Agronomist))/(COUNTIFS(Tbl_Responses[1 - Type of test],Tbl_Q17_sampling[[#Headers],[Chloride]],Tbl_Responses[1 - How many cores per paddock],"&gt;""",Tbl_Responses[[Resp_Group]:[Resp_Group]],Agronomist)+COUNTIFS(Tbl_Responses[2 - Type of test],Tbl_Q17_sampling[[#Headers],[Chloride]],Tbl_Responses[2 - How many cores per paddock],"&gt;""",Tbl_Responses[[Resp_Group]:[Resp_Group]],Agronomist)+COUNTIFS(Tbl_Responses[3 - Type of test],Tbl_Q17_sampling[[#Headers],[Chloride]],Tbl_Responses[3 - How many cores per paddock],"&gt;""",Tbl_Responses[[Resp_Group]:[Resp_Group]],Agronomist)+COUNTIFS(Tbl_Responses[4 - Type of test],Tbl_Q17_sampling[[#Headers],[Chloride]],Tbl_Responses[4 - How many cores per paddock],"&gt;""",Tbl_Responses[[Resp_Group]:[Resp_Group]],Agronomist)+COUNTIFS(Tbl_Responses[5 - Type of test],Tbl_Q17_sampling[[#Headers],[Chloride]],Tbl_Responses[5 - How many cores per paddock],"&gt;""",Tbl_Responses[[Resp_Group]:[Resp_Group]],Agronomist)+COUNTIFS(Tbl_Responses[6 - Type of test],Tbl_Q17_sampling[[#Headers],[Chloride]],Tbl_Responses[6 - How many cores per paddock],"&gt;""",Tbl_Responses[[Resp_Group]:[Resp_Group]],Agronomist)+COUNTIFS(Tbl_Responses[7 - Type of test],Tbl_Q17_sampling[[#Headers],[Chloride]],Tbl_Responses[7 - How many cores per paddock],"&gt;""",Tbl_Responses[[Resp_Group]:[Resp_Group]],Agronomist)+COUNTIFS(Tbl_Responses[8 - Type of test],Tbl_Q17_sampling[[#Headers],[Chloride]],Tbl_Responses[8 - How many cores per paddock],"&gt;""",Tbl_Responses[[Resp_Group]:[Resp_Group]],Agronomist))</f>
        <v>0.125</v>
      </c>
      <c r="DR8" s="64">
        <f>(COUNTIFS(Tbl_Responses[1 - Type of test],Tbl_Q17_sampling[[#Headers],[Boron]],Tbl_Responses[1 - How many cores per paddock],$DJ8,Tbl_Responses[[Resp_Group]:[Resp_Group]],Agronomist)+COUNTIFS(Tbl_Responses[2 - Type of test],Tbl_Q17_sampling[[#Headers],[Boron]],Tbl_Responses[2 - How many cores per paddock],$DJ8,Tbl_Responses[[Resp_Group]:[Resp_Group]],Agronomist)+COUNTIFS(Tbl_Responses[3 - Type of test],Tbl_Q17_sampling[[#Headers],[Boron]],Tbl_Responses[3 - How many cores per paddock],$DJ8,Tbl_Responses[[Resp_Group]:[Resp_Group]],Agronomist)+COUNTIFS(Tbl_Responses[4 - Type of test],Tbl_Q17_sampling[[#Headers],[Boron]],Tbl_Responses[4 - How many cores per paddock],$DJ8,Tbl_Responses[[Resp_Group]:[Resp_Group]],Agronomist)+COUNTIFS(Tbl_Responses[5 - Type of test],Tbl_Q17_sampling[[#Headers],[Boron]],Tbl_Responses[5 - How many cores per paddock],$DJ8,Tbl_Responses[[Resp_Group]:[Resp_Group]],Agronomist)+COUNTIFS(Tbl_Responses[6 - Type of test],Tbl_Q17_sampling[[#Headers],[Boron]],Tbl_Responses[6 - How many cores per paddock],$DJ8,Tbl_Responses[[Resp_Group]:[Resp_Group]],Agronomist)+COUNTIFS(Tbl_Responses[7 - Type of test],Tbl_Q17_sampling[[#Headers],[Boron]],Tbl_Responses[7 - How many cores per paddock],$DJ8,Tbl_Responses[[Resp_Group]:[Resp_Group]],Agronomist)+COUNTIFS(Tbl_Responses[8 - Type of test],Tbl_Q17_sampling[[#Headers],[Boron]],Tbl_Responses[8 - How many cores per paddock],$DJ8,Tbl_Responses[[Resp_Group]:[Resp_Group]],Agronomist))/(COUNTIFS(Tbl_Responses[1 - Type of test],Tbl_Q17_sampling[[#Headers],[Boron]],Tbl_Responses[1 - How many cores per paddock],"&gt;""",Tbl_Responses[[Resp_Group]:[Resp_Group]],Agronomist)+COUNTIFS(Tbl_Responses[2 - Type of test],Tbl_Q17_sampling[[#Headers],[Boron]],Tbl_Responses[2 - How many cores per paddock],"&gt;""",Tbl_Responses[[Resp_Group]:[Resp_Group]],Agronomist)+COUNTIFS(Tbl_Responses[3 - Type of test],Tbl_Q17_sampling[[#Headers],[Boron]],Tbl_Responses[3 - How many cores per paddock],"&gt;""",Tbl_Responses[[Resp_Group]:[Resp_Group]],Agronomist)+COUNTIFS(Tbl_Responses[4 - Type of test],Tbl_Q17_sampling[[#Headers],[Boron]],Tbl_Responses[4 - How many cores per paddock],"&gt;""",Tbl_Responses[[Resp_Group]:[Resp_Group]],Agronomist)+COUNTIFS(Tbl_Responses[5 - Type of test],Tbl_Q17_sampling[[#Headers],[Boron]],Tbl_Responses[5 - How many cores per paddock],"&gt;""",Tbl_Responses[[Resp_Group]:[Resp_Group]],Agronomist)+COUNTIFS(Tbl_Responses[6 - Type of test],Tbl_Q17_sampling[[#Headers],[Boron]],Tbl_Responses[6 - How many cores per paddock],"&gt;""",Tbl_Responses[[Resp_Group]:[Resp_Group]],Agronomist)+COUNTIFS(Tbl_Responses[7 - Type of test],Tbl_Q17_sampling[[#Headers],[Boron]],Tbl_Responses[7 - How many cores per paddock],"&gt;""",Tbl_Responses[[Resp_Group]:[Resp_Group]],Agronomist)+COUNTIFS(Tbl_Responses[8 - Type of test],Tbl_Q17_sampling[[#Headers],[Boron]],Tbl_Responses[8 - How many cores per paddock],"&gt;""",Tbl_Responses[[Resp_Group]:[Resp_Group]],Agronomist))</f>
        <v>9.6774193548387094E-2</v>
      </c>
      <c r="DS8" s="64">
        <f>(COUNTIFS(Tbl_Responses[1 - Type of test],Tbl_Q17_sampling[[#Headers],[Sulfur (KCl40)]],Tbl_Responses[1 - How many cores per paddock],$DJ8,Tbl_Responses[[Resp_Group]:[Resp_Group]],Agronomist)+COUNTIFS(Tbl_Responses[2 - Type of test],Tbl_Q17_sampling[[#Headers],[Sulfur (KCl40)]],Tbl_Responses[2 - How many cores per paddock],$DJ8,Tbl_Responses[[Resp_Group]:[Resp_Group]],Agronomist)+COUNTIFS(Tbl_Responses[3 - Type of test],Tbl_Q17_sampling[[#Headers],[Sulfur (KCl40)]],Tbl_Responses[3 - How many cores per paddock],$DJ8,Tbl_Responses[[Resp_Group]:[Resp_Group]],Agronomist)+COUNTIFS(Tbl_Responses[4 - Type of test],Tbl_Q17_sampling[[#Headers],[Sulfur (KCl40)]],Tbl_Responses[4 - How many cores per paddock],$DJ8,Tbl_Responses[[Resp_Group]:[Resp_Group]],Agronomist)+COUNTIFS(Tbl_Responses[5 - Type of test],Tbl_Q17_sampling[[#Headers],[Sulfur (KCl40)]],Tbl_Responses[5 - How many cores per paddock],$DJ8,Tbl_Responses[[Resp_Group]:[Resp_Group]],Agronomist)+COUNTIFS(Tbl_Responses[6 - Type of test],Tbl_Q17_sampling[[#Headers],[Sulfur (KCl40)]],Tbl_Responses[6 - How many cores per paddock],$DJ8,Tbl_Responses[[Resp_Group]:[Resp_Group]],Agronomist)+COUNTIFS(Tbl_Responses[7 - Type of test],Tbl_Q17_sampling[[#Headers],[Sulfur (KCl40)]],Tbl_Responses[7 - How many cores per paddock],$DJ8,Tbl_Responses[[Resp_Group]:[Resp_Group]],Agronomist)+COUNTIFS(Tbl_Responses[8 - Type of test],Tbl_Q17_sampling[[#Headers],[Sulfur (KCl40)]],Tbl_Responses[8 - How many cores per paddock],$DJ8,Tbl_Responses[[Resp_Group]:[Resp_Group]],Agronomist))/(COUNTIFS(Tbl_Responses[1 - Type of test],Tbl_Q17_sampling[[#Headers],[Sulfur (KCl40)]],Tbl_Responses[1 - How many cores per paddock],"&gt;""",Tbl_Responses[[Resp_Group]:[Resp_Group]],Agronomist)+COUNTIFS(Tbl_Responses[2 - Type of test],Tbl_Q17_sampling[[#Headers],[Sulfur (KCl40)]],Tbl_Responses[2 - How many cores per paddock],"&gt;""",Tbl_Responses[[Resp_Group]:[Resp_Group]],Agronomist)+COUNTIFS(Tbl_Responses[3 - Type of test],Tbl_Q17_sampling[[#Headers],[Sulfur (KCl40)]],Tbl_Responses[3 - How many cores per paddock],"&gt;""",Tbl_Responses[[Resp_Group]:[Resp_Group]],Agronomist)+COUNTIFS(Tbl_Responses[4 - Type of test],Tbl_Q17_sampling[[#Headers],[Sulfur (KCl40)]],Tbl_Responses[4 - How many cores per paddock],"&gt;""",Tbl_Responses[[Resp_Group]:[Resp_Group]],Agronomist)+COUNTIFS(Tbl_Responses[5 - Type of test],Tbl_Q17_sampling[[#Headers],[Sulfur (KCl40)]],Tbl_Responses[5 - How many cores per paddock],"&gt;""",Tbl_Responses[[Resp_Group]:[Resp_Group]],Agronomist)+COUNTIFS(Tbl_Responses[6 - Type of test],Tbl_Q17_sampling[[#Headers],[Sulfur (KCl40)]],Tbl_Responses[6 - How many cores per paddock],"&gt;""",Tbl_Responses[[Resp_Group]:[Resp_Group]],Agronomist)+COUNTIFS(Tbl_Responses[7 - Type of test],Tbl_Q17_sampling[[#Headers],[Sulfur (KCl40)]],Tbl_Responses[7 - How many cores per paddock],"&gt;""",Tbl_Responses[[Resp_Group]:[Resp_Group]],Agronomist)+COUNTIFS(Tbl_Responses[8 - Type of test],Tbl_Q17_sampling[[#Headers],[Sulfur (KCl40)]],Tbl_Responses[8 - How many cores per paddock],"&gt;""",Tbl_Responses[[Resp_Group]:[Resp_Group]],Agronomist))</f>
        <v>6.25E-2</v>
      </c>
      <c r="DT8" s="64">
        <f>(COUNTIFS(Tbl_Responses[1 - Type of test],Tbl_Q17_sampling[[#Headers],[Calcium carbonate %]],Tbl_Responses[1 - How many cores per paddock],$DJ8,Tbl_Responses[[Resp_Group]:[Resp_Group]],Agronomist)+COUNTIFS(Tbl_Responses[2 - Type of test],Tbl_Q17_sampling[[#Headers],[Calcium carbonate %]],Tbl_Responses[2 - How many cores per paddock],$DJ8,Tbl_Responses[[Resp_Group]:[Resp_Group]],Agronomist)+COUNTIFS(Tbl_Responses[3 - Type of test],Tbl_Q17_sampling[[#Headers],[Calcium carbonate %]],Tbl_Responses[3 - How many cores per paddock],$DJ8,Tbl_Responses[[Resp_Group]:[Resp_Group]],Agronomist)+COUNTIFS(Tbl_Responses[4 - Type of test],Tbl_Q17_sampling[[#Headers],[Calcium carbonate %]],Tbl_Responses[4 - How many cores per paddock],$DJ8,Tbl_Responses[[Resp_Group]:[Resp_Group]],Agronomist)+COUNTIFS(Tbl_Responses[5 - Type of test],Tbl_Q17_sampling[[#Headers],[Calcium carbonate %]],Tbl_Responses[5 - How many cores per paddock],$DJ8,Tbl_Responses[[Resp_Group]:[Resp_Group]],Agronomist)+COUNTIFS(Tbl_Responses[6 - Type of test],Tbl_Q17_sampling[[#Headers],[Calcium carbonate %]],Tbl_Responses[6 - How many cores per paddock],$DJ8,Tbl_Responses[[Resp_Group]:[Resp_Group]],Agronomist)+COUNTIFS(Tbl_Responses[7 - Type of test],Tbl_Q17_sampling[[#Headers],[Calcium carbonate %]],Tbl_Responses[7 - How many cores per paddock],$DJ8,Tbl_Responses[[Resp_Group]:[Resp_Group]],Agronomist)+COUNTIFS(Tbl_Responses[8 - Type of test],Tbl_Q17_sampling[[#Headers],[Calcium carbonate %]],Tbl_Responses[8 - How many cores per paddock],$DJ8,Tbl_Responses[[Resp_Group]:[Resp_Group]],Agronomist))/(COUNTIFS(Tbl_Responses[1 - Type of test],Tbl_Q17_sampling[[#Headers],[Calcium carbonate %]],Tbl_Responses[1 - How many cores per paddock],"&gt;""",Tbl_Responses[[Resp_Group]:[Resp_Group]],Agronomist)+COUNTIFS(Tbl_Responses[2 - Type of test],Tbl_Q17_sampling[[#Headers],[Calcium carbonate %]],Tbl_Responses[2 - How many cores per paddock],"&gt;""",Tbl_Responses[[Resp_Group]:[Resp_Group]],Agronomist)+COUNTIFS(Tbl_Responses[3 - Type of test],Tbl_Q17_sampling[[#Headers],[Calcium carbonate %]],Tbl_Responses[3 - How many cores per paddock],"&gt;""",Tbl_Responses[[Resp_Group]:[Resp_Group]],Agronomist)+COUNTIFS(Tbl_Responses[4 - Type of test],Tbl_Q17_sampling[[#Headers],[Calcium carbonate %]],Tbl_Responses[4 - How many cores per paddock],"&gt;""",Tbl_Responses[[Resp_Group]:[Resp_Group]],Agronomist)+COUNTIFS(Tbl_Responses[5 - Type of test],Tbl_Q17_sampling[[#Headers],[Calcium carbonate %]],Tbl_Responses[5 - How many cores per paddock],"&gt;""",Tbl_Responses[[Resp_Group]:[Resp_Group]],Agronomist)+COUNTIFS(Tbl_Responses[6 - Type of test],Tbl_Q17_sampling[[#Headers],[Calcium carbonate %]],Tbl_Responses[6 - How many cores per paddock],"&gt;""",Tbl_Responses[[Resp_Group]:[Resp_Group]],Agronomist)+COUNTIFS(Tbl_Responses[7 - Type of test],Tbl_Q17_sampling[[#Headers],[Calcium carbonate %]],Tbl_Responses[7 - How many cores per paddock],"&gt;""",Tbl_Responses[[Resp_Group]:[Resp_Group]],Agronomist)+COUNTIFS(Tbl_Responses[8 - Type of test],Tbl_Q17_sampling[[#Headers],[Calcium carbonate %]],Tbl_Responses[8 - How many cores per paddock],"&gt;""",Tbl_Responses[[Resp_Group]:[Resp_Group]],Agronomist))</f>
        <v>0.14285714285714285</v>
      </c>
      <c r="DU8" s="64">
        <f>(COUNTIFS(Tbl_Responses[1 - Type of test],Tbl_Q17_sampling[[#Headers],[Sulfur (MCP)]],Tbl_Responses[1 - How many cores per paddock],$DJ8,Tbl_Responses[[Resp_Group]:[Resp_Group]],Agronomist)+COUNTIFS(Tbl_Responses[2 - Type of test],Tbl_Q17_sampling[[#Headers],[Sulfur (MCP)]],Tbl_Responses[2 - How many cores per paddock],$DJ8,Tbl_Responses[[Resp_Group]:[Resp_Group]],Agronomist)+COUNTIFS(Tbl_Responses[3 - Type of test],Tbl_Q17_sampling[[#Headers],[Sulfur (MCP)]],Tbl_Responses[3 - How many cores per paddock],$DJ8,Tbl_Responses[[Resp_Group]:[Resp_Group]],Agronomist)+COUNTIFS(Tbl_Responses[4 - Type of test],Tbl_Q17_sampling[[#Headers],[Sulfur (MCP)]],Tbl_Responses[4 - How many cores per paddock],$DJ8,Tbl_Responses[[Resp_Group]:[Resp_Group]],Agronomist)+COUNTIFS(Tbl_Responses[5 - Type of test],Tbl_Q17_sampling[[#Headers],[Sulfur (MCP)]],Tbl_Responses[5 - How many cores per paddock],$DJ8,Tbl_Responses[[Resp_Group]:[Resp_Group]],Agronomist)+COUNTIFS(Tbl_Responses[6 - Type of test],Tbl_Q17_sampling[[#Headers],[Sulfur (MCP)]],Tbl_Responses[6 - How many cores per paddock],$DJ8,Tbl_Responses[[Resp_Group]:[Resp_Group]],Agronomist)+COUNTIFS(Tbl_Responses[7 - Type of test],Tbl_Q17_sampling[[#Headers],[Sulfur (MCP)]],Tbl_Responses[7 - How many cores per paddock],$DJ8,Tbl_Responses[[Resp_Group]:[Resp_Group]],Agronomist)+COUNTIFS(Tbl_Responses[8 - Type of test],Tbl_Q17_sampling[[#Headers],[Sulfur (MCP)]],Tbl_Responses[8 - How many cores per paddock],$DJ8,Tbl_Responses[[Resp_Group]:[Resp_Group]],Agronomist))/(COUNTIFS(Tbl_Responses[1 - Type of test],Tbl_Q17_sampling[[#Headers],[Sulfur (MCP)]],Tbl_Responses[1 - How many cores per paddock],"&gt;""",Tbl_Responses[[Resp_Group]:[Resp_Group]],Agronomist)+COUNTIFS(Tbl_Responses[2 - Type of test],Tbl_Q17_sampling[[#Headers],[Sulfur (MCP)]],Tbl_Responses[2 - How many cores per paddock],"&gt;""",Tbl_Responses[[Resp_Group]:[Resp_Group]],Agronomist)+COUNTIFS(Tbl_Responses[3 - Type of test],Tbl_Q17_sampling[[#Headers],[Sulfur (MCP)]],Tbl_Responses[3 - How many cores per paddock],"&gt;""",Tbl_Responses[[Resp_Group]:[Resp_Group]],Agronomist)+COUNTIFS(Tbl_Responses[4 - Type of test],Tbl_Q17_sampling[[#Headers],[Sulfur (MCP)]],Tbl_Responses[4 - How many cores per paddock],"&gt;""",Tbl_Responses[[Resp_Group]:[Resp_Group]],Agronomist)+COUNTIFS(Tbl_Responses[5 - Type of test],Tbl_Q17_sampling[[#Headers],[Sulfur (MCP)]],Tbl_Responses[5 - How many cores per paddock],"&gt;""",Tbl_Responses[[Resp_Group]:[Resp_Group]],Agronomist)+COUNTIFS(Tbl_Responses[6 - Type of test],Tbl_Q17_sampling[[#Headers],[Sulfur (MCP)]],Tbl_Responses[6 - How many cores per paddock],"&gt;""",Tbl_Responses[[Resp_Group]:[Resp_Group]],Agronomist)+COUNTIFS(Tbl_Responses[7 - Type of test],Tbl_Q17_sampling[[#Headers],[Sulfur (MCP)]],Tbl_Responses[7 - How many cores per paddock],"&gt;""",Tbl_Responses[[Resp_Group]:[Resp_Group]],Agronomist)+COUNTIFS(Tbl_Responses[8 - Type of test],Tbl_Q17_sampling[[#Headers],[Sulfur (MCP)]],Tbl_Responses[8 - How many cores per paddock],"&gt;""",Tbl_Responses[[Resp_Group]:[Resp_Group]],Agronomist))</f>
        <v>0</v>
      </c>
      <c r="DV8" s="82">
        <f>(COUNTIFS(Tbl_Responses[1 - How many cores per paddock],$DJ8,Tbl_Responses[[Resp_Group]:[Resp_Group]],Agronomist)+COUNTIFS(Tbl_Responses[2 - How many cores per paddock],$DJ8,Tbl_Responses[[Resp_Group]:[Resp_Group]],Agronomist)+COUNTIFS(Tbl_Responses[3 - How many cores per paddock],$DJ8,Tbl_Responses[[Resp_Group]:[Resp_Group]],Agronomist)+COUNTIFS(Tbl_Responses[4 - How many cores per paddock],$DJ8,Tbl_Responses[[Resp_Group]:[Resp_Group]],Agronomist)+COUNTIFS(Tbl_Responses[5 - How many cores per paddock],$DJ8,Tbl_Responses[[Resp_Group]:[Resp_Group]],Agronomist)+COUNTIFS(Tbl_Responses[6 - How many cores per paddock],$DJ8,Tbl_Responses[[Resp_Group]:[Resp_Group]],Agronomist)+COUNTIFS(Tbl_Responses[7 - How many cores per paddock],$DJ8,Tbl_Responses[[Resp_Group]:[Resp_Group]],Agronomist))/(COUNTIFS(Tbl_Responses[1 - How many cores per paddock],"&gt;""",Tbl_Responses[[Resp_Group]:[Resp_Group]],Agronomist)+COUNTIFS(Tbl_Responses[2 - How many cores per paddock],"&gt;""",Tbl_Responses[[Resp_Group]:[Resp_Group]],Agronomist)+COUNTIFS(Tbl_Responses[3 - How many cores per paddock],"&gt;""",Tbl_Responses[[Resp_Group]:[Resp_Group]],Agronomist)+COUNTIFS(Tbl_Responses[4 - How many cores per paddock],"&gt;""",Tbl_Responses[[Resp_Group]:[Resp_Group]],Agronomist)+COUNTIFS(Tbl_Responses[5 - How many cores per paddock],"&gt;""",Tbl_Responses[[Resp_Group]:[Resp_Group]],Agronomist)+COUNTIFS(Tbl_Responses[6 - How many cores per paddock],"&gt;""",Tbl_Responses[[Resp_Group]:[Resp_Group]],Agronomist)+COUNTIFS(Tbl_Responses[7 - How many cores per paddock],"&gt;""",Tbl_Responses[[Resp_Group]:[Resp_Group]],Agronomist))</f>
        <v>8.6274509803921567E-2</v>
      </c>
      <c r="EC8" t="s">
        <v>114</v>
      </c>
      <c r="ED8" s="3">
        <f>COUNTIFS(Tbl_Responses[The level of accuracy of soil testing lab analysis],$EC8,Tbl_Responses[[Resp_Group]:[Resp_Group]],Agronomist)</f>
        <v>1</v>
      </c>
      <c r="EE8" s="4">
        <f>Tbl_19[[#This Row],[No. Responses]]/SUM(Tbl_19[No. Responses])</f>
        <v>1.0638297872340425E-2</v>
      </c>
      <c r="EH8" t="s">
        <v>114</v>
      </c>
      <c r="EI8" s="3">
        <f>COUNTIFS(Tbl_Responses[The level of accuracy of soil testing lab analysisP],$EC8,Tbl_Responses[[Resp_Group]:[Resp_Group]],Agronomist)</f>
        <v>1</v>
      </c>
      <c r="EJ8" s="4">
        <f>Tbl_Q20[[#This Row],[No. Responses]]/SUM(Tbl_Q20[No. Responses])</f>
        <v>1.0869565217391304E-2</v>
      </c>
      <c r="EM8" s="34" t="s">
        <v>2527</v>
      </c>
      <c r="ET8" t="s">
        <v>2337</v>
      </c>
      <c r="EU8" s="3">
        <f>COUNTIFS(Tbl_Responses[Soil testing annual spend],$ET8,Tbl_Responses[[Resp_Group]:[Resp_Group]],Agronomist)</f>
        <v>0</v>
      </c>
      <c r="EV8" s="4">
        <f>Tbl_Q22[[#This Row],[No. Respondants]]/SUM(Tbl_Q22[No. Respondants])</f>
        <v>0</v>
      </c>
      <c r="FN8" s="87" t="s">
        <v>125</v>
      </c>
      <c r="FO8" s="3">
        <f>COUNTIFS(Tbl_Responses[The level of accuracy of lab analysis_Plant],$FN8,Tbl_Responses[[Resp_Group]:[Resp_Group]],Agronomist)</f>
        <v>4</v>
      </c>
      <c r="FP8" s="4">
        <f>Tbl_Q26[[#This Row],[No. Respondants]]/SUM(Tbl_Q26[No. Respondants])</f>
        <v>4.878048780487805E-2</v>
      </c>
      <c r="FS8" s="34" t="s">
        <v>2555</v>
      </c>
      <c r="FZ8" t="s">
        <v>2337</v>
      </c>
      <c r="GA8" s="3">
        <f>COUNTIFS(Tbl_Responses[Average annual spend - Plant testing],$FZ8,Tbl_Responses[[Resp_Group]:[Resp_Group]],Agronomist)</f>
        <v>0</v>
      </c>
      <c r="GB8" s="4">
        <f>Tbl_Q28[[#This Row],[No. Respondants]]/SUM(Tbl_Q28[No. Respondants])</f>
        <v>0</v>
      </c>
      <c r="GO8" t="s">
        <v>114</v>
      </c>
      <c r="GP8" s="3">
        <f>COUNTIFS(Tbl_Responses[The level of accuracy of soil testing lab analysis_PL],$GO8,Tbl_Responses[[Resp_Group]:[Resp_Group]],Agronomist)</f>
        <v>0</v>
      </c>
      <c r="GQ8" s="4" t="e">
        <f>Tbl_1965[[#This Row],[No. Responses]]/SUM(Tbl_1965[No. Responses])</f>
        <v>#DIV/0!</v>
      </c>
      <c r="GT8" t="s">
        <v>114</v>
      </c>
      <c r="GU8" s="3">
        <f>COUNTIFS(Tbl_Responses[The level of accuracy of soil testing lab analysis_PLP],$GT8,Tbl_Responses[[Resp_Group]:[Resp_Group]],Agronomist)</f>
        <v>0</v>
      </c>
      <c r="GV8" s="4" t="e">
        <f>Tbl_196566[[#This Row],[No. Responses]]/SUM(Tbl_196566[No. Responses])</f>
        <v>#DIV/0!</v>
      </c>
      <c r="HA8" s="87" t="s">
        <v>154</v>
      </c>
      <c r="HB8" s="3">
        <f>COUNTIFS(Tbl_Responses[Government agencies],$HA8,Tbl_Responses[[Resp_Group]:[Resp_Group]],Agronomist)</f>
        <v>6</v>
      </c>
      <c r="HC8" s="4">
        <f>Tbl_infoSources[[#This Row],[No. Responses]]/SUM(Tbl_infoSources[No. Responses])</f>
        <v>2.4E-2</v>
      </c>
    </row>
    <row r="9" spans="1:266" x14ac:dyDescent="0.25">
      <c r="A9" t="s">
        <v>164</v>
      </c>
      <c r="B9" s="3">
        <f>COUNTIFS(Tbl_Responses[Q1: region],Results!$A9,Tbl_Responses[Resp_Group],Agronomist)</f>
        <v>5</v>
      </c>
      <c r="C9" s="4">
        <f>B9/SUM(Tbl_Q1[Respondants])</f>
        <v>7.0422535211267609E-2</v>
      </c>
      <c r="D9" s="7">
        <f>AVERAGEIFS(Tbl_Responses[Q2: Cropped Area],Tbl_Responses[Q1: region],Tbl_Q1[[#This Row],[Region]],Tbl_Responses[[Resp_Group]:[Resp_Group]],Agronomist)</f>
        <v>11000</v>
      </c>
      <c r="F9">
        <v>30001</v>
      </c>
      <c r="G9">
        <v>40000</v>
      </c>
      <c r="H9" t="str">
        <f t="shared" si="0"/>
        <v>30001-40000</v>
      </c>
      <c r="I9" s="3">
        <f>COUNTIFS(Tbl_Responses[Q2: Cropped Area],"&gt;"&amp;F9,Tbl_Responses[Q2: Cropped Area],"&lt;="&amp;G9,Tbl_Responses[Resp_Group],Agronomist)</f>
        <v>4</v>
      </c>
      <c r="J9" s="4">
        <f>I9/SUM(Tbl_Q2[Number])</f>
        <v>5.9701492537313432E-2</v>
      </c>
      <c r="M9" t="s">
        <v>40</v>
      </c>
      <c r="N9" s="4">
        <f>AVERAGEIF(Tbl_Responses[Resp_Group],Agronomist,Tbl_Responses[Fallow])/100</f>
        <v>2.2535211267605635E-2</v>
      </c>
      <c r="O9" s="6">
        <f>SUMPRODUCT(--(Group="Agronomist"),Tbl_Responses[Q2: Cropped Area],Tbl_Responses[Fallow])/100</f>
        <v>15288.5</v>
      </c>
      <c r="P9" s="4">
        <f t="shared" si="1"/>
        <v>1.3162131355290164E-2</v>
      </c>
      <c r="S9" t="s">
        <v>948</v>
      </c>
      <c r="T9" s="4">
        <f>COUNTIFS(Tbl_Responses[[Variable Costs]:[Variable Costs]],T$3,Tbl_Responses[[Q1: region]:[Q1: region]],$S9,Tbl_Responses[[Resp_Group]:[Resp_Group]],Agronomist)/COUNTIFS(Tbl_Responses[[Q1: region]:[Q1: region]],$S9,Tbl_Responses[[Resp_Group]:[Resp_Group]],Agronomist)</f>
        <v>0</v>
      </c>
      <c r="U9" s="4">
        <f>COUNTIFS(Tbl_Responses[[Variable Costs]:[Variable Costs]],U$3,Tbl_Responses[[Q1: region]:[Q1: region]],$S9,Tbl_Responses[[Resp_Group]:[Resp_Group]],Agronomist)/COUNTIFS(Tbl_Responses[[Q1: region]:[Q1: region]],$S9,Tbl_Responses[[Resp_Group]:[Resp_Group]],Agronomist)</f>
        <v>0</v>
      </c>
      <c r="V9" s="4">
        <f>COUNTIFS(Tbl_Responses[[Variable Costs]:[Variable Costs]],V$3,Tbl_Responses[[Q1: region]:[Q1: region]],$S9,Tbl_Responses[[Resp_Group]:[Resp_Group]],Agronomist)/COUNTIFS(Tbl_Responses[[Q1: region]:[Q1: region]],$S9,Tbl_Responses[[Resp_Group]:[Resp_Group]],Agronomist)</f>
        <v>0</v>
      </c>
      <c r="W9" s="4">
        <f>COUNTIFS(Tbl_Responses[[Variable Costs]:[Variable Costs]],W$3,Tbl_Responses[[Q1: region]:[Q1: region]],$S9,Tbl_Responses[[Resp_Group]:[Resp_Group]],Agronomist)/COUNTIFS(Tbl_Responses[[Q1: region]:[Q1: region]],$S9,Tbl_Responses[[Resp_Group]:[Resp_Group]],Agronomist)</f>
        <v>0.33333333333333331</v>
      </c>
      <c r="X9" s="4">
        <f>COUNTIFS(Tbl_Responses[[Variable Costs]:[Variable Costs]],X$3,Tbl_Responses[[Q1: region]:[Q1: region]],$S9,Tbl_Responses[[Resp_Group]:[Resp_Group]],Agronomist)/COUNTIFS(Tbl_Responses[[Q1: region]:[Q1: region]],$S9,Tbl_Responses[[Resp_Group]:[Resp_Group]],Agronomist)</f>
        <v>0.33333333333333331</v>
      </c>
      <c r="Y9" s="4">
        <f>COUNTIFS(Tbl_Responses[[Variable Costs]:[Variable Costs]],Y$3,Tbl_Responses[[Q1: region]:[Q1: region]],$S9,Tbl_Responses[[Resp_Group]:[Resp_Group]],Agronomist)/COUNTIFS(Tbl_Responses[[Q1: region]:[Q1: region]],$S9,Tbl_Responses[[Resp_Group]:[Resp_Group]],Agronomist)</f>
        <v>0</v>
      </c>
      <c r="Z9" s="4">
        <f>COUNTIFS(Tbl_Responses[[Variable Costs]:[Variable Costs]],Z$3,Tbl_Responses[[Q1: region]:[Q1: region]],$S9,Tbl_Responses[[Resp_Group]:[Resp_Group]],Agronomist)/COUNTIFS(Tbl_Responses[[Q1: region]:[Q1: region]],$S9,Tbl_Responses[[Resp_Group]:[Resp_Group]],Agronomist)</f>
        <v>0</v>
      </c>
      <c r="AA9" s="4">
        <f>COUNTIFS(Tbl_Responses[[Variable Costs]:[Variable Costs]],AA$3,Tbl_Responses[[Q1: region]:[Q1: region]],$S9,Tbl_Responses[[Resp_Group]:[Resp_Group]],Agronomist)/COUNTIFS(Tbl_Responses[[Q1: region]:[Q1: region]],$S9,Tbl_Responses[[Resp_Group]:[Resp_Group]],Agronomist)</f>
        <v>0</v>
      </c>
      <c r="AB9" s="4">
        <f>COUNTIFS(Tbl_Responses[[Variable Costs]:[Variable Costs]],AB$3,Tbl_Responses[[Q1: region]:[Q1: region]],$S9,Tbl_Responses[[Resp_Group]:[Resp_Group]],Agronomist)/COUNTIFS(Tbl_Responses[[Q1: region]:[Q1: region]],$S9,Tbl_Responses[[Resp_Group]:[Resp_Group]],Agronomist)</f>
        <v>0.33333333333333331</v>
      </c>
      <c r="AG9" t="s">
        <v>948</v>
      </c>
      <c r="AH9" s="4">
        <f>COUNTIFS(Tbl_Responses[[Def_Nutrient_ID]:[Def_Nutrient_ID]],"*N*",Tbl_Responses[[Q1: region]:[Q1: region]],$AG9,Tbl_Responses[[Resp_Group]:[Resp_Group]],Agronomist)/COUNTIFS(Tbl_Responses[[Def_Nutrient_ID]:[Def_Nutrient_ID]],"&lt;&gt;"&amp;"",Tbl_Responses[[Q1: region]:[Q1: region]],$AG9,Tbl_Responses[[Resp_Group]:[Resp_Group]],Agronomist)</f>
        <v>1</v>
      </c>
      <c r="AI9" s="4">
        <f>COUNTIFS(Tbl_Responses[[Def_Nutrient_ID]:[Def_Nutrient_ID]],"*P*",Tbl_Responses[[Q1: region]:[Q1: region]],$AG9,Tbl_Responses[[Resp_Group]:[Resp_Group]],Agronomist)/COUNTIFS(Tbl_Responses[[Def_Nutrient_ID]:[Def_Nutrient_ID]],"&lt;&gt;"&amp;"",Tbl_Responses[[Q1: region]:[Q1: region]],$AG9,Tbl_Responses[[Resp_Group]:[Resp_Group]],Agronomist)</f>
        <v>0</v>
      </c>
      <c r="AJ9" s="4">
        <f>COUNTIFS(Tbl_Responses[[Def_Nutrient_ID]:[Def_Nutrient_ID]],"*K*",Tbl_Responses[[Q1: region]:[Q1: region]],$AG9,Tbl_Responses[[Resp_Group]:[Resp_Group]],Agronomist)/COUNTIFS(Tbl_Responses[[Def_Nutrient_ID]:[Def_Nutrient_ID]],"&lt;&gt;"&amp;"",Tbl_Responses[[Q1: region]:[Q1: region]],$AG9,Tbl_Responses[[Resp_Group]:[Resp_Group]],Agronomist)</f>
        <v>0</v>
      </c>
      <c r="AK9" s="4">
        <f>COUNTIFS(Tbl_Responses[[Def_Nutrient_ID]:[Def_Nutrient_ID]],"*S*",Tbl_Responses[[Q1: region]:[Q1: region]],$AG9,Tbl_Responses[[Resp_Group]:[Resp_Group]],Agronomist)/COUNTIFS(Tbl_Responses[[Def_Nutrient_ID]:[Def_Nutrient_ID]],"&lt;&gt;"&amp;"",Tbl_Responses[[Q1: region]:[Q1: region]],$AG9,Tbl_Responses[[Resp_Group]:[Resp_Group]],Agronomist)</f>
        <v>1</v>
      </c>
      <c r="AL9" s="4">
        <f>COUNTIFS(Tbl_Responses[[Def_Nutrient_ID]:[Def_Nutrient_ID]],"*Zn*",Tbl_Responses[[Q1: region]:[Q1: region]],$AG9,Tbl_Responses[[Resp_Group]:[Resp_Group]],Agronomist)/COUNTIFS(Tbl_Responses[[Def_Nutrient_ID]:[Def_Nutrient_ID]],"&lt;&gt;"&amp;"",Tbl_Responses[[Q1: region]:[Q1: region]],$AG9,Tbl_Responses[[Resp_Group]:[Resp_Group]],Agronomist)</f>
        <v>0</v>
      </c>
      <c r="AM9" s="4">
        <f>COUNTIFS(Tbl_Responses[[Def_Nutrient_ID]:[Def_Nutrient_ID]],"*Mn*",Tbl_Responses[[Q1: region]:[Q1: region]],$AG9,Tbl_Responses[[Resp_Group]:[Resp_Group]],Agronomist)/COUNTIFS(Tbl_Responses[[Def_Nutrient_ID]:[Def_Nutrient_ID]],"&lt;&gt;"&amp;"",Tbl_Responses[[Q1: region]:[Q1: region]],$AG9,Tbl_Responses[[Resp_Group]:[Resp_Group]],Agronomist)</f>
        <v>0.5</v>
      </c>
      <c r="AN9" s="4">
        <f>COUNTIFS(Tbl_Responses[[Def_Nutrient_ID]:[Def_Nutrient_ID]],"*Mg*",Tbl_Responses[[Q1: region]:[Q1: region]],$AG9,Tbl_Responses[[Resp_Group]:[Resp_Group]],Agronomist)/COUNTIFS(Tbl_Responses[[Def_Nutrient_ID]:[Def_Nutrient_ID]],"&lt;&gt;"&amp;"",Tbl_Responses[[Q1: region]:[Q1: region]],$AG9,Tbl_Responses[[Resp_Group]:[Resp_Group]],Agronomist)</f>
        <v>0</v>
      </c>
      <c r="AO9" s="4">
        <f>COUNTIFS(Tbl_Responses[[Def_Nutrient_ID]:[Def_Nutrient_ID]],"*Cu*",Tbl_Responses[[Q1: region]:[Q1: region]],$AG9,Tbl_Responses[[Resp_Group]:[Resp_Group]],Agronomist)/COUNTIFS(Tbl_Responses[[Def_Nutrient_ID]:[Def_Nutrient_ID]],"&lt;&gt;"&amp;"",Tbl_Responses[[Q1: region]:[Q1: region]],$AG9,Tbl_Responses[[Resp_Group]:[Resp_Group]],Agronomist)</f>
        <v>0.5</v>
      </c>
      <c r="AP9" s="4">
        <f>COUNTIFS(Tbl_Responses[[Def_Nutrient_ID]:[Def_Nutrient_ID]],"*B*",Tbl_Responses[[Q1: region]:[Q1: region]],$AG9,Tbl_Responses[[Resp_Group]:[Resp_Group]],Agronomist)/COUNTIFS(Tbl_Responses[[Def_Nutrient_ID]:[Def_Nutrient_ID]],"&lt;&gt;"&amp;"",Tbl_Responses[[Q1: region]:[Q1: region]],$AG9,Tbl_Responses[[Resp_Group]:[Resp_Group]],Agronomist)</f>
        <v>0</v>
      </c>
      <c r="AQ9" s="4">
        <f>COUNTIFS(Tbl_Responses[[Def_Nutrient_ID]:[Def_Nutrient_ID]],"*Ca*",Tbl_Responses[[Q1: region]:[Q1: region]],$AG9,Tbl_Responses[[Resp_Group]:[Resp_Group]],Agronomist)/COUNTIFS(Tbl_Responses[[Def_Nutrient_ID]:[Def_Nutrient_ID]],"&lt;&gt;"&amp;"",Tbl_Responses[[Q1: region]:[Q1: region]],$AG9,Tbl_Responses[[Resp_Group]:[Resp_Group]],Agronomist)</f>
        <v>0</v>
      </c>
      <c r="AR9" s="4">
        <f>COUNTIFS(Tbl_Responses[[Def_Nutrient_ID]:[Def_Nutrient_ID]],"*pH*",Tbl_Responses[[Q1: region]:[Q1: region]],$AG9,Tbl_Responses[[Resp_Group]:[Resp_Group]],Agronomist)/COUNTIFS(Tbl_Responses[[Def_Nutrient_ID]:[Def_Nutrient_ID]],"&lt;&gt;"&amp;"",Tbl_Responses[[Q1: region]:[Q1: region]],$AG9,Tbl_Responses[[Resp_Group]:[Resp_Group]],Agronomist)</f>
        <v>0</v>
      </c>
      <c r="AS9" s="4">
        <f>COUNTIFS(Tbl_Responses[[Def_Nutrient_ID]:[Def_Nutrient_ID]],"*T*",Tbl_Responses[[Q1: region]:[Q1: region]],$AG9,Tbl_Responses[[Resp_Group]:[Resp_Group]],Agronomist)/COUNTIFS(Tbl_Responses[[Def_Nutrient_ID]:[Def_Nutrient_ID]],"&lt;&gt;"&amp;"",Tbl_Responses[[Q1: region]:[Q1: region]],$AG9,Tbl_Responses[[Resp_Group]:[Resp_Group]],Agronomist)</f>
        <v>0</v>
      </c>
      <c r="AV9" t="s">
        <v>948</v>
      </c>
      <c r="AW9" s="4">
        <f>COUNTIFS(Tbl_Responses[[Q6: Do you do/recommend soil and/or plant testing?]:[Q6: Do you do/recommend soil and/or plant testing?]],"Yes",Tbl_Responses[[Q1: region]:[Q1: region]],$AV9,Tbl_Responses[[Resp_Group]:[Resp_Group]],Agronomist)/COUNTIFS(Tbl_Responses[[Q6: Do you do/recommend soil and/or plant testing?]:[Q6: Do you do/recommend soil and/or plant testing?]],"&lt;&gt;"&amp;"",Tbl_Responses[[Q1: region]:[Q1: region]],$AV9,Tbl_Responses[[Resp_Group]:[Resp_Group]],Agronomist)</f>
        <v>1</v>
      </c>
      <c r="AX9" s="4">
        <f>COUNTIFS(Tbl_Responses[[Q6: Do you do/recommend soil and/or plant testing?]:[Q6: Do you do/recommend soil and/or plant testing?]],"No",Tbl_Responses[[Q1: region]:[Q1: region]],$AV9,Tbl_Responses[[Resp_Group]:[Resp_Group]],Agronomist)/COUNTIFS(Tbl_Responses[[Q6: Do you do/recommend soil and/or plant testing?]:[Q6: Do you do/recommend soil and/or plant testing?]],"&lt;&gt;"&amp;"",Tbl_Responses[[Q1: region]:[Q1: region]],$AV9,Tbl_Responses[[Resp_Group]:[Resp_Group]],Agronomist)</f>
        <v>0</v>
      </c>
      <c r="AY9" s="3">
        <f>COUNTIFS(Tbl_Responses[[Q6: Do you do/recommend soil and/or plant testing?]:[Q6: Do you do/recommend soil and/or plant testing?]],"&gt;""",Tbl_Responses[[Q1: region]:[Q1: region]],$AV9,Tbl_Responses[[Resp_Group]:[Resp_Group]],Agronomist)</f>
        <v>3</v>
      </c>
      <c r="BA9" t="s">
        <v>218</v>
      </c>
      <c r="BB9" s="3">
        <f>COUNTIFS(Tbl_Responses[Q8: Of your clients, how many of them rely entirely on you to make the nutrient decisions?],$BA9,Tbl_Responses[[Resp_Group]:[Resp_Group]],Agronomist)</f>
        <v>7</v>
      </c>
      <c r="BC9" s="3">
        <f>COUNTIFS(Tbl_Responses[Response4],$BA9,Tbl_Responses[[Resp_Group]:[Resp_Group]],Agronomist)</f>
        <v>8</v>
      </c>
      <c r="BD9" s="3">
        <f>COUNTIFS(Tbl_Responses[Response5],$BA9,Tbl_Responses[[Resp_Group]:[Resp_Group]],Agronomist)</f>
        <v>0</v>
      </c>
      <c r="BE9" s="3">
        <f>COUNTIFS(Tbl_Responses[Response6],$BA9,Tbl_Responses[[Resp_Group]:[Resp_Group]],Agronomist)</f>
        <v>9</v>
      </c>
      <c r="BF9" s="3">
        <f>COUNTIFS(Tbl_Responses[Response7],$BA9,Tbl_Responses[[Resp_Group]:[Resp_Group]],Agronomist)</f>
        <v>10</v>
      </c>
      <c r="BH9" t="s">
        <v>1459</v>
      </c>
      <c r="BI9" s="3">
        <f>COUNTIFS(Tbl_Responses[Source_1_ID],$BH9,Tbl_Responses[[Resp_Group]:[Resp_Group]],Agronomist)+COUNTIFS(Tbl_Responses[Source_2_ID],$BH9,Tbl_Responses[[Resp_Group]:[Resp_Group]],Agronomist)+COUNTIFS(Tbl_Responses[Source_3_ID],$BH9,Tbl_Responses[[Resp_Group]:[Resp_Group]],Agronomist)</f>
        <v>0</v>
      </c>
      <c r="BJ9" s="4">
        <f>Tbl_Q11[[#This Row],[Q11 Response]]/SUM(Tbl_Q11[Q11 Response])</f>
        <v>0</v>
      </c>
      <c r="BQ9" s="38" t="s">
        <v>175</v>
      </c>
      <c r="BR9" s="4">
        <f>COUNTIFS(Tbl_Responses[What % of your clients soil tested in 2018?],$BQ9,Tbl_Responses[[Resp_Group]:[Resp_Group]],Agronomist)/COUNTIFS(Tbl_Responses[What % of your clients soil tested in 2018?],"&gt;""",Tbl_Responses[[Resp_Group]:[Resp_Group]],Agronomist)</f>
        <v>0.33333333333333331</v>
      </c>
      <c r="BS9" s="4">
        <f>COUNTIFS(Tbl_Responses[What % of your clients tested for N in 2018?],$BQ9,Tbl_Responses[[Resp_Group]:[Resp_Group]],Agronomist)/COUNTIFS(Tbl_Responses[What % of your clients tested for N in 2018?],"&gt;""",Tbl_Responses[[Resp_Group]:[Resp_Group]],Agronomist)</f>
        <v>0.31578947368421051</v>
      </c>
      <c r="BT9" s="4">
        <f>COUNTIFS(Tbl_Responses[What % of your clients tested for N to at least 60cm in 2018?],$BQ9,Tbl_Responses[[Resp_Group]:[Resp_Group]],Agronomist)/COUNTIFS(Tbl_Responses[What % of your clients tested for N to at least 60cm in 2018?],"&gt;""",Tbl_Responses[[Resp_Group]:[Resp_Group]],Agronomist)</f>
        <v>0.26</v>
      </c>
      <c r="BU9" s="4">
        <f>COUNTIFS(Tbl_Responses[What % of your clients tested for P in 2018?],$BQ9,Tbl_Responses[[Resp_Group]:[Resp_Group]],Agronomist)/COUNTIFS(Tbl_Responses[What % of your clients tested for P in 2018?],"&gt;""",Tbl_Responses[[Resp_Group]:[Resp_Group]],Agronomist)</f>
        <v>0.25423728813559321</v>
      </c>
      <c r="CB9" s="49" t="s">
        <v>540</v>
      </c>
      <c r="CC9" s="62">
        <f>(COUNTIFS(Tbl_Responses[Nitrogen 1 - Type of test],Tbl_14_sampling[[#Headers],[Organic Carbon]],Tbl_Responses[Nitrogen 1 - How many representative samples per paddock],$CB9,Tbl_Responses[[Resp_Group]:[Resp_Group]],Agronomist)+COUNTIFS(Tbl_Responses[Nitrogen 2 - Type of test],Tbl_14_sampling[[#Headers],[Organic Carbon]],Tbl_Responses[Nitrogen 2 - How many representative samples per paddock],$CB9,Tbl_Responses[[Resp_Group]:[Resp_Group]],Agronomist)+COUNTIFS(Tbl_Responses[Nitrogen 3 - Type of test],Tbl_14_sampling[[#Headers],[Organic Carbon]],Tbl_Responses[Nitrogen 3 - How many representative samples per paddock],$CB9,Tbl_Responses[[Resp_Group]:[Resp_Group]],Agronomist))/(COUNTIFS(Tbl_Responses[Nitrogen 1 - Type of test],Tbl_14_sampling[[#Headers],[Organic Carbon]],Tbl_Responses[Nitrogen 1 - How many representative samples per paddock],"&gt;""",Tbl_Responses[[Resp_Group]:[Resp_Group]],Agronomist)+COUNTIFS(Tbl_Responses[Nitrogen 2 - Type of test],Tbl_14_sampling[[#Headers],[Organic Carbon]],Tbl_Responses[Nitrogen 2 - How many representative samples per paddock],"&gt;""",Tbl_Responses[[Resp_Group]:[Resp_Group]],Agronomist)+COUNTIFS(Tbl_Responses[Nitrogen 3 - Type of test],Tbl_14_sampling[[#Headers],[Organic Carbon]],Tbl_Responses[Nitrogen 3 - How many representative samples per paddock],"&gt;""",Tbl_Responses[[Resp_Group]:[Resp_Group]],Agronomist))</f>
        <v>0.12121212121212122</v>
      </c>
      <c r="CD9" s="62">
        <f>(COUNTIFS(Tbl_Responses[Nitrogen 1 - Type of test],Tbl_14_sampling[[#Headers],[Mineral N (Nitrate/Ammonium)]],Tbl_Responses[Nitrogen 1 - How many representative samples per paddock],$CB9,Tbl_Responses[[Resp_Group]:[Resp_Group]],Agronomist)+COUNTIFS(Tbl_Responses[Nitrogen 2 - Type of test],Tbl_14_sampling[[#Headers],[Mineral N (Nitrate/Ammonium)]],Tbl_Responses[Nitrogen 2 - How many representative samples per paddock],$CB9,Tbl_Responses[[Resp_Group]:[Resp_Group]],Agronomist)+COUNTIFS(Tbl_Responses[Nitrogen 3 - Type of test],Tbl_14_sampling[[#Headers],[Mineral N (Nitrate/Ammonium)]],Tbl_Responses[Nitrogen 3 - How many representative samples per paddock],$CB9,Tbl_Responses[[Resp_Group]:[Resp_Group]],Agronomist))/(COUNTIFS(Tbl_Responses[Nitrogen 1 - Type of test],Tbl_14_sampling[[#Headers],[Mineral N (Nitrate/Ammonium)]],Tbl_Responses[Nitrogen 1 - How many representative samples per paddock],"&gt;""",Tbl_Responses[[Resp_Group]:[Resp_Group]],Agronomist)+COUNTIFS(Tbl_Responses[Nitrogen 2 - Type of test],Tbl_14_sampling[[#Headers],[Mineral N (Nitrate/Ammonium)]],Tbl_Responses[Nitrogen 2 - How many representative samples per paddock],"&gt;""",Tbl_Responses[[Resp_Group]:[Resp_Group]],Agronomist)+COUNTIFS(Tbl_Responses[Nitrogen 3 - Type of test],Tbl_14_sampling[[#Headers],[Mineral N (Nitrate/Ammonium)]],Tbl_Responses[Nitrogen 3 - How many representative samples per paddock],"&gt;""",Tbl_Responses[[Resp_Group]:[Resp_Group]],Agronomist))</f>
        <v>0.10810810810810811</v>
      </c>
      <c r="CE9" s="62">
        <f>(COUNTIFS(Tbl_Responses[Nitrogen 1 - Type of test],Tbl_14_sampling[[#Headers],[Total N]],Tbl_Responses[Nitrogen 1 - How many representative samples per paddock],$CB9,Tbl_Responses[[Resp_Group]:[Resp_Group]],Agronomist)+COUNTIFS(Tbl_Responses[Nitrogen 2 - Type of test],Tbl_14_sampling[[#Headers],[Total N]],Tbl_Responses[Nitrogen 2 - How many representative samples per paddock],$CB9,Tbl_Responses[[Resp_Group]:[Resp_Group]],Agronomist)+COUNTIFS(Tbl_Responses[Nitrogen 3 - Type of test],Tbl_14_sampling[[#Headers],[Total N]],Tbl_Responses[Nitrogen 3 - How many representative samples per paddock],$CB9,Tbl_Responses[[Resp_Group]:[Resp_Group]],Agronomist))/(COUNTIFS(Tbl_Responses[Nitrogen 1 - Type of test],Tbl_14_sampling[[#Headers],[Total N]],Tbl_Responses[Nitrogen 1 - How many representative samples per paddock],"&gt;""",Tbl_Responses[[Resp_Group]:[Resp_Group]],Agronomist)+COUNTIFS(Tbl_Responses[Nitrogen 2 - Type of test],Tbl_14_sampling[[#Headers],[Total N]],Tbl_Responses[Nitrogen 2 - How many representative samples per paddock],"&gt;""",Tbl_Responses[[Resp_Group]:[Resp_Group]],Agronomist)+COUNTIFS(Tbl_Responses[Nitrogen 3 - Type of test],Tbl_14_sampling[[#Headers],[Total N]],Tbl_Responses[Nitrogen 3 - How many representative samples per paddock],"&gt;""",Tbl_Responses[[Resp_Group]:[Resp_Group]],Agronomist))</f>
        <v>0.16</v>
      </c>
      <c r="CF9" s="62">
        <f>(COUNTIFS(Tbl_Responses[Nitrogen 1 - How many representative samples per paddock],$CB9,Tbl_Responses[[Resp_Group]:[Resp_Group]],Agronomist)+COUNTIFS(Tbl_Responses[Nitrogen 2 - How many representative samples per paddock],$CB9,Tbl_Responses[[Resp_Group]:[Resp_Group]],Agronomist)+COUNTIFS(Tbl_Responses[Nitrogen 3 - How many representative samples per paddock],$CB9,Tbl_Responses[[Resp_Group]:[Resp_Group]],Agronomist))/(COUNTIFS(Tbl_Responses[Nitrogen 1 - How many representative samples per paddock],"&gt;""",Tbl_Responses[[Resp_Group]:[Resp_Group]],Agronomist)+COUNTIFS(Tbl_Responses[Nitrogen 2 - How many representative samples per paddock],"&gt;""",Tbl_Responses[[Resp_Group]:[Resp_Group]],Agronomist)+COUNTIFS(Tbl_Responses[Nitrogen 3 - How many representative samples per paddock],"&gt;""",Tbl_Responses[[Resp_Group]:[Resp_Group]],Agronomist))</f>
        <v>0.12631578947368421</v>
      </c>
      <c r="CG9" s="72"/>
      <c r="CH9" s="72"/>
      <c r="CI9" s="72"/>
      <c r="CJ9" s="72"/>
      <c r="CK9" s="72"/>
      <c r="CL9" s="72"/>
      <c r="CM9" s="56" t="s">
        <v>540</v>
      </c>
      <c r="CN9" s="67">
        <f>(COUNTIFS(Tbl_Responses[Phosphorus 1 - Type of test],Tbl_Q15_sampling[[#Headers],[Colwell P]],Tbl_Responses[Phosphorus 1 - How many representative samples per paddock],$CM9,Tbl_Responses[[Resp_Group]:[Resp_Group]],Agronomist)+COUNTIFS(Tbl_Responses[Phosphorus 2 - Type of test],Tbl_Q15_sampling[[#Headers],[Colwell P]],Tbl_Responses[Phosphorus 2 - How many representative samples per paddock],$CM9,Tbl_Responses[[Resp_Group]:[Resp_Group]],Agronomist)+COUNTIFS(Tbl_Responses[Phosphorus 3 - Type of test],Tbl_Q15_sampling[[#Headers],[Colwell P]],Tbl_Responses[Phosphorus 3 - How many representative samples per paddock],$CM9,Tbl_Responses[[Resp_Group]:[Resp_Group]],Agronomist)+COUNTIFS(Tbl_Responses[Phosphorus 4 - Type of test],Tbl_Q15_sampling[[#Headers],[Colwell P]],Tbl_Responses[Phosphorus 4 - How many representative samples per paddock],$CM9,Tbl_Responses[[Resp_Group]:[Resp_Group]],Agronomist)+COUNTIFS(Tbl_Responses[Phosphorus 5 - Type of test],Tbl_Q15_sampling[[#Headers],[Colwell P]],Tbl_Responses[Phosphorus 5 - How many representative samples per paddock],$CM9,Tbl_Responses[[Resp_Group]:[Resp_Group]],Agronomist))/(COUNTIFS(Tbl_Responses[Phosphorus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f>
        <v>8.5106382978723402E-2</v>
      </c>
      <c r="CO9" s="62">
        <f>(COUNTIFS(Tbl_Responses[Phosphorus 1 - Type of test],Tbl_Q15_sampling[[#Headers],[Olsen-Bray P]],Tbl_Responses[Phosphorus 1 - How many representative samples per paddock],$CM9,Tbl_Responses[[Resp_Group]:[Resp_Group]],Agronomist)+COUNTIFS(Tbl_Responses[Phosphorus 2 - Type of test],Tbl_Q15_sampling[[#Headers],[Olsen-Bray P]],Tbl_Responses[Phosphorus 2 - How many representative samples per paddock],$CM9,Tbl_Responses[[Resp_Group]:[Resp_Group]],Agronomist)+COUNTIFS(Tbl_Responses[Phosphorus 3 - Type of test],Tbl_Q15_sampling[[#Headers],[Olsen-Bray P]],Tbl_Responses[Phosphorus 3 - How many representative samples per paddock],$CM9,Tbl_Responses[[Resp_Group]:[Resp_Group]],Agronomist)+COUNTIFS(Tbl_Responses[Phosphorus 4 - Type of test],Tbl_Q15_sampling[[#Headers],[Olsen-Bray P]],Tbl_Responses[Phosphorus 4 - How many representative samples per paddock],$CM9,Tbl_Responses[[Resp_Group]:[Resp_Group]],Agronomist)+COUNTIFS(Tbl_Responses[Phosphorus 5 - Type of test],Tbl_Q15_sampling[[#Headers],[Olsen-Bray P]],Tbl_Responses[Phosphorus 5 - How many representative samples per paddock],$CM9,Tbl_Responses[[Resp_Group]:[Resp_Group]],Agronomist))/(COUNTIFS(Tbl_Responses[Phosphorus 1 - Type of test],Tbl_Q15_sampling[[#Headers],[Olsen-Bray P]],Tbl_Responses[Phosphorus 1 - How many representative samples per paddock],"&gt;""",Tbl_Responses[[Resp_Group]:[Resp_Group]],Agronomist)+COUNTIFS(Tbl_Responses[Phosphorus 2 - Type of test],Tbl_Q15_sampling[[#Headers],[Olsen-Bray P]],Tbl_Responses[Phosphorus 2 - How many representative samples per paddock],"&gt;""",Tbl_Responses[[Resp_Group]:[Resp_Group]],Agronomist)+COUNTIFS(Tbl_Responses[Phosphorus 3 - Type of test],Tbl_Q15_sampling[[#Headers],[Olsen-Bray P]],Tbl_Responses[Phosphorus 3 - How many representative samples per paddock],"&gt;""",Tbl_Responses[[Resp_Group]:[Resp_Group]],Agronomist)+COUNTIFS(Tbl_Responses[Phosphorus 4 - Type of test],Tbl_Q15_sampling[[#Headers],[Olsen-Bray P]],Tbl_Responses[Phosphorus 4 - How many representative samples per paddock],"&gt;""",Tbl_Responses[[Resp_Group]:[Resp_Group]],Agronomist)+COUNTIFS(Tbl_Responses[Phosphorus 5 - Type of test],Tbl_Q15_sampling[[#Headers],[Olsen-Bray P]],Tbl_Responses[Phosphorus 5 - How many representative samples per paddock],"&gt;""",Tbl_Responses[[Resp_Group]:[Resp_Group]],Agronomist))</f>
        <v>0</v>
      </c>
      <c r="CP9" s="62">
        <f>(COUNTIFS(Tbl_Responses[Phosphorus 1 - Type of test],Tbl_Q15_sampling[[#Headers],[PBI (Phosphorus Buffering Index)]],Tbl_Responses[Phosphorus 1 - How many representative samples per paddock],$CM9,Tbl_Responses[[Resp_Group]:[Resp_Group]],Agronomist)+COUNTIFS(Tbl_Responses[Phosphorus 2 - Type of test],Tbl_Q15_sampling[[#Headers],[PBI (Phosphorus Buffering Index)]],Tbl_Responses[Phosphorus 2 - How many representative samples per paddock],$CM9,Tbl_Responses[[Resp_Group]:[Resp_Group]],Agronomist)+COUNTIFS(Tbl_Responses[Phosphorus 3 - Type of test],Tbl_Q15_sampling[[#Headers],[PBI (Phosphorus Buffering Index)]],Tbl_Responses[Phosphorus 3 - How many representative samples per paddock],$CM9,Tbl_Responses[[Resp_Group]:[Resp_Group]],Agronomist)+COUNTIFS(Tbl_Responses[Phosphorus 4 - Type of test],Tbl_Q15_sampling[[#Headers],[PBI (Phosphorus Buffering Index)]],Tbl_Responses[Phosphorus 4 - How many representative samples per paddock],$CM9,Tbl_Responses[[Resp_Group]:[Resp_Group]],Agronomist)+COUNTIFS(Tbl_Responses[Phosphorus 5 - Type of test],Tbl_Q15_sampling[[#Headers],[PBI (Phosphorus Buffering Index)]],Tbl_Responses[Phosphorus 5 - How many representative samples per paddock],$CM9,Tbl_Responses[[Resp_Group]:[Resp_Group]],Agronomist))/(COUNTIFS(Tbl_Responses[Phosphorus 1 - Type of test],Tbl_Q15_sampling[[#Headers],[PBI (Phosphorus Buffering Index)]],Tbl_Responses[Phosphorus 1 - How many representative samples per paddock],"&gt;""",Tbl_Responses[[Resp_Group]:[Resp_Group]],Agronomist)+COUNTIFS(Tbl_Responses[Phosphorus 2 - Type of test],Tbl_Q15_sampling[[#Headers],[PBI (Phosphorus Buffering Index)]],Tbl_Responses[Phosphorus 2 - How many representative samples per paddock],"&gt;""",Tbl_Responses[[Resp_Group]:[Resp_Group]],Agronomist)+COUNTIFS(Tbl_Responses[Phosphorus 3 - Type of test],Tbl_Q15_sampling[[#Headers],[PBI (Phosphorus Buffering Index)]],Tbl_Responses[Phosphorus 3 - How many representative samples per paddock],"&gt;""",Tbl_Responses[[Resp_Group]:[Resp_Group]],Agronomist)+COUNTIFS(Tbl_Responses[Phosphorus 4 - Type of test],Tbl_Q15_sampling[[#Headers],[PBI (Phosphorus Buffering Index)]],Tbl_Responses[Phosphorus 4 - How many representative samples per paddock],"&gt;""",Tbl_Responses[[Resp_Group]:[Resp_Group]],Agronomist)+COUNTIFS(Tbl_Responses[Phosphorus 5 - Type of test],Tbl_Q15_sampling[[#Headers],[PBI (Phosphorus Buffering Index)]],Tbl_Responses[Phosphorus 5 - How many representative samples per paddock],"&gt;""",Tbl_Responses[[Resp_Group]:[Resp_Group]],Agronomist))</f>
        <v>0.12903225806451613</v>
      </c>
      <c r="CQ9" s="62">
        <f>(COUNTIFS(Tbl_Responses[Phosphorus 1 - Type of test],Tbl_Q15_sampling[[#Headers],[DGT]],Tbl_Responses[Phosphorus 1 - How many representative samples per paddock],$CM9,Tbl_Responses[[Resp_Group]:[Resp_Group]],Agronomist)+COUNTIFS(Tbl_Responses[Phosphorus 2 - Type of test],Tbl_Q15_sampling[[#Headers],[DGT]],Tbl_Responses[Phosphorus 2 - How many representative samples per paddock],$CM9,Tbl_Responses[[Resp_Group]:[Resp_Group]],Agronomist)+COUNTIFS(Tbl_Responses[Phosphorus 3 - Type of test],Tbl_Q15_sampling[[#Headers],[DGT]],Tbl_Responses[Phosphorus 3 - How many representative samples per paddock],$CM9,Tbl_Responses[[Resp_Group]:[Resp_Group]],Agronomist)+COUNTIFS(Tbl_Responses[Phosphorus 4 - Type of test],Tbl_Q15_sampling[[#Headers],[DGT]],Tbl_Responses[Phosphorus 4 - How many representative samples per paddock],$CM9,Tbl_Responses[[Resp_Group]:[Resp_Group]],Agronomist)+COUNTIFS(Tbl_Responses[Phosphorus 5 - Type of test],Tbl_Q15_sampling[[#Headers],[DGT]],Tbl_Responses[Phosphorus 5 - How many representative samples per paddock],$CM9,Tbl_Responses[[Resp_Group]:[Resp_Group]],Agronomist))/(COUNTIFS(Tbl_Responses[Phosphorus 1 - Type of test],Tbl_Q15_sampling[[#Headers],[DGT]],Tbl_Responses[Phosphorus 1 - How many representative samples per paddock],"&gt;""",Tbl_Responses[[Resp_Group]:[Resp_Group]],Agronomist)+COUNTIFS(Tbl_Responses[Phosphorus 2 - Type of test],Tbl_Q15_sampling[[#Headers],[DGT]],Tbl_Responses[Phosphorus 2 - How many representative samples per paddock],"&gt;""",Tbl_Responses[[Resp_Group]:[Resp_Group]],Agronomist)+COUNTIFS(Tbl_Responses[Phosphorus 3 - Type of test],Tbl_Q15_sampling[[#Headers],[DGT]],Tbl_Responses[Phosphorus 3 - How many representative samples per paddock],"&gt;""",Tbl_Responses[[Resp_Group]:[Resp_Group]],Agronomist)+COUNTIFS(Tbl_Responses[Phosphorus 4 - Type of test],Tbl_Q15_sampling[[#Headers],[DGT]],Tbl_Responses[Phosphorus 4 - How many representative samples per paddock],"&gt;""",Tbl_Responses[[Resp_Group]:[Resp_Group]],Agronomist)+COUNTIFS(Tbl_Responses[Phosphorus 5 - Type of test],Tbl_Q15_sampling[[#Headers],[DGT]],Tbl_Responses[Phosphorus 5 - How many representative samples per paddock],"&gt;""",Tbl_Responses[[Resp_Group]:[Resp_Group]],Agronomist))</f>
        <v>8.3333333333333329E-2</v>
      </c>
      <c r="CR9" s="62">
        <f>(COUNTIFS(Tbl_Responses[Phosphorus 1 - Type of test],Tbl_Q15_sampling[[#Headers],[Total P]],Tbl_Responses[Phosphorus 1 - How many representative samples per paddock],$CM9,Tbl_Responses[[Resp_Group]:[Resp_Group]],Agronomist)+COUNTIFS(Tbl_Responses[Phosphorus 2 - Type of test],Tbl_Q15_sampling[[#Headers],[Total P]],Tbl_Responses[Phosphorus 2 - How many representative samples per paddock],$CM9,Tbl_Responses[[Resp_Group]:[Resp_Group]],Agronomist)+COUNTIFS(Tbl_Responses[Phosphorus 3 - Type of test],Tbl_Q15_sampling[[#Headers],[Total P]],Tbl_Responses[Phosphorus 3 - How many representative samples per paddock],$CM9,Tbl_Responses[[Resp_Group]:[Resp_Group]],Agronomist)+COUNTIFS(Tbl_Responses[Phosphorus 4 - Type of test],Tbl_Q15_sampling[[#Headers],[Total P]],Tbl_Responses[Phosphorus 4 - How many representative samples per paddock],$CM9,Tbl_Responses[[Resp_Group]:[Resp_Group]],Agronomist)+COUNTIFS(Tbl_Responses[Phosphorus 5 - Type of test],Tbl_Q15_sampling[[#Headers],[Total P]],Tbl_Responses[Phosphorus 5 - How many representative samples per paddock],$CM9,Tbl_Responses[[Resp_Group]:[Resp_Group]],Agronomist))/(COUNTIFS(Tbl_Responses[Phosphorus 1 - Type of test],Tbl_Q15_sampling[[#Headers],[Total P]],Tbl_Responses[Phosphorus 1 - How many representative samples per paddock],"&gt;""",Tbl_Responses[[Resp_Group]:[Resp_Group]],Agronomist)+COUNTIFS(Tbl_Responses[Phosphorus 2 - Type of test],Tbl_Q15_sampling[[#Headers],[Total P]],Tbl_Responses[Phosphorus 2 - How many representative samples per paddock],"&gt;""",Tbl_Responses[[Resp_Group]:[Resp_Group]],Agronomist)+COUNTIFS(Tbl_Responses[Phosphorus 3 - Type of test],Tbl_Q15_sampling[[#Headers],[Total P]],Tbl_Responses[Phosphorus 3 - How many representative samples per paddock],"&gt;""",Tbl_Responses[[Resp_Group]:[Resp_Group]],Agronomist)+COUNTIFS(Tbl_Responses[Phosphorus 4 - Type of test],Tbl_Q15_sampling[[#Headers],[Total P]],Tbl_Responses[Phosphorus 4 - How many representative samples per paddock],"&gt;""",Tbl_Responses[[Resp_Group]:[Resp_Group]],Agronomist)+COUNTIFS(Tbl_Responses[Phosphorus 5 - Type of test],Tbl_Q15_sampling[[#Headers],[Total P]],Tbl_Responses[Phosphorus 5 - How many representative samples per paddock],"&gt;""",Tbl_Responses[[Resp_Group]:[Resp_Group]],Agronomist))</f>
        <v>0</v>
      </c>
      <c r="CS9" s="82">
        <f>(COUNTIFS(Tbl_Responses[Phosphorus 1 - How many representative samples per paddock],$CM9,Tbl_Responses[[Resp_Group]:[Resp_Group]],Agronomist)+COUNTIFS(Tbl_Responses[Phosphorus 2 - How many representative samples per paddock],$CM9,Tbl_Responses[[Resp_Group]:[Resp_Group]],Agronomist)+COUNTIFS(Tbl_Responses[Phosphorus 3 - How many representative samples per paddock],$CM9,Tbl_Responses[[Resp_Group]:[Resp_Group]],Agronomist)+COUNTIFS(Tbl_Responses[Phosphorus 4 - How many representative samples per paddock],$CM9,Tbl_Responses[[Resp_Group]:[Resp_Group]],Agronomist)+COUNTIFS(Tbl_Responses[Phosphorus 5 - How many representative samples per paddock],$CM9,Tbl_Responses[[Resp_Group]:[Resp_Group]],Agronomist))/(COUNTIFS(Tbl_Responses[Phosphorus 1 - How many representative samples per paddock],"&gt;""",Tbl_Responses[[Resp_Group]:[Resp_Group]],Agronomist)+COUNTIFS(Tbl_Responses[Phosphorus 2 - How many representative samples per paddock],"&gt;""",Tbl_Responses[[Resp_Group]:[Resp_Group]],Agronomist)+COUNTIFS(Tbl_Responses[Phosphorus 3 - How many representative samples per paddock],"&gt;""",Tbl_Responses[[Resp_Group]:[Resp_Group]],Agronomist)+COUNTIFS(Tbl_Responses[Phosphorus 4 - How many representative samples per paddock],"&gt;""",Tbl_Responses[[Resp_Group]:[Resp_Group]],Agronomist)+COUNTIFS(Tbl_Responses[Phosphorus 5 - How many representative samples per paddock],"&gt;""",Tbl_Responses[[Resp_Group]:[Resp_Group]],Agronomist))</f>
        <v>8.5470085470085472E-2</v>
      </c>
      <c r="CT9" s="72"/>
      <c r="CU9" s="72"/>
      <c r="CV9" s="72"/>
      <c r="CW9" s="72"/>
      <c r="CX9" s="72"/>
      <c r="CY9" s="72"/>
      <c r="CZ9" s="56" t="s">
        <v>540</v>
      </c>
      <c r="DA9" s="67">
        <f>(COUNTIFS(Tbl_Responses[Potassium 1 - Type of test],Tbl_Q16_sampling[[#Headers],[Colwell K]],Tbl_Responses[Potassium 1 - How many representative samples per paddock],$CZ9,Tbl_Responses[[Resp_Group]:[Resp_Group]],Agronomist)+COUNTIFS(Tbl_Responses[Potassium 2 - Type of test],Tbl_Q16_sampling[[#Headers],[Colwell K]],Tbl_Responses[Potassium 2 - How many representative samples per paddock],$CZ9,Tbl_Responses[[Resp_Group]:[Resp_Group]],Agronomist)+COUNTIFS(Tbl_Responses[Potassium 3 - Type of test],Tbl_Q16_sampling[[#Headers],[Colwell K]],Tbl_Responses[Potassium 3 - How many representative samples per paddock],$CZ9,Tbl_Responses[[Resp_Group]:[Resp_Group]],Agronomist))/(COUNTIFS(Tbl_Responses[Potassium 1 - Type of test],Tbl_Q16_sampling[[#Headers],[Colwell K]],Tbl_Responses[Potassium 1 - How many representative samples per paddock],"&gt;""",Tbl_Responses[[Resp_Group]:[Resp_Group]],Agronomist)+COUNTIFS(Tbl_Responses[Potassium 2 - Type of test],Tbl_Q16_sampling[[#Headers],[Colwell K]],Tbl_Responses[Potassium 2 - How many representative samples per paddock],"&gt;""",Tbl_Responses[[Resp_Group]:[Resp_Group]],Agronomist)+COUNTIFS(Tbl_Responses[Potassium 3 - Type of test],Tbl_Q16_sampling[[#Headers],[Colwell K]],Tbl_Responses[Potassium 3 - How many representative samples per paddock],"&gt;""",Tbl_Responses[[Resp_Group]:[Resp_Group]],Agronomist))</f>
        <v>9.6774193548387094E-2</v>
      </c>
      <c r="DB9" s="62">
        <f>(COUNTIFS(Tbl_Responses[Potassium 1 - Type of test],Tbl_Q16_sampling[[#Headers],[Exchangable Cations (Ca, Mg, K, Na)]],Tbl_Responses[Potassium 1 - How many representative samples per paddock],$CZ9,Tbl_Responses[[Resp_Group]:[Resp_Group]],Agronomist)+COUNTIFS(Tbl_Responses[Potassium 2 - Type of test],Tbl_Q16_sampling[[#Headers],[Exchangable Cations (Ca, Mg, K, Na)]],Tbl_Responses[Potassium 2 - How many representative samples per paddock],$CZ9,Tbl_Responses[[Resp_Group]:[Resp_Group]],Agronomist)+COUNTIFS(Tbl_Responses[Potassium 3 - Type of test],Tbl_Q16_sampling[[#Headers],[Exchangable Cations (Ca, Mg, K, Na)]],Tbl_Responses[Potassium 3 - How many representative samples per paddock],$CZ9,Tbl_Responses[[Resp_Group]:[Resp_Group]],Agronomist))/(COUNTIFS(Tbl_Responses[Potassium 1 - Type of test],Tbl_Q16_sampling[[#Headers],[Exchangable Cations (Ca, Mg, K, Na)]],Tbl_Responses[Potassium 1 - How many representative samples per paddock],"&gt;""",Tbl_Responses[[Resp_Group]:[Resp_Group]],Agronomist)+COUNTIFS(Tbl_Responses[Potassium 2 - Type of test],Tbl_Q16_sampling[[#Headers],[Exchangable Cations (Ca, Mg, K, Na)]],Tbl_Responses[Potassium 2 - How many representative samples per paddock],"&gt;""",Tbl_Responses[[Resp_Group]:[Resp_Group]],Agronomist)+COUNTIFS(Tbl_Responses[Potassium 3 - Type of test],Tbl_Q16_sampling[[#Headers],[Exchangable Cations (Ca, Mg, K, Na)]],Tbl_Responses[Potassium 3 - How many representative samples per paddock],"&gt;""",Tbl_Responses[[Resp_Group]:[Resp_Group]],Agronomist))</f>
        <v>0.13636363636363635</v>
      </c>
      <c r="DC9" s="70">
        <f>(COUNTIFS(Tbl_Responses[Potassium 1 - How many representative samples per paddock],$CZ9,Tbl_Responses[[Resp_Group]:[Resp_Group]],Agronomist)+COUNTIFS(Tbl_Responses[Potassium 2 - How many representative samples per paddock],$CZ9,Tbl_Responses[[Resp_Group]:[Resp_Group]],Agronomist)+COUNTIFS(Tbl_Responses[Potassium 3 - How many representative samples per paddock],$CZ9,Tbl_Responses[[Resp_Group]:[Resp_Group]],Agronomist))/(COUNTIFS(Tbl_Responses[Potassium 1 - How many representative samples per paddock],"&gt;""",Tbl_Responses[[Resp_Group]:[Resp_Group]],Agronomist)+COUNTIFS(Tbl_Responses[Potassium 2 - How many representative samples per paddock],"&gt;""",Tbl_Responses[[Resp_Group]:[Resp_Group]],Agronomist)+COUNTIFS(Tbl_Responses[Potassium 3 - How many representative samples per paddock],"&gt;""",Tbl_Responses[[Resp_Group]:[Resp_Group]],Agronomist))</f>
        <v>0.11320754716981132</v>
      </c>
      <c r="DD9" s="72"/>
      <c r="DE9" s="72"/>
      <c r="DF9" s="80" t="s">
        <v>188</v>
      </c>
      <c r="DG9" s="72">
        <f>(COUNTIFS(Tbl_Responses[1 - Type of test],DF9,Tbl_Responses[[Resp_Group]:[Resp_Group]],Agronomist)+COUNTIFS(Tbl_Responses[2 - Type of test],DF9,Tbl_Responses[[Resp_Group]:[Resp_Group]],Agronomist)+COUNTIFS(Tbl_Responses[3 - Type of test],DF9,Tbl_Responses[[Resp_Group]:[Resp_Group]],Agronomist)+COUNTIFS(Tbl_Responses[4 - Type of test],DF9,Tbl_Responses[[Resp_Group]:[Resp_Group]],Agronomist)+COUNTIFS(Tbl_Responses[5 - Type of test],DF9,Tbl_Responses[[Resp_Group]:[Resp_Group]],Agronomist))/(COUNTIFS(Tbl_Responses[1 -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f>
        <v>0.13537117903930132</v>
      </c>
      <c r="DH9" s="72"/>
      <c r="DI9" s="72"/>
      <c r="DJ9" s="56" t="s">
        <v>540</v>
      </c>
      <c r="DK9" s="67">
        <f>(COUNTIFS(Tbl_Responses[1 - Type of test],Tbl_Q17_sampling[[#Headers],[pH]],Tbl_Responses[1 - How many cores per paddock],$DJ9,Tbl_Responses[[Resp_Group]:[Resp_Group]],Agronomist)+COUNTIFS(Tbl_Responses[2 - Type of test],Tbl_Q17_sampling[[#Headers],[pH]],Tbl_Responses[2 - How many cores per paddock],$DJ9,Tbl_Responses[[Resp_Group]:[Resp_Group]],Agronomist)+COUNTIFS(Tbl_Responses[3 - Type of test],Tbl_Q17_sampling[[#Headers],[pH]],Tbl_Responses[3 - How many cores per paddock],$DJ9,Tbl_Responses[[Resp_Group]:[Resp_Group]],Agronomist)+COUNTIFS(Tbl_Responses[4 - Type of test],Tbl_Q17_sampling[[#Headers],[pH]],Tbl_Responses[4 - How many cores per paddock],$DJ9,Tbl_Responses[[Resp_Group]:[Resp_Group]],Agronomist)+COUNTIFS(Tbl_Responses[5 - Type of test],Tbl_Q17_sampling[[#Headers],[pH]],Tbl_Responses[5 - How many cores per paddock],$DJ9,Tbl_Responses[[Resp_Group]:[Resp_Group]],Agronomist)+COUNTIFS(Tbl_Responses[6 - Type of test],Tbl_Q17_sampling[[#Headers],[pH]],Tbl_Responses[6 - How many cores per paddock],$DJ9,Tbl_Responses[[Resp_Group]:[Resp_Group]],Agronomist)+COUNTIFS(Tbl_Responses[7 - Type of test],Tbl_Q17_sampling[[#Headers],[pH]],Tbl_Responses[7 - How many cores per paddock],$DJ9,Tbl_Responses[[Resp_Group]:[Resp_Group]],Agronomist)+COUNTIFS(Tbl_Responses[8 - Type of test],Tbl_Q17_sampling[[#Headers],[pH]],Tbl_Responses[8 - How many cores per paddock],$DJ9,Tbl_Responses[[Resp_Group]:[Resp_Group]],Agronomist))/(COUNTIFS(Tbl_Responses[1 -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f>
        <v>2.7027027027027029E-2</v>
      </c>
      <c r="DL9" s="62">
        <f>(COUNTIFS(Tbl_Responses[1 - Type of test],Tbl_Q17_sampling[[#Headers],[Trace elements (DTPA) Cu, Zn, Mg, Fe]],Tbl_Responses[1 - How many cores per paddock],$DJ9,Tbl_Responses[[Resp_Group]:[Resp_Group]],Agronomist)+COUNTIFS(Tbl_Responses[2 - Type of test],Tbl_Q17_sampling[[#Headers],[Trace elements (DTPA) Cu, Zn, Mg, Fe]],Tbl_Responses[2 - How many cores per paddock],$DJ9,Tbl_Responses[[Resp_Group]:[Resp_Group]],Agronomist)+COUNTIFS(Tbl_Responses[3 - Type of test],Tbl_Q17_sampling[[#Headers],[Trace elements (DTPA) Cu, Zn, Mg, Fe]],Tbl_Responses[3 - How many cores per paddock],$DJ9,Tbl_Responses[[Resp_Group]:[Resp_Group]],Agronomist)+COUNTIFS(Tbl_Responses[4 - Type of test],Tbl_Q17_sampling[[#Headers],[Trace elements (DTPA) Cu, Zn, Mg, Fe]],Tbl_Responses[4 - How many cores per paddock],$DJ9,Tbl_Responses[[Resp_Group]:[Resp_Group]],Agronomist)+COUNTIFS(Tbl_Responses[5 - Type of test],Tbl_Q17_sampling[[#Headers],[Trace elements (DTPA) Cu, Zn, Mg, Fe]],Tbl_Responses[5 - How many cores per paddock],$DJ9,Tbl_Responses[[Resp_Group]:[Resp_Group]],Agronomist)+COUNTIFS(Tbl_Responses[6 - Type of test],Tbl_Q17_sampling[[#Headers],[Trace elements (DTPA) Cu, Zn, Mg, Fe]],Tbl_Responses[6 - How many cores per paddock],$DJ9,Tbl_Responses[[Resp_Group]:[Resp_Group]],Agronomist)+COUNTIFS(Tbl_Responses[7 - Type of test],Tbl_Q17_sampling[[#Headers],[Trace elements (DTPA) Cu, Zn, Mg, Fe]],Tbl_Responses[7 - How many cores per paddock],$DJ9,Tbl_Responses[[Resp_Group]:[Resp_Group]],Agronomist)+COUNTIFS(Tbl_Responses[8 - Type of test],Tbl_Q17_sampling[[#Headers],[Trace elements (DTPA) Cu, Zn, Mg, Fe]],Tbl_Responses[8 - How many cores per paddock],$DJ9,Tbl_Responses[[Resp_Group]:[Resp_Group]],Agronomist))/(COUNTIFS(Tbl_Responses[1 - Type of test],Tbl_Q17_sampling[[#Headers],[Trace elements (DTPA) Cu, Zn, Mg, Fe]],Tbl_Responses[1 - How many cores per paddock],"&gt;""",Tbl_Responses[[Resp_Group]:[Resp_Group]],Agronomist)+COUNTIFS(Tbl_Responses[2 - Type of test],Tbl_Q17_sampling[[#Headers],[Trace elements (DTPA) Cu, Zn, Mg, Fe]],Tbl_Responses[2 - How many cores per paddock],"&gt;""",Tbl_Responses[[Resp_Group]:[Resp_Group]],Agronomist)+COUNTIFS(Tbl_Responses[3 - Type of test],Tbl_Q17_sampling[[#Headers],[Trace elements (DTPA) Cu, Zn, Mg, Fe]],Tbl_Responses[3 - How many cores per paddock],"&gt;""",Tbl_Responses[[Resp_Group]:[Resp_Group]],Agronomist)+COUNTIFS(Tbl_Responses[4 - Type of test],Tbl_Q17_sampling[[#Headers],[Trace elements (DTPA) Cu, Zn, Mg, Fe]],Tbl_Responses[4 - How many cores per paddock],"&gt;""",Tbl_Responses[[Resp_Group]:[Resp_Group]],Agronomist)+COUNTIFS(Tbl_Responses[5 - Type of test],Tbl_Q17_sampling[[#Headers],[Trace elements (DTPA) Cu, Zn, Mg, Fe]],Tbl_Responses[5 - How many cores per paddock],"&gt;""",Tbl_Responses[[Resp_Group]:[Resp_Group]],Agronomist)+COUNTIFS(Tbl_Responses[6 - Type of test],Tbl_Q17_sampling[[#Headers],[Trace elements (DTPA) Cu, Zn, Mg, Fe]],Tbl_Responses[6 - How many cores per paddock],"&gt;""",Tbl_Responses[[Resp_Group]:[Resp_Group]],Agronomist)+COUNTIFS(Tbl_Responses[7 - Type of test],Tbl_Q17_sampling[[#Headers],[Trace elements (DTPA) Cu, Zn, Mg, Fe]],Tbl_Responses[7 - How many cores per paddock],"&gt;""",Tbl_Responses[[Resp_Group]:[Resp_Group]],Agronomist)+COUNTIFS(Tbl_Responses[8 - Type of test],Tbl_Q17_sampling[[#Headers],[Trace elements (DTPA) Cu, Zn, Mg, Fe]],Tbl_Responses[8 - How many cores per paddock],"&gt;""",Tbl_Responses[[Resp_Group]:[Resp_Group]],Agronomist))</f>
        <v>5.5555555555555552E-2</v>
      </c>
      <c r="DM9" s="62">
        <f>(COUNTIFS(Tbl_Responses[1 - Type of test],Tbl_Q17_sampling[[#Headers],[Trace elements (EDTA) Cu, Zn, Mg, Fe]],Tbl_Responses[1 - How many cores per paddock],$DJ9,Tbl_Responses[[Resp_Group]:[Resp_Group]],Agronomist)+COUNTIFS(Tbl_Responses[2 - Type of test],Tbl_Q17_sampling[[#Headers],[Trace elements (EDTA) Cu, Zn, Mg, Fe]],Tbl_Responses[2 - How many cores per paddock],$DJ9,Tbl_Responses[[Resp_Group]:[Resp_Group]],Agronomist)+COUNTIFS(Tbl_Responses[3 - Type of test],Tbl_Q17_sampling[[#Headers],[Trace elements (EDTA) Cu, Zn, Mg, Fe]],Tbl_Responses[3 - How many cores per paddock],$DJ9,Tbl_Responses[[Resp_Group]:[Resp_Group]],Agronomist)+COUNTIFS(Tbl_Responses[4 - Type of test],Tbl_Q17_sampling[[#Headers],[Trace elements (EDTA) Cu, Zn, Mg, Fe]],Tbl_Responses[4 - How many cores per paddock],$DJ9,Tbl_Responses[[Resp_Group]:[Resp_Group]],Agronomist)+COUNTIFS(Tbl_Responses[5 - Type of test],Tbl_Q17_sampling[[#Headers],[Trace elements (EDTA) Cu, Zn, Mg, Fe]],Tbl_Responses[5 - How many cores per paddock],$DJ9,Tbl_Responses[[Resp_Group]:[Resp_Group]],Agronomist)+COUNTIFS(Tbl_Responses[6 - Type of test],Tbl_Q17_sampling[[#Headers],[Trace elements (EDTA) Cu, Zn, Mg, Fe]],Tbl_Responses[6 - How many cores per paddock],$DJ9,Tbl_Responses[[Resp_Group]:[Resp_Group]],Agronomist)+COUNTIFS(Tbl_Responses[7 - Type of test],Tbl_Q17_sampling[[#Headers],[Trace elements (EDTA) Cu, Zn, Mg, Fe]],Tbl_Responses[7 - How many cores per paddock],$DJ9,Tbl_Responses[[Resp_Group]:[Resp_Group]],Agronomist)+COUNTIFS(Tbl_Responses[8 - Type of test],Tbl_Q17_sampling[[#Headers],[Trace elements (EDTA) Cu, Zn, Mg, Fe]],Tbl_Responses[8 - How many cores per paddock],$DJ9,Tbl_Responses[[Resp_Group]:[Resp_Group]],Agronomist))/(COUNTIFS(Tbl_Responses[1 - Type of test],Tbl_Q17_sampling[[#Headers],[Trace elements (EDTA) Cu, Zn, Mg, Fe]],Tbl_Responses[1 - How many cores per paddock],"&gt;""",Tbl_Responses[[Resp_Group]:[Resp_Group]],Agronomist)+COUNTIFS(Tbl_Responses[2 - Type of test],Tbl_Q17_sampling[[#Headers],[Trace elements (EDTA) Cu, Zn, Mg, Fe]],Tbl_Responses[2 - How many cores per paddock],"&gt;""",Tbl_Responses[[Resp_Group]:[Resp_Group]],Agronomist)+COUNTIFS(Tbl_Responses[3 - Type of test],Tbl_Q17_sampling[[#Headers],[Trace elements (EDTA) Cu, Zn, Mg, Fe]],Tbl_Responses[3 - How many cores per paddock],"&gt;""",Tbl_Responses[[Resp_Group]:[Resp_Group]],Agronomist)+COUNTIFS(Tbl_Responses[4 - Type of test],Tbl_Q17_sampling[[#Headers],[Trace elements (EDTA) Cu, Zn, Mg, Fe]],Tbl_Responses[4 - How many cores per paddock],"&gt;""",Tbl_Responses[[Resp_Group]:[Resp_Group]],Agronomist)+COUNTIFS(Tbl_Responses[5 - Type of test],Tbl_Q17_sampling[[#Headers],[Trace elements (EDTA) Cu, Zn, Mg, Fe]],Tbl_Responses[5 - How many cores per paddock],"&gt;""",Tbl_Responses[[Resp_Group]:[Resp_Group]],Agronomist)+COUNTIFS(Tbl_Responses[6 - Type of test],Tbl_Q17_sampling[[#Headers],[Trace elements (EDTA) Cu, Zn, Mg, Fe]],Tbl_Responses[6 - How many cores per paddock],"&gt;""",Tbl_Responses[[Resp_Group]:[Resp_Group]],Agronomist)+COUNTIFS(Tbl_Responses[7 - Type of test],Tbl_Q17_sampling[[#Headers],[Trace elements (EDTA) Cu, Zn, Mg, Fe]],Tbl_Responses[7 - How many cores per paddock],"&gt;""",Tbl_Responses[[Resp_Group]:[Resp_Group]],Agronomist)+COUNTIFS(Tbl_Responses[8 - Type of test],Tbl_Q17_sampling[[#Headers],[Trace elements (EDTA) Cu, Zn, Mg, Fe]],Tbl_Responses[8 - How many cores per paddock],"&gt;""",Tbl_Responses[[Resp_Group]:[Resp_Group]],Agronomist))</f>
        <v>0</v>
      </c>
      <c r="DN9" s="62">
        <f>(COUNTIFS(Tbl_Responses[1 - Type of test],Tbl_Q17_sampling[[#Headers],[Exchangable cations - Ca, Mg, Na, K]],Tbl_Responses[1 - How many cores per paddock],$DJ9,Tbl_Responses[[Resp_Group]:[Resp_Group]],Agronomist)+COUNTIFS(Tbl_Responses[2 - Type of test],Tbl_Q17_sampling[[#Headers],[Exchangable cations - Ca, Mg, Na, K]],Tbl_Responses[2 - How many cores per paddock],$DJ9,Tbl_Responses[[Resp_Group]:[Resp_Group]],Agronomist)+COUNTIFS(Tbl_Responses[3 - Type of test],Tbl_Q17_sampling[[#Headers],[Exchangable cations - Ca, Mg, Na, K]],Tbl_Responses[3 - How many cores per paddock],$DJ9,Tbl_Responses[[Resp_Group]:[Resp_Group]],Agronomist)+COUNTIFS(Tbl_Responses[4 - Type of test],Tbl_Q17_sampling[[#Headers],[Exchangable cations - Ca, Mg, Na, K]],Tbl_Responses[4 - How many cores per paddock],$DJ9,Tbl_Responses[[Resp_Group]:[Resp_Group]],Agronomist)+COUNTIFS(Tbl_Responses[5 - Type of test],Tbl_Q17_sampling[[#Headers],[Exchangable cations - Ca, Mg, Na, K]],Tbl_Responses[5 - How many cores per paddock],$DJ9,Tbl_Responses[[Resp_Group]:[Resp_Group]],Agronomist)+COUNTIFS(Tbl_Responses[6 - Type of test],Tbl_Q17_sampling[[#Headers],[Exchangable cations - Ca, Mg, Na, K]],Tbl_Responses[6 - How many cores per paddock],$DJ9,Tbl_Responses[[Resp_Group]:[Resp_Group]],Agronomist)+COUNTIFS(Tbl_Responses[7 - Type of test],Tbl_Q17_sampling[[#Headers],[Exchangable cations - Ca, Mg, Na, K]],Tbl_Responses[7 - How many cores per paddock],$DJ9,Tbl_Responses[[Resp_Group]:[Resp_Group]],Agronomist)+COUNTIFS(Tbl_Responses[8 - Type of test],Tbl_Q17_sampling[[#Headers],[Exchangable cations - Ca, Mg, Na, K]],Tbl_Responses[8 - How many cores per paddock],$DJ9,Tbl_Responses[[Resp_Group]:[Resp_Group]],Agronomist))/(COUNTIFS(Tbl_Responses[1 - Type of test],Tbl_Q17_sampling[[#Headers],[Exchangable cations - Ca, Mg, Na, K]],Tbl_Responses[1 - How many cores per paddock],"&gt;""",Tbl_Responses[[Resp_Group]:[Resp_Group]],Agronomist)+COUNTIFS(Tbl_Responses[2 - Type of test],Tbl_Q17_sampling[[#Headers],[Exchangable cations - Ca, Mg, Na, K]],Tbl_Responses[2 - How many cores per paddock],"&gt;""",Tbl_Responses[[Resp_Group]:[Resp_Group]],Agronomist)+COUNTIFS(Tbl_Responses[3 - Type of test],Tbl_Q17_sampling[[#Headers],[Exchangable cations - Ca, Mg, Na, K]],Tbl_Responses[3 - How many cores per paddock],"&gt;""",Tbl_Responses[[Resp_Group]:[Resp_Group]],Agronomist)+COUNTIFS(Tbl_Responses[4 - Type of test],Tbl_Q17_sampling[[#Headers],[Exchangable cations - Ca, Mg, Na, K]],Tbl_Responses[4 - How many cores per paddock],"&gt;""",Tbl_Responses[[Resp_Group]:[Resp_Group]],Agronomist)+COUNTIFS(Tbl_Responses[5 - Type of test],Tbl_Q17_sampling[[#Headers],[Exchangable cations - Ca, Mg, Na, K]],Tbl_Responses[5 - How many cores per paddock],"&gt;""",Tbl_Responses[[Resp_Group]:[Resp_Group]],Agronomist)+COUNTIFS(Tbl_Responses[6 - Type of test],Tbl_Q17_sampling[[#Headers],[Exchangable cations - Ca, Mg, Na, K]],Tbl_Responses[6 - How many cores per paddock],"&gt;""",Tbl_Responses[[Resp_Group]:[Resp_Group]],Agronomist)+COUNTIFS(Tbl_Responses[7 - Type of test],Tbl_Q17_sampling[[#Headers],[Exchangable cations - Ca, Mg, Na, K]],Tbl_Responses[7 - How many cores per paddock],"&gt;""",Tbl_Responses[[Resp_Group]:[Resp_Group]],Agronomist)+COUNTIFS(Tbl_Responses[8 - Type of test],Tbl_Q17_sampling[[#Headers],[Exchangable cations - Ca, Mg, Na, K]],Tbl_Responses[8 - How many cores per paddock],"&gt;""",Tbl_Responses[[Resp_Group]:[Resp_Group]],Agronomist))</f>
        <v>6.25E-2</v>
      </c>
      <c r="DO9" s="62">
        <f>(COUNTIFS(Tbl_Responses[1 - Type of test],Tbl_Q17_sampling[[#Headers],[Texture]],Tbl_Responses[1 - How many cores per paddock],$DJ9,Tbl_Responses[[Resp_Group]:[Resp_Group]],Agronomist)+COUNTIFS(Tbl_Responses[2 - Type of test],Tbl_Q17_sampling[[#Headers],[Texture]],Tbl_Responses[2 - How many cores per paddock],$DJ9,Tbl_Responses[[Resp_Group]:[Resp_Group]],Agronomist)+COUNTIFS(Tbl_Responses[3 - Type of test],Tbl_Q17_sampling[[#Headers],[Texture]],Tbl_Responses[3 - How many cores per paddock],$DJ9,Tbl_Responses[[Resp_Group]:[Resp_Group]],Agronomist)+COUNTIFS(Tbl_Responses[4 - Type of test],Tbl_Q17_sampling[[#Headers],[Texture]],Tbl_Responses[4 - How many cores per paddock],$DJ9,Tbl_Responses[[Resp_Group]:[Resp_Group]],Agronomist)+COUNTIFS(Tbl_Responses[5 - Type of test],Tbl_Q17_sampling[[#Headers],[Texture]],Tbl_Responses[5 - How many cores per paddock],$DJ9,Tbl_Responses[[Resp_Group]:[Resp_Group]],Agronomist)+COUNTIFS(Tbl_Responses[6 - Type of test],Tbl_Q17_sampling[[#Headers],[Texture]],Tbl_Responses[6 - How many cores per paddock],$DJ9,Tbl_Responses[[Resp_Group]:[Resp_Group]],Agronomist)+COUNTIFS(Tbl_Responses[7 - Type of test],Tbl_Q17_sampling[[#Headers],[Texture]],Tbl_Responses[7 - How many cores per paddock],$DJ9,Tbl_Responses[[Resp_Group]:[Resp_Group]],Agronomist)+COUNTIFS(Tbl_Responses[8 - Type of test],Tbl_Q17_sampling[[#Headers],[Texture]],Tbl_Responses[8 - How many cores per paddock],$DJ9,Tbl_Responses[[Resp_Group]:[Resp_Group]],Agronomist))/(COUNTIFS(Tbl_Responses[1 - Type of test],Tbl_Q17_sampling[[#Headers],[Texture]],Tbl_Responses[1 - How many cores per paddock],"&gt;""",Tbl_Responses[[Resp_Group]:[Resp_Group]],Agronomist)+COUNTIFS(Tbl_Responses[2 - Type of test],Tbl_Q17_sampling[[#Headers],[Texture]],Tbl_Responses[2 - How many cores per paddock],"&gt;""",Tbl_Responses[[Resp_Group]:[Resp_Group]],Agronomist)+COUNTIFS(Tbl_Responses[3 - Type of test],Tbl_Q17_sampling[[#Headers],[Texture]],Tbl_Responses[3 - How many cores per paddock],"&gt;""",Tbl_Responses[[Resp_Group]:[Resp_Group]],Agronomist)+COUNTIFS(Tbl_Responses[4 - Type of test],Tbl_Q17_sampling[[#Headers],[Texture]],Tbl_Responses[4 - How many cores per paddock],"&gt;""",Tbl_Responses[[Resp_Group]:[Resp_Group]],Agronomist)+COUNTIFS(Tbl_Responses[5 - Type of test],Tbl_Q17_sampling[[#Headers],[Texture]],Tbl_Responses[5 - How many cores per paddock],"&gt;""",Tbl_Responses[[Resp_Group]:[Resp_Group]],Agronomist)+COUNTIFS(Tbl_Responses[6 - Type of test],Tbl_Q17_sampling[[#Headers],[Texture]],Tbl_Responses[6 - How many cores per paddock],"&gt;""",Tbl_Responses[[Resp_Group]:[Resp_Group]],Agronomist)+COUNTIFS(Tbl_Responses[7 - Type of test],Tbl_Q17_sampling[[#Headers],[Texture]],Tbl_Responses[7 - How many cores per paddock],"&gt;""",Tbl_Responses[[Resp_Group]:[Resp_Group]],Agronomist)+COUNTIFS(Tbl_Responses[8 - Type of test],Tbl_Q17_sampling[[#Headers],[Texture]],Tbl_Responses[8 - How many cores per paddock],"&gt;""",Tbl_Responses[[Resp_Group]:[Resp_Group]],Agronomist))</f>
        <v>6.6666666666666666E-2</v>
      </c>
      <c r="DP9" s="62">
        <f>(COUNTIFS(Tbl_Responses[1 - Type of test],Tbl_Q17_sampling[[#Headers],[Aluminium (CaCl2)]],Tbl_Responses[1 - How many cores per paddock],$DJ9,Tbl_Responses[[Resp_Group]:[Resp_Group]],Agronomist)+COUNTIFS(Tbl_Responses[2 - Type of test],Tbl_Q17_sampling[[#Headers],[Aluminium (CaCl2)]],Tbl_Responses[2 - How many cores per paddock],$DJ9,Tbl_Responses[[Resp_Group]:[Resp_Group]],Agronomist)+COUNTIFS(Tbl_Responses[3 - Type of test],Tbl_Q17_sampling[[#Headers],[Aluminium (CaCl2)]],Tbl_Responses[3 - How many cores per paddock],$DJ9,Tbl_Responses[[Resp_Group]:[Resp_Group]],Agronomist)+COUNTIFS(Tbl_Responses[4 - Type of test],Tbl_Q17_sampling[[#Headers],[Aluminium (CaCl2)]],Tbl_Responses[4 - How many cores per paddock],$DJ9,Tbl_Responses[[Resp_Group]:[Resp_Group]],Agronomist)+COUNTIFS(Tbl_Responses[5 - Type of test],Tbl_Q17_sampling[[#Headers],[Aluminium (CaCl2)]],Tbl_Responses[5 - How many cores per paddock],$DJ9,Tbl_Responses[[Resp_Group]:[Resp_Group]],Agronomist)+COUNTIFS(Tbl_Responses[6 - Type of test],Tbl_Q17_sampling[[#Headers],[Aluminium (CaCl2)]],Tbl_Responses[6 - How many cores per paddock],$DJ9,Tbl_Responses[[Resp_Group]:[Resp_Group]],Agronomist)+COUNTIFS(Tbl_Responses[7 - Type of test],Tbl_Q17_sampling[[#Headers],[Aluminium (CaCl2)]],Tbl_Responses[7 - How many cores per paddock],$DJ9,Tbl_Responses[[Resp_Group]:[Resp_Group]],Agronomist)+COUNTIFS(Tbl_Responses[8 - Type of test],Tbl_Q17_sampling[[#Headers],[Aluminium (CaCl2)]],Tbl_Responses[8 - How many cores per paddock],$DJ9,Tbl_Responses[[Resp_Group]:[Resp_Group]],Agronomist))/(COUNTIFS(Tbl_Responses[1 - Type of test],Tbl_Q17_sampling[[#Headers],[Aluminium (CaCl2)]],Tbl_Responses[1 - How many cores per paddock],"&gt;""",Tbl_Responses[[Resp_Group]:[Resp_Group]],Agronomist)+COUNTIFS(Tbl_Responses[2 - Type of test],Tbl_Q17_sampling[[#Headers],[Aluminium (CaCl2)]],Tbl_Responses[2 - How many cores per paddock],"&gt;""",Tbl_Responses[[Resp_Group]:[Resp_Group]],Agronomist)+COUNTIFS(Tbl_Responses[3 - Type of test],Tbl_Q17_sampling[[#Headers],[Aluminium (CaCl2)]],Tbl_Responses[3 - How many cores per paddock],"&gt;""",Tbl_Responses[[Resp_Group]:[Resp_Group]],Agronomist)+COUNTIFS(Tbl_Responses[4 - Type of test],Tbl_Q17_sampling[[#Headers],[Aluminium (CaCl2)]],Tbl_Responses[4 - How many cores per paddock],"&gt;""",Tbl_Responses[[Resp_Group]:[Resp_Group]],Agronomist)+COUNTIFS(Tbl_Responses[5 - Type of test],Tbl_Q17_sampling[[#Headers],[Aluminium (CaCl2)]],Tbl_Responses[5 - How many cores per paddock],"&gt;""",Tbl_Responses[[Resp_Group]:[Resp_Group]],Agronomist)+COUNTIFS(Tbl_Responses[6 - Type of test],Tbl_Q17_sampling[[#Headers],[Aluminium (CaCl2)]],Tbl_Responses[6 - How many cores per paddock],"&gt;""",Tbl_Responses[[Resp_Group]:[Resp_Group]],Agronomist)+COUNTIFS(Tbl_Responses[7 - Type of test],Tbl_Q17_sampling[[#Headers],[Aluminium (CaCl2)]],Tbl_Responses[7 - How many cores per paddock],"&gt;""",Tbl_Responses[[Resp_Group]:[Resp_Group]],Agronomist)+COUNTIFS(Tbl_Responses[8 - Type of test],Tbl_Q17_sampling[[#Headers],[Aluminium (CaCl2)]],Tbl_Responses[8 - How many cores per paddock],"&gt;""",Tbl_Responses[[Resp_Group]:[Resp_Group]],Agronomist))</f>
        <v>6.4516129032258063E-2</v>
      </c>
      <c r="DQ9" s="62">
        <f>(COUNTIFS(Tbl_Responses[1 - Type of test],Tbl_Q17_sampling[[#Headers],[Chloride]],Tbl_Responses[1 - How many cores per paddock],$DJ9,Tbl_Responses[[Resp_Group]:[Resp_Group]],Agronomist)+COUNTIFS(Tbl_Responses[2 - Type of test],Tbl_Q17_sampling[[#Headers],[Chloride]],Tbl_Responses[2 - How many cores per paddock],$DJ9,Tbl_Responses[[Resp_Group]:[Resp_Group]],Agronomist)+COUNTIFS(Tbl_Responses[3 - Type of test],Tbl_Q17_sampling[[#Headers],[Chloride]],Tbl_Responses[3 - How many cores per paddock],$DJ9,Tbl_Responses[[Resp_Group]:[Resp_Group]],Agronomist)+COUNTIFS(Tbl_Responses[4 - Type of test],Tbl_Q17_sampling[[#Headers],[Chloride]],Tbl_Responses[4 - How many cores per paddock],$DJ9,Tbl_Responses[[Resp_Group]:[Resp_Group]],Agronomist)+COUNTIFS(Tbl_Responses[5 - Type of test],Tbl_Q17_sampling[[#Headers],[Chloride]],Tbl_Responses[5 - How many cores per paddock],$DJ9,Tbl_Responses[[Resp_Group]:[Resp_Group]],Agronomist)+COUNTIFS(Tbl_Responses[6 - Type of test],Tbl_Q17_sampling[[#Headers],[Chloride]],Tbl_Responses[6 - How many cores per paddock],$DJ9,Tbl_Responses[[Resp_Group]:[Resp_Group]],Agronomist)+COUNTIFS(Tbl_Responses[7 - Type of test],Tbl_Q17_sampling[[#Headers],[Chloride]],Tbl_Responses[7 - How many cores per paddock],$DJ9,Tbl_Responses[[Resp_Group]:[Resp_Group]],Agronomist)+COUNTIFS(Tbl_Responses[8 - Type of test],Tbl_Q17_sampling[[#Headers],[Chloride]],Tbl_Responses[8 - How many cores per paddock],$DJ9,Tbl_Responses[[Resp_Group]:[Resp_Group]],Agronomist))/(COUNTIFS(Tbl_Responses[1 - Type of test],Tbl_Q17_sampling[[#Headers],[Chloride]],Tbl_Responses[1 - How many cores per paddock],"&gt;""",Tbl_Responses[[Resp_Group]:[Resp_Group]],Agronomist)+COUNTIFS(Tbl_Responses[2 - Type of test],Tbl_Q17_sampling[[#Headers],[Chloride]],Tbl_Responses[2 - How many cores per paddock],"&gt;""",Tbl_Responses[[Resp_Group]:[Resp_Group]],Agronomist)+COUNTIFS(Tbl_Responses[3 - Type of test],Tbl_Q17_sampling[[#Headers],[Chloride]],Tbl_Responses[3 - How many cores per paddock],"&gt;""",Tbl_Responses[[Resp_Group]:[Resp_Group]],Agronomist)+COUNTIFS(Tbl_Responses[4 - Type of test],Tbl_Q17_sampling[[#Headers],[Chloride]],Tbl_Responses[4 - How many cores per paddock],"&gt;""",Tbl_Responses[[Resp_Group]:[Resp_Group]],Agronomist)+COUNTIFS(Tbl_Responses[5 - Type of test],Tbl_Q17_sampling[[#Headers],[Chloride]],Tbl_Responses[5 - How many cores per paddock],"&gt;""",Tbl_Responses[[Resp_Group]:[Resp_Group]],Agronomist)+COUNTIFS(Tbl_Responses[6 - Type of test],Tbl_Q17_sampling[[#Headers],[Chloride]],Tbl_Responses[6 - How many cores per paddock],"&gt;""",Tbl_Responses[[Resp_Group]:[Resp_Group]],Agronomist)+COUNTIFS(Tbl_Responses[7 - Type of test],Tbl_Q17_sampling[[#Headers],[Chloride]],Tbl_Responses[7 - How many cores per paddock],"&gt;""",Tbl_Responses[[Resp_Group]:[Resp_Group]],Agronomist)+COUNTIFS(Tbl_Responses[8 - Type of test],Tbl_Q17_sampling[[#Headers],[Chloride]],Tbl_Responses[8 - How many cores per paddock],"&gt;""",Tbl_Responses[[Resp_Group]:[Resp_Group]],Agronomist))</f>
        <v>0.125</v>
      </c>
      <c r="DR9" s="62">
        <f>(COUNTIFS(Tbl_Responses[1 - Type of test],Tbl_Q17_sampling[[#Headers],[Boron]],Tbl_Responses[1 - How many cores per paddock],$DJ9,Tbl_Responses[[Resp_Group]:[Resp_Group]],Agronomist)+COUNTIFS(Tbl_Responses[2 - Type of test],Tbl_Q17_sampling[[#Headers],[Boron]],Tbl_Responses[2 - How many cores per paddock],$DJ9,Tbl_Responses[[Resp_Group]:[Resp_Group]],Agronomist)+COUNTIFS(Tbl_Responses[3 - Type of test],Tbl_Q17_sampling[[#Headers],[Boron]],Tbl_Responses[3 - How many cores per paddock],$DJ9,Tbl_Responses[[Resp_Group]:[Resp_Group]],Agronomist)+COUNTIFS(Tbl_Responses[4 - Type of test],Tbl_Q17_sampling[[#Headers],[Boron]],Tbl_Responses[4 - How many cores per paddock],$DJ9,Tbl_Responses[[Resp_Group]:[Resp_Group]],Agronomist)+COUNTIFS(Tbl_Responses[5 - Type of test],Tbl_Q17_sampling[[#Headers],[Boron]],Tbl_Responses[5 - How many cores per paddock],$DJ9,Tbl_Responses[[Resp_Group]:[Resp_Group]],Agronomist)+COUNTIFS(Tbl_Responses[6 - Type of test],Tbl_Q17_sampling[[#Headers],[Boron]],Tbl_Responses[6 - How many cores per paddock],$DJ9,Tbl_Responses[[Resp_Group]:[Resp_Group]],Agronomist)+COUNTIFS(Tbl_Responses[7 - Type of test],Tbl_Q17_sampling[[#Headers],[Boron]],Tbl_Responses[7 - How many cores per paddock],$DJ9,Tbl_Responses[[Resp_Group]:[Resp_Group]],Agronomist)+COUNTIFS(Tbl_Responses[8 - Type of test],Tbl_Q17_sampling[[#Headers],[Boron]],Tbl_Responses[8 - How many cores per paddock],$DJ9,Tbl_Responses[[Resp_Group]:[Resp_Group]],Agronomist))/(COUNTIFS(Tbl_Responses[1 - Type of test],Tbl_Q17_sampling[[#Headers],[Boron]],Tbl_Responses[1 - How many cores per paddock],"&gt;""",Tbl_Responses[[Resp_Group]:[Resp_Group]],Agronomist)+COUNTIFS(Tbl_Responses[2 - Type of test],Tbl_Q17_sampling[[#Headers],[Boron]],Tbl_Responses[2 - How many cores per paddock],"&gt;""",Tbl_Responses[[Resp_Group]:[Resp_Group]],Agronomist)+COUNTIFS(Tbl_Responses[3 - Type of test],Tbl_Q17_sampling[[#Headers],[Boron]],Tbl_Responses[3 - How many cores per paddock],"&gt;""",Tbl_Responses[[Resp_Group]:[Resp_Group]],Agronomist)+COUNTIFS(Tbl_Responses[4 - Type of test],Tbl_Q17_sampling[[#Headers],[Boron]],Tbl_Responses[4 - How many cores per paddock],"&gt;""",Tbl_Responses[[Resp_Group]:[Resp_Group]],Agronomist)+COUNTIFS(Tbl_Responses[5 - Type of test],Tbl_Q17_sampling[[#Headers],[Boron]],Tbl_Responses[5 - How many cores per paddock],"&gt;""",Tbl_Responses[[Resp_Group]:[Resp_Group]],Agronomist)+COUNTIFS(Tbl_Responses[6 - Type of test],Tbl_Q17_sampling[[#Headers],[Boron]],Tbl_Responses[6 - How many cores per paddock],"&gt;""",Tbl_Responses[[Resp_Group]:[Resp_Group]],Agronomist)+COUNTIFS(Tbl_Responses[7 - Type of test],Tbl_Q17_sampling[[#Headers],[Boron]],Tbl_Responses[7 - How many cores per paddock],"&gt;""",Tbl_Responses[[Resp_Group]:[Resp_Group]],Agronomist)+COUNTIFS(Tbl_Responses[8 - Type of test],Tbl_Q17_sampling[[#Headers],[Boron]],Tbl_Responses[8 - How many cores per paddock],"&gt;""",Tbl_Responses[[Resp_Group]:[Resp_Group]],Agronomist))</f>
        <v>6.4516129032258063E-2</v>
      </c>
      <c r="DS9" s="62">
        <f>(COUNTIFS(Tbl_Responses[1 - Type of test],Tbl_Q17_sampling[[#Headers],[Sulfur (KCl40)]],Tbl_Responses[1 - How many cores per paddock],$DJ9,Tbl_Responses[[Resp_Group]:[Resp_Group]],Agronomist)+COUNTIFS(Tbl_Responses[2 - Type of test],Tbl_Q17_sampling[[#Headers],[Sulfur (KCl40)]],Tbl_Responses[2 - How many cores per paddock],$DJ9,Tbl_Responses[[Resp_Group]:[Resp_Group]],Agronomist)+COUNTIFS(Tbl_Responses[3 - Type of test],Tbl_Q17_sampling[[#Headers],[Sulfur (KCl40)]],Tbl_Responses[3 - How many cores per paddock],$DJ9,Tbl_Responses[[Resp_Group]:[Resp_Group]],Agronomist)+COUNTIFS(Tbl_Responses[4 - Type of test],Tbl_Q17_sampling[[#Headers],[Sulfur (KCl40)]],Tbl_Responses[4 - How many cores per paddock],$DJ9,Tbl_Responses[[Resp_Group]:[Resp_Group]],Agronomist)+COUNTIFS(Tbl_Responses[5 - Type of test],Tbl_Q17_sampling[[#Headers],[Sulfur (KCl40)]],Tbl_Responses[5 - How many cores per paddock],$DJ9,Tbl_Responses[[Resp_Group]:[Resp_Group]],Agronomist)+COUNTIFS(Tbl_Responses[6 - Type of test],Tbl_Q17_sampling[[#Headers],[Sulfur (KCl40)]],Tbl_Responses[6 - How many cores per paddock],$DJ9,Tbl_Responses[[Resp_Group]:[Resp_Group]],Agronomist)+COUNTIFS(Tbl_Responses[7 - Type of test],Tbl_Q17_sampling[[#Headers],[Sulfur (KCl40)]],Tbl_Responses[7 - How many cores per paddock],$DJ9,Tbl_Responses[[Resp_Group]:[Resp_Group]],Agronomist)+COUNTIFS(Tbl_Responses[8 - Type of test],Tbl_Q17_sampling[[#Headers],[Sulfur (KCl40)]],Tbl_Responses[8 - How many cores per paddock],$DJ9,Tbl_Responses[[Resp_Group]:[Resp_Group]],Agronomist))/(COUNTIFS(Tbl_Responses[1 - Type of test],Tbl_Q17_sampling[[#Headers],[Sulfur (KCl40)]],Tbl_Responses[1 - How many cores per paddock],"&gt;""",Tbl_Responses[[Resp_Group]:[Resp_Group]],Agronomist)+COUNTIFS(Tbl_Responses[2 - Type of test],Tbl_Q17_sampling[[#Headers],[Sulfur (KCl40)]],Tbl_Responses[2 - How many cores per paddock],"&gt;""",Tbl_Responses[[Resp_Group]:[Resp_Group]],Agronomist)+COUNTIFS(Tbl_Responses[3 - Type of test],Tbl_Q17_sampling[[#Headers],[Sulfur (KCl40)]],Tbl_Responses[3 - How many cores per paddock],"&gt;""",Tbl_Responses[[Resp_Group]:[Resp_Group]],Agronomist)+COUNTIFS(Tbl_Responses[4 - Type of test],Tbl_Q17_sampling[[#Headers],[Sulfur (KCl40)]],Tbl_Responses[4 - How many cores per paddock],"&gt;""",Tbl_Responses[[Resp_Group]:[Resp_Group]],Agronomist)+COUNTIFS(Tbl_Responses[5 - Type of test],Tbl_Q17_sampling[[#Headers],[Sulfur (KCl40)]],Tbl_Responses[5 - How many cores per paddock],"&gt;""",Tbl_Responses[[Resp_Group]:[Resp_Group]],Agronomist)+COUNTIFS(Tbl_Responses[6 - Type of test],Tbl_Q17_sampling[[#Headers],[Sulfur (KCl40)]],Tbl_Responses[6 - How many cores per paddock],"&gt;""",Tbl_Responses[[Resp_Group]:[Resp_Group]],Agronomist)+COUNTIFS(Tbl_Responses[7 - Type of test],Tbl_Q17_sampling[[#Headers],[Sulfur (KCl40)]],Tbl_Responses[7 - How many cores per paddock],"&gt;""",Tbl_Responses[[Resp_Group]:[Resp_Group]],Agronomist)+COUNTIFS(Tbl_Responses[8 - Type of test],Tbl_Q17_sampling[[#Headers],[Sulfur (KCl40)]],Tbl_Responses[8 - How many cores per paddock],"&gt;""",Tbl_Responses[[Resp_Group]:[Resp_Group]],Agronomist))</f>
        <v>3.125E-2</v>
      </c>
      <c r="DT9" s="62">
        <f>(COUNTIFS(Tbl_Responses[1 - Type of test],Tbl_Q17_sampling[[#Headers],[Calcium carbonate %]],Tbl_Responses[1 - How many cores per paddock],$DJ9,Tbl_Responses[[Resp_Group]:[Resp_Group]],Agronomist)+COUNTIFS(Tbl_Responses[2 - Type of test],Tbl_Q17_sampling[[#Headers],[Calcium carbonate %]],Tbl_Responses[2 - How many cores per paddock],$DJ9,Tbl_Responses[[Resp_Group]:[Resp_Group]],Agronomist)+COUNTIFS(Tbl_Responses[3 - Type of test],Tbl_Q17_sampling[[#Headers],[Calcium carbonate %]],Tbl_Responses[3 - How many cores per paddock],$DJ9,Tbl_Responses[[Resp_Group]:[Resp_Group]],Agronomist)+COUNTIFS(Tbl_Responses[4 - Type of test],Tbl_Q17_sampling[[#Headers],[Calcium carbonate %]],Tbl_Responses[4 - How many cores per paddock],$DJ9,Tbl_Responses[[Resp_Group]:[Resp_Group]],Agronomist)+COUNTIFS(Tbl_Responses[5 - Type of test],Tbl_Q17_sampling[[#Headers],[Calcium carbonate %]],Tbl_Responses[5 - How many cores per paddock],$DJ9,Tbl_Responses[[Resp_Group]:[Resp_Group]],Agronomist)+COUNTIFS(Tbl_Responses[6 - Type of test],Tbl_Q17_sampling[[#Headers],[Calcium carbonate %]],Tbl_Responses[6 - How many cores per paddock],$DJ9,Tbl_Responses[[Resp_Group]:[Resp_Group]],Agronomist)+COUNTIFS(Tbl_Responses[7 - Type of test],Tbl_Q17_sampling[[#Headers],[Calcium carbonate %]],Tbl_Responses[7 - How many cores per paddock],$DJ9,Tbl_Responses[[Resp_Group]:[Resp_Group]],Agronomist)+COUNTIFS(Tbl_Responses[8 - Type of test],Tbl_Q17_sampling[[#Headers],[Calcium carbonate %]],Tbl_Responses[8 - How many cores per paddock],$DJ9,Tbl_Responses[[Resp_Group]:[Resp_Group]],Agronomist))/(COUNTIFS(Tbl_Responses[1 - Type of test],Tbl_Q17_sampling[[#Headers],[Calcium carbonate %]],Tbl_Responses[1 - How many cores per paddock],"&gt;""",Tbl_Responses[[Resp_Group]:[Resp_Group]],Agronomist)+COUNTIFS(Tbl_Responses[2 - Type of test],Tbl_Q17_sampling[[#Headers],[Calcium carbonate %]],Tbl_Responses[2 - How many cores per paddock],"&gt;""",Tbl_Responses[[Resp_Group]:[Resp_Group]],Agronomist)+COUNTIFS(Tbl_Responses[3 - Type of test],Tbl_Q17_sampling[[#Headers],[Calcium carbonate %]],Tbl_Responses[3 - How many cores per paddock],"&gt;""",Tbl_Responses[[Resp_Group]:[Resp_Group]],Agronomist)+COUNTIFS(Tbl_Responses[4 - Type of test],Tbl_Q17_sampling[[#Headers],[Calcium carbonate %]],Tbl_Responses[4 - How many cores per paddock],"&gt;""",Tbl_Responses[[Resp_Group]:[Resp_Group]],Agronomist)+COUNTIFS(Tbl_Responses[5 - Type of test],Tbl_Q17_sampling[[#Headers],[Calcium carbonate %]],Tbl_Responses[5 - How many cores per paddock],"&gt;""",Tbl_Responses[[Resp_Group]:[Resp_Group]],Agronomist)+COUNTIFS(Tbl_Responses[6 - Type of test],Tbl_Q17_sampling[[#Headers],[Calcium carbonate %]],Tbl_Responses[6 - How many cores per paddock],"&gt;""",Tbl_Responses[[Resp_Group]:[Resp_Group]],Agronomist)+COUNTIFS(Tbl_Responses[7 - Type of test],Tbl_Q17_sampling[[#Headers],[Calcium carbonate %]],Tbl_Responses[7 - How many cores per paddock],"&gt;""",Tbl_Responses[[Resp_Group]:[Resp_Group]],Agronomist)+COUNTIFS(Tbl_Responses[8 - Type of test],Tbl_Q17_sampling[[#Headers],[Calcium carbonate %]],Tbl_Responses[8 - How many cores per paddock],"&gt;""",Tbl_Responses[[Resp_Group]:[Resp_Group]],Agronomist))</f>
        <v>9.5238095238095233E-2</v>
      </c>
      <c r="DU9" s="62">
        <f>(COUNTIFS(Tbl_Responses[1 - Type of test],Tbl_Q17_sampling[[#Headers],[Sulfur (MCP)]],Tbl_Responses[1 - How many cores per paddock],$DJ9,Tbl_Responses[[Resp_Group]:[Resp_Group]],Agronomist)+COUNTIFS(Tbl_Responses[2 - Type of test],Tbl_Q17_sampling[[#Headers],[Sulfur (MCP)]],Tbl_Responses[2 - How many cores per paddock],$DJ9,Tbl_Responses[[Resp_Group]:[Resp_Group]],Agronomist)+COUNTIFS(Tbl_Responses[3 - Type of test],Tbl_Q17_sampling[[#Headers],[Sulfur (MCP)]],Tbl_Responses[3 - How many cores per paddock],$DJ9,Tbl_Responses[[Resp_Group]:[Resp_Group]],Agronomist)+COUNTIFS(Tbl_Responses[4 - Type of test],Tbl_Q17_sampling[[#Headers],[Sulfur (MCP)]],Tbl_Responses[4 - How many cores per paddock],$DJ9,Tbl_Responses[[Resp_Group]:[Resp_Group]],Agronomist)+COUNTIFS(Tbl_Responses[5 - Type of test],Tbl_Q17_sampling[[#Headers],[Sulfur (MCP)]],Tbl_Responses[5 - How many cores per paddock],$DJ9,Tbl_Responses[[Resp_Group]:[Resp_Group]],Agronomist)+COUNTIFS(Tbl_Responses[6 - Type of test],Tbl_Q17_sampling[[#Headers],[Sulfur (MCP)]],Tbl_Responses[6 - How many cores per paddock],$DJ9,Tbl_Responses[[Resp_Group]:[Resp_Group]],Agronomist)+COUNTIFS(Tbl_Responses[7 - Type of test],Tbl_Q17_sampling[[#Headers],[Sulfur (MCP)]],Tbl_Responses[7 - How many cores per paddock],$DJ9,Tbl_Responses[[Resp_Group]:[Resp_Group]],Agronomist)+COUNTIFS(Tbl_Responses[8 - Type of test],Tbl_Q17_sampling[[#Headers],[Sulfur (MCP)]],Tbl_Responses[8 - How many cores per paddock],$DJ9,Tbl_Responses[[Resp_Group]:[Resp_Group]],Agronomist))/(COUNTIFS(Tbl_Responses[1 - Type of test],Tbl_Q17_sampling[[#Headers],[Sulfur (MCP)]],Tbl_Responses[1 - How many cores per paddock],"&gt;""",Tbl_Responses[[Resp_Group]:[Resp_Group]],Agronomist)+COUNTIFS(Tbl_Responses[2 - Type of test],Tbl_Q17_sampling[[#Headers],[Sulfur (MCP)]],Tbl_Responses[2 - How many cores per paddock],"&gt;""",Tbl_Responses[[Resp_Group]:[Resp_Group]],Agronomist)+COUNTIFS(Tbl_Responses[3 - Type of test],Tbl_Q17_sampling[[#Headers],[Sulfur (MCP)]],Tbl_Responses[3 - How many cores per paddock],"&gt;""",Tbl_Responses[[Resp_Group]:[Resp_Group]],Agronomist)+COUNTIFS(Tbl_Responses[4 - Type of test],Tbl_Q17_sampling[[#Headers],[Sulfur (MCP)]],Tbl_Responses[4 - How many cores per paddock],"&gt;""",Tbl_Responses[[Resp_Group]:[Resp_Group]],Agronomist)+COUNTIFS(Tbl_Responses[5 - Type of test],Tbl_Q17_sampling[[#Headers],[Sulfur (MCP)]],Tbl_Responses[5 - How many cores per paddock],"&gt;""",Tbl_Responses[[Resp_Group]:[Resp_Group]],Agronomist)+COUNTIFS(Tbl_Responses[6 - Type of test],Tbl_Q17_sampling[[#Headers],[Sulfur (MCP)]],Tbl_Responses[6 - How many cores per paddock],"&gt;""",Tbl_Responses[[Resp_Group]:[Resp_Group]],Agronomist)+COUNTIFS(Tbl_Responses[7 - Type of test],Tbl_Q17_sampling[[#Headers],[Sulfur (MCP)]],Tbl_Responses[7 - How many cores per paddock],"&gt;""",Tbl_Responses[[Resp_Group]:[Resp_Group]],Agronomist)+COUNTIFS(Tbl_Responses[8 - Type of test],Tbl_Q17_sampling[[#Headers],[Sulfur (MCP)]],Tbl_Responses[8 - How many cores per paddock],"&gt;""",Tbl_Responses[[Resp_Group]:[Resp_Group]],Agronomist))</f>
        <v>0</v>
      </c>
      <c r="DV9" s="82">
        <f>(COUNTIFS(Tbl_Responses[1 - How many cores per paddock],$DJ9,Tbl_Responses[[Resp_Group]:[Resp_Group]],Agronomist)+COUNTIFS(Tbl_Responses[2 - How many cores per paddock],$DJ9,Tbl_Responses[[Resp_Group]:[Resp_Group]],Agronomist)+COUNTIFS(Tbl_Responses[3 - How many cores per paddock],$DJ9,Tbl_Responses[[Resp_Group]:[Resp_Group]],Agronomist)+COUNTIFS(Tbl_Responses[4 - How many cores per paddock],$DJ9,Tbl_Responses[[Resp_Group]:[Resp_Group]],Agronomist)+COUNTIFS(Tbl_Responses[5 - How many cores per paddock],$DJ9,Tbl_Responses[[Resp_Group]:[Resp_Group]],Agronomist)+COUNTIFS(Tbl_Responses[6 - How many cores per paddock],$DJ9,Tbl_Responses[[Resp_Group]:[Resp_Group]],Agronomist)+COUNTIFS(Tbl_Responses[7 - How many cores per paddock],$DJ9,Tbl_Responses[[Resp_Group]:[Resp_Group]],Agronomist))/(COUNTIFS(Tbl_Responses[1 - How many cores per paddock],"&gt;""",Tbl_Responses[[Resp_Group]:[Resp_Group]],Agronomist)+COUNTIFS(Tbl_Responses[2 - How many cores per paddock],"&gt;""",Tbl_Responses[[Resp_Group]:[Resp_Group]],Agronomist)+COUNTIFS(Tbl_Responses[3 - How many cores per paddock],"&gt;""",Tbl_Responses[[Resp_Group]:[Resp_Group]],Agronomist)+COUNTIFS(Tbl_Responses[4 - How many cores per paddock],"&gt;""",Tbl_Responses[[Resp_Group]:[Resp_Group]],Agronomist)+COUNTIFS(Tbl_Responses[5 - How many cores per paddock],"&gt;""",Tbl_Responses[[Resp_Group]:[Resp_Group]],Agronomist)+COUNTIFS(Tbl_Responses[6 - How many cores per paddock],"&gt;""",Tbl_Responses[[Resp_Group]:[Resp_Group]],Agronomist)+COUNTIFS(Tbl_Responses[7 - How many cores per paddock],"&gt;""",Tbl_Responses[[Resp_Group]:[Resp_Group]],Agronomist))</f>
        <v>5.4901960784313725E-2</v>
      </c>
      <c r="EC9" t="s">
        <v>115</v>
      </c>
      <c r="ED9" s="3">
        <f>COUNTIFS(Tbl_Responses[The ability to translate soil test results into a profitable fertiliser decision for my paddock],$EC9,Tbl_Responses[[Resp_Group]:[Resp_Group]],Agronomist)</f>
        <v>6</v>
      </c>
      <c r="EE9" s="4">
        <f>Tbl_19[[#This Row],[No. Responses]]/SUM(Tbl_19[No. Responses])</f>
        <v>6.3829787234042548E-2</v>
      </c>
      <c r="EH9" t="s">
        <v>115</v>
      </c>
      <c r="EI9" s="3">
        <f>COUNTIFS(Tbl_Responses[The ability to translate soil test results into a profitable fertiliser decision for my paddockP],$EC9,Tbl_Responses[[Resp_Group]:[Resp_Group]],Agronomist)</f>
        <v>9</v>
      </c>
      <c r="EJ9" s="4">
        <f>Tbl_Q20[[#This Row],[No. Responses]]/SUM(Tbl_Q20[No. Responses])</f>
        <v>9.7826086956521743E-2</v>
      </c>
      <c r="EM9" s="59" t="s">
        <v>301</v>
      </c>
      <c r="ET9" t="s">
        <v>2152</v>
      </c>
      <c r="EU9" s="3">
        <f>COUNTIFS(Tbl_Responses[Soil testing annual spend],$ET9,Tbl_Responses[[Resp_Group]:[Resp_Group]],Agronomist)</f>
        <v>0</v>
      </c>
      <c r="EV9" s="4">
        <f>Tbl_Q22[[#This Row],[No. Respondants]]/SUM(Tbl_Q22[No. Respondants])</f>
        <v>0</v>
      </c>
      <c r="EY9" s="34" t="s">
        <v>2538</v>
      </c>
      <c r="FD9" s="34" t="s">
        <v>2543</v>
      </c>
      <c r="FN9" s="87" t="s">
        <v>126</v>
      </c>
      <c r="FO9" s="3">
        <f>COUNTIFS(Tbl_Responses[The ability to translate test results into a profitable decision_Plant],$FN9,Tbl_Responses[[Resp_Group]:[Resp_Group]],Agronomist)</f>
        <v>6</v>
      </c>
      <c r="FP9" s="4">
        <f>Tbl_Q26[[#This Row],[No. Respondants]]/SUM(Tbl_Q26[No. Respondants])</f>
        <v>7.3170731707317069E-2</v>
      </c>
      <c r="FS9" t="s">
        <v>373</v>
      </c>
      <c r="FZ9" t="s">
        <v>2152</v>
      </c>
      <c r="GA9" s="3">
        <f>COUNTIFS(Tbl_Responses[Average annual spend - Plant testing],$FZ9,Tbl_Responses[[Resp_Group]:[Resp_Group]],Agronomist)</f>
        <v>0</v>
      </c>
      <c r="GB9" s="4">
        <f>Tbl_Q28[[#This Row],[No. Respondants]]/SUM(Tbl_Q28[No. Respondants])</f>
        <v>0</v>
      </c>
      <c r="GE9" s="34"/>
      <c r="GJ9" s="34"/>
      <c r="GO9" t="s">
        <v>115</v>
      </c>
      <c r="GP9" s="3">
        <f>COUNTIFS(Tbl_Responses[The ability to translate soil test results into a profitable fertiliser decision for my paddock_PL],$GO9,Tbl_Responses[[Resp_Group]:[Resp_Group]],Agronomist)</f>
        <v>0</v>
      </c>
      <c r="GQ9" s="4" t="e">
        <f>Tbl_1965[[#This Row],[No. Responses]]/SUM(Tbl_1965[No. Responses])</f>
        <v>#DIV/0!</v>
      </c>
      <c r="GT9" t="s">
        <v>115</v>
      </c>
      <c r="GU9" s="3">
        <f>COUNTIFS(Tbl_Responses[The ability to translate soil test results into a profitable fertiliser decision for my paddock_PLP],$GT9,Tbl_Responses[[Resp_Group]:[Resp_Group]],Agronomist)</f>
        <v>0</v>
      </c>
      <c r="GV9" s="4" t="e">
        <f>Tbl_196566[[#This Row],[No. Responses]]/SUM(Tbl_196566[No. Responses])</f>
        <v>#DIV/0!</v>
      </c>
      <c r="HA9" s="87" t="s">
        <v>155</v>
      </c>
      <c r="HB9" s="3">
        <f>COUNTIFS(Tbl_Responses[Field days],$HA9,Tbl_Responses[[Resp_Group]:[Resp_Group]],Agronomist)</f>
        <v>28</v>
      </c>
      <c r="HC9" s="4">
        <f>Tbl_infoSources[[#This Row],[No. Responses]]/SUM(Tbl_infoSources[No. Responses])</f>
        <v>0.112</v>
      </c>
    </row>
    <row r="10" spans="1:266" x14ac:dyDescent="0.25">
      <c r="A10" t="s">
        <v>215</v>
      </c>
      <c r="B10" s="3">
        <f>COUNTIFS(Tbl_Responses[Q1: region],Results!$A10,Tbl_Responses[Resp_Group],Agronomist)</f>
        <v>12</v>
      </c>
      <c r="C10" s="4">
        <f>B10/SUM(Tbl_Q1[Respondants])</f>
        <v>0.16901408450704225</v>
      </c>
      <c r="D10" s="7">
        <f>AVERAGEIFS(Tbl_Responses[Q2: Cropped Area],Tbl_Responses[Q1: region],Tbl_Q1[[#This Row],[Region]],Tbl_Responses[[Resp_Group]:[Resp_Group]],Agronomist)</f>
        <v>12937.583333333334</v>
      </c>
      <c r="F10">
        <v>40001</v>
      </c>
      <c r="G10">
        <v>50000</v>
      </c>
      <c r="H10" t="str">
        <f t="shared" si="0"/>
        <v>40001-50000</v>
      </c>
      <c r="I10" s="3">
        <f>COUNTIFS(Tbl_Responses[Q2: Cropped Area],"&gt;"&amp;F10,Tbl_Responses[Q2: Cropped Area],"&lt;="&amp;G10,Tbl_Responses[Resp_Group],Agronomist)</f>
        <v>4</v>
      </c>
      <c r="J10" s="4">
        <f>I10/SUM(Tbl_Q2[Number])</f>
        <v>5.9701492537313432E-2</v>
      </c>
      <c r="S10" t="s">
        <v>164</v>
      </c>
      <c r="T10" s="4">
        <f>COUNTIFS(Tbl_Responses[[Variable Costs]:[Variable Costs]],T$3,Tbl_Responses[[Q1: region]:[Q1: region]],$S10,Tbl_Responses[[Resp_Group]:[Resp_Group]],Agronomist)/COUNTIFS(Tbl_Responses[[Q1: region]:[Q1: region]],$S10,Tbl_Responses[[Resp_Group]:[Resp_Group]],Agronomist)</f>
        <v>0</v>
      </c>
      <c r="U10" s="4">
        <f>COUNTIFS(Tbl_Responses[[Variable Costs]:[Variable Costs]],U$3,Tbl_Responses[[Q1: region]:[Q1: region]],$S10,Tbl_Responses[[Resp_Group]:[Resp_Group]],Agronomist)/COUNTIFS(Tbl_Responses[[Q1: region]:[Q1: region]],$S10,Tbl_Responses[[Resp_Group]:[Resp_Group]],Agronomist)</f>
        <v>0</v>
      </c>
      <c r="V10" s="4">
        <f>COUNTIFS(Tbl_Responses[[Variable Costs]:[Variable Costs]],V$3,Tbl_Responses[[Q1: region]:[Q1: region]],$S10,Tbl_Responses[[Resp_Group]:[Resp_Group]],Agronomist)/COUNTIFS(Tbl_Responses[[Q1: region]:[Q1: region]],$S10,Tbl_Responses[[Resp_Group]:[Resp_Group]],Agronomist)</f>
        <v>0.2</v>
      </c>
      <c r="W10" s="4">
        <f>COUNTIFS(Tbl_Responses[[Variable Costs]:[Variable Costs]],W$3,Tbl_Responses[[Q1: region]:[Q1: region]],$S10,Tbl_Responses[[Resp_Group]:[Resp_Group]],Agronomist)/COUNTIFS(Tbl_Responses[[Q1: region]:[Q1: region]],$S10,Tbl_Responses[[Resp_Group]:[Resp_Group]],Agronomist)</f>
        <v>0</v>
      </c>
      <c r="X10" s="4">
        <f>COUNTIFS(Tbl_Responses[[Variable Costs]:[Variable Costs]],X$3,Tbl_Responses[[Q1: region]:[Q1: region]],$S10,Tbl_Responses[[Resp_Group]:[Resp_Group]],Agronomist)/COUNTIFS(Tbl_Responses[[Q1: region]:[Q1: region]],$S10,Tbl_Responses[[Resp_Group]:[Resp_Group]],Agronomist)</f>
        <v>0</v>
      </c>
      <c r="Y10" s="4">
        <f>COUNTIFS(Tbl_Responses[[Variable Costs]:[Variable Costs]],Y$3,Tbl_Responses[[Q1: region]:[Q1: region]],$S10,Tbl_Responses[[Resp_Group]:[Resp_Group]],Agronomist)/COUNTIFS(Tbl_Responses[[Q1: region]:[Q1: region]],$S10,Tbl_Responses[[Resp_Group]:[Resp_Group]],Agronomist)</f>
        <v>0.4</v>
      </c>
      <c r="Z10" s="4">
        <f>COUNTIFS(Tbl_Responses[[Variable Costs]:[Variable Costs]],Z$3,Tbl_Responses[[Q1: region]:[Q1: region]],$S10,Tbl_Responses[[Resp_Group]:[Resp_Group]],Agronomist)/COUNTIFS(Tbl_Responses[[Q1: region]:[Q1: region]],$S10,Tbl_Responses[[Resp_Group]:[Resp_Group]],Agronomist)</f>
        <v>0.2</v>
      </c>
      <c r="AA10" s="4">
        <f>COUNTIFS(Tbl_Responses[[Variable Costs]:[Variable Costs]],AA$3,Tbl_Responses[[Q1: region]:[Q1: region]],$S10,Tbl_Responses[[Resp_Group]:[Resp_Group]],Agronomist)/COUNTIFS(Tbl_Responses[[Q1: region]:[Q1: region]],$S10,Tbl_Responses[[Resp_Group]:[Resp_Group]],Agronomist)</f>
        <v>0.2</v>
      </c>
      <c r="AB10" s="4">
        <f>COUNTIFS(Tbl_Responses[[Variable Costs]:[Variable Costs]],AB$3,Tbl_Responses[[Q1: region]:[Q1: region]],$S10,Tbl_Responses[[Resp_Group]:[Resp_Group]],Agronomist)/COUNTIFS(Tbl_Responses[[Q1: region]:[Q1: region]],$S10,Tbl_Responses[[Resp_Group]:[Resp_Group]],Agronomist)</f>
        <v>0</v>
      </c>
      <c r="AG10" t="s">
        <v>164</v>
      </c>
      <c r="AH10" s="4">
        <f>COUNTIFS(Tbl_Responses[[Def_Nutrient_ID]:[Def_Nutrient_ID]],"*N*",Tbl_Responses[[Q1: region]:[Q1: region]],$AG10,Tbl_Responses[[Resp_Group]:[Resp_Group]],Agronomist)/COUNTIFS(Tbl_Responses[[Def_Nutrient_ID]:[Def_Nutrient_ID]],"&lt;&gt;"&amp;"",Tbl_Responses[[Q1: region]:[Q1: region]],$AG10,Tbl_Responses[[Resp_Group]:[Resp_Group]],Agronomist)</f>
        <v>1</v>
      </c>
      <c r="AI10" s="4">
        <f>COUNTIFS(Tbl_Responses[[Def_Nutrient_ID]:[Def_Nutrient_ID]],"*P*",Tbl_Responses[[Q1: region]:[Q1: region]],$AG10,Tbl_Responses[[Resp_Group]:[Resp_Group]],Agronomist)/COUNTIFS(Tbl_Responses[[Def_Nutrient_ID]:[Def_Nutrient_ID]],"&lt;&gt;"&amp;"",Tbl_Responses[[Q1: region]:[Q1: region]],$AG10,Tbl_Responses[[Resp_Group]:[Resp_Group]],Agronomist)</f>
        <v>0.8</v>
      </c>
      <c r="AJ10" s="4">
        <f>COUNTIFS(Tbl_Responses[[Def_Nutrient_ID]:[Def_Nutrient_ID]],"*K*",Tbl_Responses[[Q1: region]:[Q1: region]],$AG10,Tbl_Responses[[Resp_Group]:[Resp_Group]],Agronomist)/COUNTIFS(Tbl_Responses[[Def_Nutrient_ID]:[Def_Nutrient_ID]],"&lt;&gt;"&amp;"",Tbl_Responses[[Q1: region]:[Q1: region]],$AG10,Tbl_Responses[[Resp_Group]:[Resp_Group]],Agronomist)</f>
        <v>0</v>
      </c>
      <c r="AK10" s="4">
        <f>COUNTIFS(Tbl_Responses[[Def_Nutrient_ID]:[Def_Nutrient_ID]],"*S*",Tbl_Responses[[Q1: region]:[Q1: region]],$AG10,Tbl_Responses[[Resp_Group]:[Resp_Group]],Agronomist)/COUNTIFS(Tbl_Responses[[Def_Nutrient_ID]:[Def_Nutrient_ID]],"&lt;&gt;"&amp;"",Tbl_Responses[[Q1: region]:[Q1: region]],$AG10,Tbl_Responses[[Resp_Group]:[Resp_Group]],Agronomist)</f>
        <v>0.4</v>
      </c>
      <c r="AL10" s="4">
        <f>COUNTIFS(Tbl_Responses[[Def_Nutrient_ID]:[Def_Nutrient_ID]],"*Zn*",Tbl_Responses[[Q1: region]:[Q1: region]],$AG10,Tbl_Responses[[Resp_Group]:[Resp_Group]],Agronomist)/COUNTIFS(Tbl_Responses[[Def_Nutrient_ID]:[Def_Nutrient_ID]],"&lt;&gt;"&amp;"",Tbl_Responses[[Q1: region]:[Q1: region]],$AG10,Tbl_Responses[[Resp_Group]:[Resp_Group]],Agronomist)</f>
        <v>0.4</v>
      </c>
      <c r="AM10" s="4">
        <f>COUNTIFS(Tbl_Responses[[Def_Nutrient_ID]:[Def_Nutrient_ID]],"*Mn*",Tbl_Responses[[Q1: region]:[Q1: region]],$AG10,Tbl_Responses[[Resp_Group]:[Resp_Group]],Agronomist)/COUNTIFS(Tbl_Responses[[Def_Nutrient_ID]:[Def_Nutrient_ID]],"&lt;&gt;"&amp;"",Tbl_Responses[[Q1: region]:[Q1: region]],$AG10,Tbl_Responses[[Resp_Group]:[Resp_Group]],Agronomist)</f>
        <v>0.2</v>
      </c>
      <c r="AN10" s="4">
        <f>COUNTIFS(Tbl_Responses[[Def_Nutrient_ID]:[Def_Nutrient_ID]],"*Mg*",Tbl_Responses[[Q1: region]:[Q1: region]],$AG10,Tbl_Responses[[Resp_Group]:[Resp_Group]],Agronomist)/COUNTIFS(Tbl_Responses[[Def_Nutrient_ID]:[Def_Nutrient_ID]],"&lt;&gt;"&amp;"",Tbl_Responses[[Q1: region]:[Q1: region]],$AG10,Tbl_Responses[[Resp_Group]:[Resp_Group]],Agronomist)</f>
        <v>0.2</v>
      </c>
      <c r="AO10" s="4">
        <f>COUNTIFS(Tbl_Responses[[Def_Nutrient_ID]:[Def_Nutrient_ID]],"*Cu*",Tbl_Responses[[Q1: region]:[Q1: region]],$AG10,Tbl_Responses[[Resp_Group]:[Resp_Group]],Agronomist)/COUNTIFS(Tbl_Responses[[Def_Nutrient_ID]:[Def_Nutrient_ID]],"&lt;&gt;"&amp;"",Tbl_Responses[[Q1: region]:[Q1: region]],$AG10,Tbl_Responses[[Resp_Group]:[Resp_Group]],Agronomist)</f>
        <v>0.2</v>
      </c>
      <c r="AP10" s="4">
        <f>COUNTIFS(Tbl_Responses[[Def_Nutrient_ID]:[Def_Nutrient_ID]],"*B*",Tbl_Responses[[Q1: region]:[Q1: region]],$AG10,Tbl_Responses[[Resp_Group]:[Resp_Group]],Agronomist)/COUNTIFS(Tbl_Responses[[Def_Nutrient_ID]:[Def_Nutrient_ID]],"&lt;&gt;"&amp;"",Tbl_Responses[[Q1: region]:[Q1: region]],$AG10,Tbl_Responses[[Resp_Group]:[Resp_Group]],Agronomist)</f>
        <v>0</v>
      </c>
      <c r="AQ10" s="4">
        <f>COUNTIFS(Tbl_Responses[[Def_Nutrient_ID]:[Def_Nutrient_ID]],"*Ca*",Tbl_Responses[[Q1: region]:[Q1: region]],$AG10,Tbl_Responses[[Resp_Group]:[Resp_Group]],Agronomist)/COUNTIFS(Tbl_Responses[[Def_Nutrient_ID]:[Def_Nutrient_ID]],"&lt;&gt;"&amp;"",Tbl_Responses[[Q1: region]:[Q1: region]],$AG10,Tbl_Responses[[Resp_Group]:[Resp_Group]],Agronomist)</f>
        <v>0</v>
      </c>
      <c r="AR10" s="4">
        <f>COUNTIFS(Tbl_Responses[[Def_Nutrient_ID]:[Def_Nutrient_ID]],"*pH*",Tbl_Responses[[Q1: region]:[Q1: region]],$AG10,Tbl_Responses[[Resp_Group]:[Resp_Group]],Agronomist)/COUNTIFS(Tbl_Responses[[Def_Nutrient_ID]:[Def_Nutrient_ID]],"&lt;&gt;"&amp;"",Tbl_Responses[[Q1: region]:[Q1: region]],$AG10,Tbl_Responses[[Resp_Group]:[Resp_Group]],Agronomist)</f>
        <v>0</v>
      </c>
      <c r="AS10" s="4">
        <f>COUNTIFS(Tbl_Responses[[Def_Nutrient_ID]:[Def_Nutrient_ID]],"*T*",Tbl_Responses[[Q1: region]:[Q1: region]],$AG10,Tbl_Responses[[Resp_Group]:[Resp_Group]],Agronomist)/COUNTIFS(Tbl_Responses[[Def_Nutrient_ID]:[Def_Nutrient_ID]],"&lt;&gt;"&amp;"",Tbl_Responses[[Q1: region]:[Q1: region]],$AG10,Tbl_Responses[[Resp_Group]:[Resp_Group]],Agronomist)</f>
        <v>0</v>
      </c>
      <c r="AV10" t="s">
        <v>164</v>
      </c>
      <c r="AW10" s="4">
        <f>COUNTIFS(Tbl_Responses[[Q6: Do you do/recommend soil and/or plant testing?]:[Q6: Do you do/recommend soil and/or plant testing?]],"Yes",Tbl_Responses[[Q1: region]:[Q1: region]],$AV10,Tbl_Responses[[Resp_Group]:[Resp_Group]],Agronomist)/COUNTIFS(Tbl_Responses[[Q6: Do you do/recommend soil and/or plant testing?]:[Q6: Do you do/recommend soil and/or plant testing?]],"&lt;&gt;"&amp;"",Tbl_Responses[[Q1: region]:[Q1: region]],$AV10,Tbl_Responses[[Resp_Group]:[Resp_Group]],Agronomist)</f>
        <v>1</v>
      </c>
      <c r="AX10" s="4">
        <f>COUNTIFS(Tbl_Responses[[Q6: Do you do/recommend soil and/or plant testing?]:[Q6: Do you do/recommend soil and/or plant testing?]],"No",Tbl_Responses[[Q1: region]:[Q1: region]],$AV10,Tbl_Responses[[Resp_Group]:[Resp_Group]],Agronomist)/COUNTIFS(Tbl_Responses[[Q6: Do you do/recommend soil and/or plant testing?]:[Q6: Do you do/recommend soil and/or plant testing?]],"&lt;&gt;"&amp;"",Tbl_Responses[[Q1: region]:[Q1: region]],$AV10,Tbl_Responses[[Resp_Group]:[Resp_Group]],Agronomist)</f>
        <v>0</v>
      </c>
      <c r="AY10" s="3">
        <f>COUNTIFS(Tbl_Responses[[Q6: Do you do/recommend soil and/or plant testing?]:[Q6: Do you do/recommend soil and/or plant testing?]],"&gt;""",Tbl_Responses[[Q1: region]:[Q1: region]],$AV10,Tbl_Responses[[Resp_Group]:[Resp_Group]],Agronomist)</f>
        <v>5</v>
      </c>
      <c r="BH10" t="s">
        <v>2440</v>
      </c>
      <c r="BI10" s="3">
        <f>COUNTIFS(Tbl_Responses[Source_1_ID],$BH10,Tbl_Responses[[Resp_Group]:[Resp_Group]],Agronomist)+COUNTIFS(Tbl_Responses[Source_2_ID],$BH10,Tbl_Responses[[Resp_Group]:[Resp_Group]],Agronomist)+COUNTIFS(Tbl_Responses[Source_3_ID],$BH10,Tbl_Responses[[Resp_Group]:[Resp_Group]],Agronomist)</f>
        <v>5</v>
      </c>
      <c r="BJ10" s="4">
        <f>Tbl_Q11[[#This Row],[Q11 Response]]/SUM(Tbl_Q11[Q11 Response])</f>
        <v>3.048780487804878E-2</v>
      </c>
      <c r="CB10" s="83" t="s">
        <v>2501</v>
      </c>
      <c r="CC10" s="64">
        <f>(COUNTIFS(Tbl_Responses[Nitrogen 1 - Type of test],Tbl_14_sampling[[#Headers],[Organic Carbon]],Tbl_Responses[Nitrogen 1 - How many representative samples per paddock],$CB10,Tbl_Responses[[Resp_Group]:[Resp_Group]],Agronomist)+COUNTIFS(Tbl_Responses[Nitrogen 2 - Type of test],Tbl_14_sampling[[#Headers],[Organic Carbon]],Tbl_Responses[Nitrogen 2 - How many representative samples per paddock],$CB10,Tbl_Responses[[Resp_Group]:[Resp_Group]],Agronomist)+COUNTIFS(Tbl_Responses[Nitrogen 3 - Type of test],Tbl_14_sampling[[#Headers],[Organic Carbon]],Tbl_Responses[Nitrogen 3 - How many representative samples per paddock],$CB10,Tbl_Responses[[Resp_Group]:[Resp_Group]],Agronomist))/(COUNTIFS(Tbl_Responses[Nitrogen 1 - Type of test],Tbl_14_sampling[[#Headers],[Organic Carbon]],Tbl_Responses[Nitrogen 1 - How many representative samples per paddock],"&gt;""",Tbl_Responses[[Resp_Group]:[Resp_Group]],Agronomist)+COUNTIFS(Tbl_Responses[Nitrogen 2 - Type of test],Tbl_14_sampling[[#Headers],[Organic Carbon]],Tbl_Responses[Nitrogen 2 - How many representative samples per paddock],"&gt;""",Tbl_Responses[[Resp_Group]:[Resp_Group]],Agronomist)+COUNTIFS(Tbl_Responses[Nitrogen 3 - Type of test],Tbl_14_sampling[[#Headers],[Organic Carbon]],Tbl_Responses[Nitrogen 3 - How many representative samples per paddock],"&gt;""",Tbl_Responses[[Resp_Group]:[Resp_Group]],Agronomist))</f>
        <v>9.0909090909090912E-2</v>
      </c>
      <c r="CD10" s="64">
        <f>(COUNTIFS(Tbl_Responses[Nitrogen 1 - Type of test],Tbl_14_sampling[[#Headers],[Mineral N (Nitrate/Ammonium)]],Tbl_Responses[Nitrogen 1 - How many representative samples per paddock],$CB10,Tbl_Responses[[Resp_Group]:[Resp_Group]],Agronomist)+COUNTIFS(Tbl_Responses[Nitrogen 2 - Type of test],Tbl_14_sampling[[#Headers],[Mineral N (Nitrate/Ammonium)]],Tbl_Responses[Nitrogen 2 - How many representative samples per paddock],$CB10,Tbl_Responses[[Resp_Group]:[Resp_Group]],Agronomist)+COUNTIFS(Tbl_Responses[Nitrogen 3 - Type of test],Tbl_14_sampling[[#Headers],[Mineral N (Nitrate/Ammonium)]],Tbl_Responses[Nitrogen 3 - How many representative samples per paddock],$CB10,Tbl_Responses[[Resp_Group]:[Resp_Group]],Agronomist))/(COUNTIFS(Tbl_Responses[Nitrogen 1 - Type of test],Tbl_14_sampling[[#Headers],[Mineral N (Nitrate/Ammonium)]],Tbl_Responses[Nitrogen 1 - How many representative samples per paddock],"&gt;""",Tbl_Responses[[Resp_Group]:[Resp_Group]],Agronomist)+COUNTIFS(Tbl_Responses[Nitrogen 2 - Type of test],Tbl_14_sampling[[#Headers],[Mineral N (Nitrate/Ammonium)]],Tbl_Responses[Nitrogen 2 - How many representative samples per paddock],"&gt;""",Tbl_Responses[[Resp_Group]:[Resp_Group]],Agronomist)+COUNTIFS(Tbl_Responses[Nitrogen 3 - Type of test],Tbl_14_sampling[[#Headers],[Mineral N (Nitrate/Ammonium)]],Tbl_Responses[Nitrogen 3 - How many representative samples per paddock],"&gt;""",Tbl_Responses[[Resp_Group]:[Resp_Group]],Agronomist))</f>
        <v>0.10810810810810811</v>
      </c>
      <c r="CE10" s="64">
        <f>(COUNTIFS(Tbl_Responses[Nitrogen 1 - Type of test],Tbl_14_sampling[[#Headers],[Total N]],Tbl_Responses[Nitrogen 1 - How many representative samples per paddock],$CB10,Tbl_Responses[[Resp_Group]:[Resp_Group]],Agronomist)+COUNTIFS(Tbl_Responses[Nitrogen 2 - Type of test],Tbl_14_sampling[[#Headers],[Total N]],Tbl_Responses[Nitrogen 2 - How many representative samples per paddock],$CB10,Tbl_Responses[[Resp_Group]:[Resp_Group]],Agronomist)+COUNTIFS(Tbl_Responses[Nitrogen 3 - Type of test],Tbl_14_sampling[[#Headers],[Total N]],Tbl_Responses[Nitrogen 3 - How many representative samples per paddock],$CB10,Tbl_Responses[[Resp_Group]:[Resp_Group]],Agronomist))/(COUNTIFS(Tbl_Responses[Nitrogen 1 - Type of test],Tbl_14_sampling[[#Headers],[Total N]],Tbl_Responses[Nitrogen 1 - How many representative samples per paddock],"&gt;""",Tbl_Responses[[Resp_Group]:[Resp_Group]],Agronomist)+COUNTIFS(Tbl_Responses[Nitrogen 2 - Type of test],Tbl_14_sampling[[#Headers],[Total N]],Tbl_Responses[Nitrogen 2 - How many representative samples per paddock],"&gt;""",Tbl_Responses[[Resp_Group]:[Resp_Group]],Agronomist)+COUNTIFS(Tbl_Responses[Nitrogen 3 - Type of test],Tbl_14_sampling[[#Headers],[Total N]],Tbl_Responses[Nitrogen 3 - How many representative samples per paddock],"&gt;""",Tbl_Responses[[Resp_Group]:[Resp_Group]],Agronomist))</f>
        <v>0.12</v>
      </c>
      <c r="CF10" s="64">
        <f>(COUNTIFS(Tbl_Responses[Nitrogen 1 - How many representative samples per paddock],$CB10,Tbl_Responses[[Resp_Group]:[Resp_Group]],Agronomist)+COUNTIFS(Tbl_Responses[Nitrogen 2 - How many representative samples per paddock],$CB10,Tbl_Responses[[Resp_Group]:[Resp_Group]],Agronomist)+COUNTIFS(Tbl_Responses[Nitrogen 3 - How many representative samples per paddock],$CB10,Tbl_Responses[[Resp_Group]:[Resp_Group]],Agronomist))/(COUNTIFS(Tbl_Responses[Nitrogen 1 - How many representative samples per paddock],"&gt;""",Tbl_Responses[[Resp_Group]:[Resp_Group]],Agronomist)+COUNTIFS(Tbl_Responses[Nitrogen 2 - How many representative samples per paddock],"&gt;""",Tbl_Responses[[Resp_Group]:[Resp_Group]],Agronomist)+COUNTIFS(Tbl_Responses[Nitrogen 3 - How many representative samples per paddock],"&gt;""",Tbl_Responses[[Resp_Group]:[Resp_Group]],Agronomist))</f>
        <v>0.10526315789473684</v>
      </c>
      <c r="CG10" s="72"/>
      <c r="CH10" s="72"/>
      <c r="CI10" s="72"/>
      <c r="CJ10" s="72"/>
      <c r="CK10" s="72"/>
      <c r="CL10" s="72"/>
      <c r="CM10" s="83" t="s">
        <v>2501</v>
      </c>
      <c r="CN10" s="68">
        <f>(COUNTIFS(Tbl_Responses[Phosphorus 1 - Type of test],Tbl_Q15_sampling[[#Headers],[Colwell P]],Tbl_Responses[Phosphorus 1 - How many representative samples per paddock],$CM10,Tbl_Responses[[Resp_Group]:[Resp_Group]],Agronomist)+COUNTIFS(Tbl_Responses[Phosphorus 2 - Type of test],Tbl_Q15_sampling[[#Headers],[Colwell P]],Tbl_Responses[Phosphorus 2 - How many representative samples per paddock],$CM10,Tbl_Responses[[Resp_Group]:[Resp_Group]],Agronomist)+COUNTIFS(Tbl_Responses[Phosphorus 3 - Type of test],Tbl_Q15_sampling[[#Headers],[Colwell P]],Tbl_Responses[Phosphorus 3 - How many representative samples per paddock],$CM10,Tbl_Responses[[Resp_Group]:[Resp_Group]],Agronomist)+COUNTIFS(Tbl_Responses[Phosphorus 4 - Type of test],Tbl_Q15_sampling[[#Headers],[Colwell P]],Tbl_Responses[Phosphorus 4 - How many representative samples per paddock],$CM10,Tbl_Responses[[Resp_Group]:[Resp_Group]],Agronomist)+COUNTIFS(Tbl_Responses[Phosphorus 5 - Type of test],Tbl_Q15_sampling[[#Headers],[Colwell P]],Tbl_Responses[Phosphorus 5 - How many representative samples per paddock],$CM10,Tbl_Responses[[Resp_Group]:[Resp_Group]],Agronomist))/(COUNTIFS(Tbl_Responses[Phosphorus 1 - Type of test],Tbl_Q15_sampling[[#Headers],[Colwell P]],Tbl_Responses[Phosphorus 1 - How many representative samples per paddock],"&gt;""",Tbl_Responses[[Resp_Group]:[Resp_Group]],Agronomist)+COUNTIFS(Tbl_Responses[Phosphorus 2 - Type of test],Tbl_Q15_sampling[[#Headers],[Colwell P]],Tbl_Responses[Phosphorus 2 - How many representative samples per paddock],"&gt;""",Tbl_Responses[[Resp_Group]:[Resp_Group]],Agronomist)+COUNTIFS(Tbl_Responses[Phosphorus 3 - Type of test],Tbl_Q15_sampling[[#Headers],[Colwell P]],Tbl_Responses[Phosphorus 3 - How many representative samples per paddock],"&gt;""",Tbl_Responses[[Resp_Group]:[Resp_Group]],Agronomist)+COUNTIFS(Tbl_Responses[Phosphorus 4 - Type of test],Tbl_Q15_sampling[[#Headers],[Colwell P]],Tbl_Responses[Phosphorus 4 - How many representative samples per paddock],"&gt;""",Tbl_Responses[[Resp_Group]:[Resp_Group]],Agronomist)+COUNTIFS(Tbl_Responses[Phosphorus 5 - Type of test],Tbl_Q15_sampling[[#Headers],[Colwell P]],Tbl_Responses[Phosphorus 5 - How many representative samples per paddock],"&gt;""",Tbl_Responses[[Resp_Group]:[Resp_Group]],Agronomist))</f>
        <v>4.2553191489361701E-2</v>
      </c>
      <c r="CO10" s="64">
        <f>(COUNTIFS(Tbl_Responses[Phosphorus 1 - Type of test],Tbl_Q15_sampling[[#Headers],[Olsen-Bray P]],Tbl_Responses[Phosphorus 1 - How many representative samples per paddock],$CM10,Tbl_Responses[[Resp_Group]:[Resp_Group]],Agronomist)+COUNTIFS(Tbl_Responses[Phosphorus 2 - Type of test],Tbl_Q15_sampling[[#Headers],[Olsen-Bray P]],Tbl_Responses[Phosphorus 2 - How many representative samples per paddock],$CM10,Tbl_Responses[[Resp_Group]:[Resp_Group]],Agronomist)+COUNTIFS(Tbl_Responses[Phosphorus 3 - Type of test],Tbl_Q15_sampling[[#Headers],[Olsen-Bray P]],Tbl_Responses[Phosphorus 3 - How many representative samples per paddock],$CM10,Tbl_Responses[[Resp_Group]:[Resp_Group]],Agronomist)+COUNTIFS(Tbl_Responses[Phosphorus 4 - Type of test],Tbl_Q15_sampling[[#Headers],[Olsen-Bray P]],Tbl_Responses[Phosphorus 4 - How many representative samples per paddock],$CM10,Tbl_Responses[[Resp_Group]:[Resp_Group]],Agronomist)+COUNTIFS(Tbl_Responses[Phosphorus 5 - Type of test],Tbl_Q15_sampling[[#Headers],[Olsen-Bray P]],Tbl_Responses[Phosphorus 5 - How many representative samples per paddock],$CM10,Tbl_Responses[[Resp_Group]:[Resp_Group]],Agronomist))/(COUNTIFS(Tbl_Responses[Phosphorus 1 - Type of test],Tbl_Q15_sampling[[#Headers],[Olsen-Bray P]],Tbl_Responses[Phosphorus 1 - How many representative samples per paddock],"&gt;""",Tbl_Responses[[Resp_Group]:[Resp_Group]],Agronomist)+COUNTIFS(Tbl_Responses[Phosphorus 2 - Type of test],Tbl_Q15_sampling[[#Headers],[Olsen-Bray P]],Tbl_Responses[Phosphorus 2 - How many representative samples per paddock],"&gt;""",Tbl_Responses[[Resp_Group]:[Resp_Group]],Agronomist)+COUNTIFS(Tbl_Responses[Phosphorus 3 - Type of test],Tbl_Q15_sampling[[#Headers],[Olsen-Bray P]],Tbl_Responses[Phosphorus 3 - How many representative samples per paddock],"&gt;""",Tbl_Responses[[Resp_Group]:[Resp_Group]],Agronomist)+COUNTIFS(Tbl_Responses[Phosphorus 4 - Type of test],Tbl_Q15_sampling[[#Headers],[Olsen-Bray P]],Tbl_Responses[Phosphorus 4 - How many representative samples per paddock],"&gt;""",Tbl_Responses[[Resp_Group]:[Resp_Group]],Agronomist)+COUNTIFS(Tbl_Responses[Phosphorus 5 - Type of test],Tbl_Q15_sampling[[#Headers],[Olsen-Bray P]],Tbl_Responses[Phosphorus 5 - How many representative samples per paddock],"&gt;""",Tbl_Responses[[Resp_Group]:[Resp_Group]],Agronomist))</f>
        <v>9.0909090909090912E-2</v>
      </c>
      <c r="CP10" s="64">
        <f>(COUNTIFS(Tbl_Responses[Phosphorus 1 - Type of test],Tbl_Q15_sampling[[#Headers],[PBI (Phosphorus Buffering Index)]],Tbl_Responses[Phosphorus 1 - How many representative samples per paddock],$CM10,Tbl_Responses[[Resp_Group]:[Resp_Group]],Agronomist)+COUNTIFS(Tbl_Responses[Phosphorus 2 - Type of test],Tbl_Q15_sampling[[#Headers],[PBI (Phosphorus Buffering Index)]],Tbl_Responses[Phosphorus 2 - How many representative samples per paddock],$CM10,Tbl_Responses[[Resp_Group]:[Resp_Group]],Agronomist)+COUNTIFS(Tbl_Responses[Phosphorus 3 - Type of test],Tbl_Q15_sampling[[#Headers],[PBI (Phosphorus Buffering Index)]],Tbl_Responses[Phosphorus 3 - How many representative samples per paddock],$CM10,Tbl_Responses[[Resp_Group]:[Resp_Group]],Agronomist)+COUNTIFS(Tbl_Responses[Phosphorus 4 - Type of test],Tbl_Q15_sampling[[#Headers],[PBI (Phosphorus Buffering Index)]],Tbl_Responses[Phosphorus 4 - How many representative samples per paddock],$CM10,Tbl_Responses[[Resp_Group]:[Resp_Group]],Agronomist)+COUNTIFS(Tbl_Responses[Phosphorus 5 - Type of test],Tbl_Q15_sampling[[#Headers],[PBI (Phosphorus Buffering Index)]],Tbl_Responses[Phosphorus 5 - How many representative samples per paddock],$CM10,Tbl_Responses[[Resp_Group]:[Resp_Group]],Agronomist))/(COUNTIFS(Tbl_Responses[Phosphorus 1 - Type of test],Tbl_Q15_sampling[[#Headers],[PBI (Phosphorus Buffering Index)]],Tbl_Responses[Phosphorus 1 - How many representative samples per paddock],"&gt;""",Tbl_Responses[[Resp_Group]:[Resp_Group]],Agronomist)+COUNTIFS(Tbl_Responses[Phosphorus 2 - Type of test],Tbl_Q15_sampling[[#Headers],[PBI (Phosphorus Buffering Index)]],Tbl_Responses[Phosphorus 2 - How many representative samples per paddock],"&gt;""",Tbl_Responses[[Resp_Group]:[Resp_Group]],Agronomist)+COUNTIFS(Tbl_Responses[Phosphorus 3 - Type of test],Tbl_Q15_sampling[[#Headers],[PBI (Phosphorus Buffering Index)]],Tbl_Responses[Phosphorus 3 - How many representative samples per paddock],"&gt;""",Tbl_Responses[[Resp_Group]:[Resp_Group]],Agronomist)+COUNTIFS(Tbl_Responses[Phosphorus 4 - Type of test],Tbl_Q15_sampling[[#Headers],[PBI (Phosphorus Buffering Index)]],Tbl_Responses[Phosphorus 4 - How many representative samples per paddock],"&gt;""",Tbl_Responses[[Resp_Group]:[Resp_Group]],Agronomist)+COUNTIFS(Tbl_Responses[Phosphorus 5 - Type of test],Tbl_Q15_sampling[[#Headers],[PBI (Phosphorus Buffering Index)]],Tbl_Responses[Phosphorus 5 - How many representative samples per paddock],"&gt;""",Tbl_Responses[[Resp_Group]:[Resp_Group]],Agronomist))</f>
        <v>0</v>
      </c>
      <c r="CQ10" s="64">
        <f>(COUNTIFS(Tbl_Responses[Phosphorus 1 - Type of test],Tbl_Q15_sampling[[#Headers],[DGT]],Tbl_Responses[Phosphorus 1 - How many representative samples per paddock],$CM10,Tbl_Responses[[Resp_Group]:[Resp_Group]],Agronomist)+COUNTIFS(Tbl_Responses[Phosphorus 2 - Type of test],Tbl_Q15_sampling[[#Headers],[DGT]],Tbl_Responses[Phosphorus 2 - How many representative samples per paddock],$CM10,Tbl_Responses[[Resp_Group]:[Resp_Group]],Agronomist)+COUNTIFS(Tbl_Responses[Phosphorus 3 - Type of test],Tbl_Q15_sampling[[#Headers],[DGT]],Tbl_Responses[Phosphorus 3 - How many representative samples per paddock],$CM10,Tbl_Responses[[Resp_Group]:[Resp_Group]],Agronomist)+COUNTIFS(Tbl_Responses[Phosphorus 4 - Type of test],Tbl_Q15_sampling[[#Headers],[DGT]],Tbl_Responses[Phosphorus 4 - How many representative samples per paddock],$CM10,Tbl_Responses[[Resp_Group]:[Resp_Group]],Agronomist)+COUNTIFS(Tbl_Responses[Phosphorus 5 - Type of test],Tbl_Q15_sampling[[#Headers],[DGT]],Tbl_Responses[Phosphorus 5 - How many representative samples per paddock],$CM10,Tbl_Responses[[Resp_Group]:[Resp_Group]],Agronomist))/(COUNTIFS(Tbl_Responses[Phosphorus 1 - Type of test],Tbl_Q15_sampling[[#Headers],[DGT]],Tbl_Responses[Phosphorus 1 - How many representative samples per paddock],"&gt;""",Tbl_Responses[[Resp_Group]:[Resp_Group]],Agronomist)+COUNTIFS(Tbl_Responses[Phosphorus 2 - Type of test],Tbl_Q15_sampling[[#Headers],[DGT]],Tbl_Responses[Phosphorus 2 - How many representative samples per paddock],"&gt;""",Tbl_Responses[[Resp_Group]:[Resp_Group]],Agronomist)+COUNTIFS(Tbl_Responses[Phosphorus 3 - Type of test],Tbl_Q15_sampling[[#Headers],[DGT]],Tbl_Responses[Phosphorus 3 - How many representative samples per paddock],"&gt;""",Tbl_Responses[[Resp_Group]:[Resp_Group]],Agronomist)+COUNTIFS(Tbl_Responses[Phosphorus 4 - Type of test],Tbl_Q15_sampling[[#Headers],[DGT]],Tbl_Responses[Phosphorus 4 - How many representative samples per paddock],"&gt;""",Tbl_Responses[[Resp_Group]:[Resp_Group]],Agronomist)+COUNTIFS(Tbl_Responses[Phosphorus 5 - Type of test],Tbl_Q15_sampling[[#Headers],[DGT]],Tbl_Responses[Phosphorus 5 - How many representative samples per paddock],"&gt;""",Tbl_Responses[[Resp_Group]:[Resp_Group]],Agronomist))</f>
        <v>4.1666666666666664E-2</v>
      </c>
      <c r="CR10" s="64">
        <f>(COUNTIFS(Tbl_Responses[Phosphorus 1 - Type of test],Tbl_Q15_sampling[[#Headers],[Total P]],Tbl_Responses[Phosphorus 1 - How many representative samples per paddock],$CM10,Tbl_Responses[[Resp_Group]:[Resp_Group]],Agronomist)+COUNTIFS(Tbl_Responses[Phosphorus 2 - Type of test],Tbl_Q15_sampling[[#Headers],[Total P]],Tbl_Responses[Phosphorus 2 - How many representative samples per paddock],$CM10,Tbl_Responses[[Resp_Group]:[Resp_Group]],Agronomist)+COUNTIFS(Tbl_Responses[Phosphorus 3 - Type of test],Tbl_Q15_sampling[[#Headers],[Total P]],Tbl_Responses[Phosphorus 3 - How many representative samples per paddock],$CM10,Tbl_Responses[[Resp_Group]:[Resp_Group]],Agronomist)+COUNTIFS(Tbl_Responses[Phosphorus 4 - Type of test],Tbl_Q15_sampling[[#Headers],[Total P]],Tbl_Responses[Phosphorus 4 - How many representative samples per paddock],$CM10,Tbl_Responses[[Resp_Group]:[Resp_Group]],Agronomist)+COUNTIFS(Tbl_Responses[Phosphorus 5 - Type of test],Tbl_Q15_sampling[[#Headers],[Total P]],Tbl_Responses[Phosphorus 5 - How many representative samples per paddock],$CM10,Tbl_Responses[[Resp_Group]:[Resp_Group]],Agronomist))/(COUNTIFS(Tbl_Responses[Phosphorus 1 - Type of test],Tbl_Q15_sampling[[#Headers],[Total P]],Tbl_Responses[Phosphorus 1 - How many representative samples per paddock],"&gt;""",Tbl_Responses[[Resp_Group]:[Resp_Group]],Agronomist)+COUNTIFS(Tbl_Responses[Phosphorus 2 - Type of test],Tbl_Q15_sampling[[#Headers],[Total P]],Tbl_Responses[Phosphorus 2 - How many representative samples per paddock],"&gt;""",Tbl_Responses[[Resp_Group]:[Resp_Group]],Agronomist)+COUNTIFS(Tbl_Responses[Phosphorus 3 - Type of test],Tbl_Q15_sampling[[#Headers],[Total P]],Tbl_Responses[Phosphorus 3 - How many representative samples per paddock],"&gt;""",Tbl_Responses[[Resp_Group]:[Resp_Group]],Agronomist)+COUNTIFS(Tbl_Responses[Phosphorus 4 - Type of test],Tbl_Q15_sampling[[#Headers],[Total P]],Tbl_Responses[Phosphorus 4 - How many representative samples per paddock],"&gt;""",Tbl_Responses[[Resp_Group]:[Resp_Group]],Agronomist)+COUNTIFS(Tbl_Responses[Phosphorus 5 - Type of test],Tbl_Q15_sampling[[#Headers],[Total P]],Tbl_Responses[Phosphorus 5 - How many representative samples per paddock],"&gt;""",Tbl_Responses[[Resp_Group]:[Resp_Group]],Agronomist))</f>
        <v>0.25</v>
      </c>
      <c r="CS10" s="82">
        <f>(COUNTIFS(Tbl_Responses[Phosphorus 1 - How many representative samples per paddock],$CM10,Tbl_Responses[[Resp_Group]:[Resp_Group]],Agronomist)+COUNTIFS(Tbl_Responses[Phosphorus 2 - How many representative samples per paddock],$CM10,Tbl_Responses[[Resp_Group]:[Resp_Group]],Agronomist)+COUNTIFS(Tbl_Responses[Phosphorus 3 - How many representative samples per paddock],$CM10,Tbl_Responses[[Resp_Group]:[Resp_Group]],Agronomist)+COUNTIFS(Tbl_Responses[Phosphorus 4 - How many representative samples per paddock],$CM10,Tbl_Responses[[Resp_Group]:[Resp_Group]],Agronomist)+COUNTIFS(Tbl_Responses[Phosphorus 5 - How many representative samples per paddock],$CM10,Tbl_Responses[[Resp_Group]:[Resp_Group]],Agronomist))/(COUNTIFS(Tbl_Responses[Phosphorus 1 - How many representative samples per paddock],"&gt;""",Tbl_Responses[[Resp_Group]:[Resp_Group]],Agronomist)+COUNTIFS(Tbl_Responses[Phosphorus 2 - How many representative samples per paddock],"&gt;""",Tbl_Responses[[Resp_Group]:[Resp_Group]],Agronomist)+COUNTIFS(Tbl_Responses[Phosphorus 3 - How many representative samples per paddock],"&gt;""",Tbl_Responses[[Resp_Group]:[Resp_Group]],Agronomist)+COUNTIFS(Tbl_Responses[Phosphorus 4 - How many representative samples per paddock],"&gt;""",Tbl_Responses[[Resp_Group]:[Resp_Group]],Agronomist)+COUNTIFS(Tbl_Responses[Phosphorus 5 - How many representative samples per paddock],"&gt;""",Tbl_Responses[[Resp_Group]:[Resp_Group]],Agronomist))</f>
        <v>4.2735042735042736E-2</v>
      </c>
      <c r="CT10" s="72"/>
      <c r="CU10" s="72"/>
      <c r="CV10" s="73"/>
      <c r="CW10" s="73"/>
      <c r="CX10" s="72"/>
      <c r="CY10" s="72"/>
      <c r="CZ10" s="83" t="s">
        <v>2501</v>
      </c>
      <c r="DA10" s="68">
        <f>(COUNTIFS(Tbl_Responses[Potassium 1 - Type of test],Tbl_Q16_sampling[[#Headers],[Colwell K]],Tbl_Responses[Potassium 1 - How many representative samples per paddock],$CZ10,Tbl_Responses[[Resp_Group]:[Resp_Group]],Agronomist)+COUNTIFS(Tbl_Responses[Potassium 2 - Type of test],Tbl_Q16_sampling[[#Headers],[Colwell K]],Tbl_Responses[Potassium 2 - How many representative samples per paddock],$CZ10,Tbl_Responses[[Resp_Group]:[Resp_Group]],Agronomist)+COUNTIFS(Tbl_Responses[Potassium 3 - Type of test],Tbl_Q16_sampling[[#Headers],[Colwell K]],Tbl_Responses[Potassium 3 - How many representative samples per paddock],$CZ10,Tbl_Responses[[Resp_Group]:[Resp_Group]],Agronomist))/(COUNTIFS(Tbl_Responses[Potassium 1 - Type of test],Tbl_Q16_sampling[[#Headers],[Colwell K]],Tbl_Responses[Potassium 1 - How many representative samples per paddock],"&gt;""",Tbl_Responses[[Resp_Group]:[Resp_Group]],Agronomist)+COUNTIFS(Tbl_Responses[Potassium 2 - Type of test],Tbl_Q16_sampling[[#Headers],[Colwell K]],Tbl_Responses[Potassium 2 - How many representative samples per paddock],"&gt;""",Tbl_Responses[[Resp_Group]:[Resp_Group]],Agronomist)+COUNTIFS(Tbl_Responses[Potassium 3 - Type of test],Tbl_Q16_sampling[[#Headers],[Colwell K]],Tbl_Responses[Potassium 3 - How many representative samples per paddock],"&gt;""",Tbl_Responses[[Resp_Group]:[Resp_Group]],Agronomist))</f>
        <v>6.4516129032258063E-2</v>
      </c>
      <c r="DB10" s="64">
        <f>(COUNTIFS(Tbl_Responses[Potassium 1 - Type of test],Tbl_Q16_sampling[[#Headers],[Exchangable Cations (Ca, Mg, K, Na)]],Tbl_Responses[Potassium 1 - How many representative samples per paddock],$CZ10,Tbl_Responses[[Resp_Group]:[Resp_Group]],Agronomist)+COUNTIFS(Tbl_Responses[Potassium 2 - Type of test],Tbl_Q16_sampling[[#Headers],[Exchangable Cations (Ca, Mg, K, Na)]],Tbl_Responses[Potassium 2 - How many representative samples per paddock],$CZ10,Tbl_Responses[[Resp_Group]:[Resp_Group]],Agronomist)+COUNTIFS(Tbl_Responses[Potassium 3 - Type of test],Tbl_Q16_sampling[[#Headers],[Exchangable Cations (Ca, Mg, K, Na)]],Tbl_Responses[Potassium 3 - How many representative samples per paddock],$CZ10,Tbl_Responses[[Resp_Group]:[Resp_Group]],Agronomist))/(COUNTIFS(Tbl_Responses[Potassium 1 - Type of test],Tbl_Q16_sampling[[#Headers],[Exchangable Cations (Ca, Mg, K, Na)]],Tbl_Responses[Potassium 1 - How many representative samples per paddock],"&gt;""",Tbl_Responses[[Resp_Group]:[Resp_Group]],Agronomist)+COUNTIFS(Tbl_Responses[Potassium 2 - Type of test],Tbl_Q16_sampling[[#Headers],[Exchangable Cations (Ca, Mg, K, Na)]],Tbl_Responses[Potassium 2 - How many representative samples per paddock],"&gt;""",Tbl_Responses[[Resp_Group]:[Resp_Group]],Agronomist)+COUNTIFS(Tbl_Responses[Potassium 3 - Type of test],Tbl_Q16_sampling[[#Headers],[Exchangable Cations (Ca, Mg, K, Na)]],Tbl_Responses[Potassium 3 - How many representative samples per paddock],"&gt;""",Tbl_Responses[[Resp_Group]:[Resp_Group]],Agronomist))</f>
        <v>4.5454545454545456E-2</v>
      </c>
      <c r="DC10" s="69">
        <f>(COUNTIFS(Tbl_Responses[Potassium 1 - How many representative samples per paddock],$CZ10,Tbl_Responses[[Resp_Group]:[Resp_Group]],Agronomist)+COUNTIFS(Tbl_Responses[Potassium 2 - How many representative samples per paddock],$CZ10,Tbl_Responses[[Resp_Group]:[Resp_Group]],Agronomist)+COUNTIFS(Tbl_Responses[Potassium 3 - How many representative samples per paddock],$CZ10,Tbl_Responses[[Resp_Group]:[Resp_Group]],Agronomist))/(COUNTIFS(Tbl_Responses[Potassium 1 - How many representative samples per paddock],"&gt;""",Tbl_Responses[[Resp_Group]:[Resp_Group]],Agronomist)+COUNTIFS(Tbl_Responses[Potassium 2 - How many representative samples per paddock],"&gt;""",Tbl_Responses[[Resp_Group]:[Resp_Group]],Agronomist)+COUNTIFS(Tbl_Responses[Potassium 3 - How many representative samples per paddock],"&gt;""",Tbl_Responses[[Resp_Group]:[Resp_Group]],Agronomist))</f>
        <v>5.6603773584905662E-2</v>
      </c>
      <c r="DD10" s="72"/>
      <c r="DE10" s="72"/>
      <c r="DF10" s="80" t="s">
        <v>224</v>
      </c>
      <c r="DG10" s="72">
        <f>(COUNTIFS(Tbl_Responses[1 - Type of test],DF10,Tbl_Responses[[Resp_Group]:[Resp_Group]],Agronomist)+COUNTIFS(Tbl_Responses[2 - Type of test],DF10,Tbl_Responses[[Resp_Group]:[Resp_Group]],Agronomist)+COUNTIFS(Tbl_Responses[3 - Type of test],DF10,Tbl_Responses[[Resp_Group]:[Resp_Group]],Agronomist)+COUNTIFS(Tbl_Responses[4 - Type of test],DF10,Tbl_Responses[[Resp_Group]:[Resp_Group]],Agronomist)+COUNTIFS(Tbl_Responses[5 - Type of test],DF10,Tbl_Responses[[Resp_Group]:[Resp_Group]],Agronomist))/(COUNTIFS(Tbl_Responses[1 -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f>
        <v>3.0567685589519649E-2</v>
      </c>
      <c r="DH10" s="72"/>
      <c r="DI10" s="72"/>
      <c r="DJ10" s="83" t="s">
        <v>2501</v>
      </c>
      <c r="DK10" s="68">
        <f>(COUNTIFS(Tbl_Responses[1 - Type of test],Tbl_Q17_sampling[[#Headers],[pH]],Tbl_Responses[1 - How many cores per paddock],$DJ10,Tbl_Responses[[Resp_Group]:[Resp_Group]],Agronomist)+COUNTIFS(Tbl_Responses[2 - Type of test],Tbl_Q17_sampling[[#Headers],[pH]],Tbl_Responses[2 - How many cores per paddock],$DJ10,Tbl_Responses[[Resp_Group]:[Resp_Group]],Agronomist)+COUNTIFS(Tbl_Responses[3 - Type of test],Tbl_Q17_sampling[[#Headers],[pH]],Tbl_Responses[3 - How many cores per paddock],$DJ10,Tbl_Responses[[Resp_Group]:[Resp_Group]],Agronomist)+COUNTIFS(Tbl_Responses[4 - Type of test],Tbl_Q17_sampling[[#Headers],[pH]],Tbl_Responses[4 - How many cores per paddock],$DJ10,Tbl_Responses[[Resp_Group]:[Resp_Group]],Agronomist)+COUNTIFS(Tbl_Responses[5 - Type of test],Tbl_Q17_sampling[[#Headers],[pH]],Tbl_Responses[5 - How many cores per paddock],$DJ10,Tbl_Responses[[Resp_Group]:[Resp_Group]],Agronomist)+COUNTIFS(Tbl_Responses[6 - Type of test],Tbl_Q17_sampling[[#Headers],[pH]],Tbl_Responses[6 - How many cores per paddock],$DJ10,Tbl_Responses[[Resp_Group]:[Resp_Group]],Agronomist)+COUNTIFS(Tbl_Responses[7 - Type of test],Tbl_Q17_sampling[[#Headers],[pH]],Tbl_Responses[7 - How many cores per paddock],$DJ10,Tbl_Responses[[Resp_Group]:[Resp_Group]],Agronomist)+COUNTIFS(Tbl_Responses[8 - Type of test],Tbl_Q17_sampling[[#Headers],[pH]],Tbl_Responses[8 - How many cores per paddock],$DJ10,Tbl_Responses[[Resp_Group]:[Resp_Group]],Agronomist))/(COUNTIFS(Tbl_Responses[1 - Type of test],Tbl_Q17_sampling[[#Headers],[pH]],Tbl_Responses[1 - How many cores per paddock],"&gt;""",Tbl_Responses[[Resp_Group]:[Resp_Group]],Agronomist)+COUNTIFS(Tbl_Responses[2 - Type of test],Tbl_Q17_sampling[[#Headers],[pH]],Tbl_Responses[2 - How many cores per paddock],"&gt;""",Tbl_Responses[[Resp_Group]:[Resp_Group]],Agronomist)+COUNTIFS(Tbl_Responses[3 - Type of test],Tbl_Q17_sampling[[#Headers],[pH]],Tbl_Responses[3 - How many cores per paddock],"&gt;""",Tbl_Responses[[Resp_Group]:[Resp_Group]],Agronomist)+COUNTIFS(Tbl_Responses[4 - Type of test],Tbl_Q17_sampling[[#Headers],[pH]],Tbl_Responses[4 - How many cores per paddock],"&gt;""",Tbl_Responses[[Resp_Group]:[Resp_Group]],Agronomist)+COUNTIFS(Tbl_Responses[5 - Type of test],Tbl_Q17_sampling[[#Headers],[pH]],Tbl_Responses[5 - How many cores per paddock],"&gt;""",Tbl_Responses[[Resp_Group]:[Resp_Group]],Agronomist)+COUNTIFS(Tbl_Responses[6 - Type of test],Tbl_Q17_sampling[[#Headers],[pH]],Tbl_Responses[6 - How many cores per paddock],"&gt;""",Tbl_Responses[[Resp_Group]:[Resp_Group]],Agronomist)+COUNTIFS(Tbl_Responses[7 - Type of test],Tbl_Q17_sampling[[#Headers],[pH]],Tbl_Responses[7 - How many cores per paddock],"&gt;""",Tbl_Responses[[Resp_Group]:[Resp_Group]],Agronomist)+COUNTIFS(Tbl_Responses[8 - Type of test],Tbl_Q17_sampling[[#Headers],[pH]],Tbl_Responses[8 - How many cores per paddock],"&gt;""",Tbl_Responses[[Resp_Group]:[Resp_Group]],Agronomist))</f>
        <v>2.7027027027027029E-2</v>
      </c>
      <c r="DL10" s="64">
        <f>(COUNTIFS(Tbl_Responses[1 - Type of test],Tbl_Q17_sampling[[#Headers],[Trace elements (DTPA) Cu, Zn, Mg, Fe]],Tbl_Responses[1 - How many cores per paddock],$DJ10,Tbl_Responses[[Resp_Group]:[Resp_Group]],Agronomist)+COUNTIFS(Tbl_Responses[2 - Type of test],Tbl_Q17_sampling[[#Headers],[Trace elements (DTPA) Cu, Zn, Mg, Fe]],Tbl_Responses[2 - How many cores per paddock],$DJ10,Tbl_Responses[[Resp_Group]:[Resp_Group]],Agronomist)+COUNTIFS(Tbl_Responses[3 - Type of test],Tbl_Q17_sampling[[#Headers],[Trace elements (DTPA) Cu, Zn, Mg, Fe]],Tbl_Responses[3 - How many cores per paddock],$DJ10,Tbl_Responses[[Resp_Group]:[Resp_Group]],Agronomist)+COUNTIFS(Tbl_Responses[4 - Type of test],Tbl_Q17_sampling[[#Headers],[Trace elements (DTPA) Cu, Zn, Mg, Fe]],Tbl_Responses[4 - How many cores per paddock],$DJ10,Tbl_Responses[[Resp_Group]:[Resp_Group]],Agronomist)+COUNTIFS(Tbl_Responses[5 - Type of test],Tbl_Q17_sampling[[#Headers],[Trace elements (DTPA) Cu, Zn, Mg, Fe]],Tbl_Responses[5 - How many cores per paddock],$DJ10,Tbl_Responses[[Resp_Group]:[Resp_Group]],Agronomist)+COUNTIFS(Tbl_Responses[6 - Type of test],Tbl_Q17_sampling[[#Headers],[Trace elements (DTPA) Cu, Zn, Mg, Fe]],Tbl_Responses[6 - How many cores per paddock],$DJ10,Tbl_Responses[[Resp_Group]:[Resp_Group]],Agronomist)+COUNTIFS(Tbl_Responses[7 - Type of test],Tbl_Q17_sampling[[#Headers],[Trace elements (DTPA) Cu, Zn, Mg, Fe]],Tbl_Responses[7 - How many cores per paddock],$DJ10,Tbl_Responses[[Resp_Group]:[Resp_Group]],Agronomist)+COUNTIFS(Tbl_Responses[8 - Type of test],Tbl_Q17_sampling[[#Headers],[Trace elements (DTPA) Cu, Zn, Mg, Fe]],Tbl_Responses[8 - How many cores per paddock],$DJ10,Tbl_Responses[[Resp_Group]:[Resp_Group]],Agronomist))/(COUNTIFS(Tbl_Responses[1 - Type of test],Tbl_Q17_sampling[[#Headers],[Trace elements (DTPA) Cu, Zn, Mg, Fe]],Tbl_Responses[1 - How many cores per paddock],"&gt;""",Tbl_Responses[[Resp_Group]:[Resp_Group]],Agronomist)+COUNTIFS(Tbl_Responses[2 - Type of test],Tbl_Q17_sampling[[#Headers],[Trace elements (DTPA) Cu, Zn, Mg, Fe]],Tbl_Responses[2 - How many cores per paddock],"&gt;""",Tbl_Responses[[Resp_Group]:[Resp_Group]],Agronomist)+COUNTIFS(Tbl_Responses[3 - Type of test],Tbl_Q17_sampling[[#Headers],[Trace elements (DTPA) Cu, Zn, Mg, Fe]],Tbl_Responses[3 - How many cores per paddock],"&gt;""",Tbl_Responses[[Resp_Group]:[Resp_Group]],Agronomist)+COUNTIFS(Tbl_Responses[4 - Type of test],Tbl_Q17_sampling[[#Headers],[Trace elements (DTPA) Cu, Zn, Mg, Fe]],Tbl_Responses[4 - How many cores per paddock],"&gt;""",Tbl_Responses[[Resp_Group]:[Resp_Group]],Agronomist)+COUNTIFS(Tbl_Responses[5 - Type of test],Tbl_Q17_sampling[[#Headers],[Trace elements (DTPA) Cu, Zn, Mg, Fe]],Tbl_Responses[5 - How many cores per paddock],"&gt;""",Tbl_Responses[[Resp_Group]:[Resp_Group]],Agronomist)+COUNTIFS(Tbl_Responses[6 - Type of test],Tbl_Q17_sampling[[#Headers],[Trace elements (DTPA) Cu, Zn, Mg, Fe]],Tbl_Responses[6 - How many cores per paddock],"&gt;""",Tbl_Responses[[Resp_Group]:[Resp_Group]],Agronomist)+COUNTIFS(Tbl_Responses[7 - Type of test],Tbl_Q17_sampling[[#Headers],[Trace elements (DTPA) Cu, Zn, Mg, Fe]],Tbl_Responses[7 - How many cores per paddock],"&gt;""",Tbl_Responses[[Resp_Group]:[Resp_Group]],Agronomist)+COUNTIFS(Tbl_Responses[8 - Type of test],Tbl_Q17_sampling[[#Headers],[Trace elements (DTPA) Cu, Zn, Mg, Fe]],Tbl_Responses[8 - How many cores per paddock],"&gt;""",Tbl_Responses[[Resp_Group]:[Resp_Group]],Agronomist))</f>
        <v>2.7777777777777776E-2</v>
      </c>
      <c r="DM10" s="64">
        <f>(COUNTIFS(Tbl_Responses[1 - Type of test],Tbl_Q17_sampling[[#Headers],[Trace elements (EDTA) Cu, Zn, Mg, Fe]],Tbl_Responses[1 - How many cores per paddock],$DJ10,Tbl_Responses[[Resp_Group]:[Resp_Group]],Agronomist)+COUNTIFS(Tbl_Responses[2 - Type of test],Tbl_Q17_sampling[[#Headers],[Trace elements (EDTA) Cu, Zn, Mg, Fe]],Tbl_Responses[2 - How many cores per paddock],$DJ10,Tbl_Responses[[Resp_Group]:[Resp_Group]],Agronomist)+COUNTIFS(Tbl_Responses[3 - Type of test],Tbl_Q17_sampling[[#Headers],[Trace elements (EDTA) Cu, Zn, Mg, Fe]],Tbl_Responses[3 - How many cores per paddock],$DJ10,Tbl_Responses[[Resp_Group]:[Resp_Group]],Agronomist)+COUNTIFS(Tbl_Responses[4 - Type of test],Tbl_Q17_sampling[[#Headers],[Trace elements (EDTA) Cu, Zn, Mg, Fe]],Tbl_Responses[4 - How many cores per paddock],$DJ10,Tbl_Responses[[Resp_Group]:[Resp_Group]],Agronomist)+COUNTIFS(Tbl_Responses[5 - Type of test],Tbl_Q17_sampling[[#Headers],[Trace elements (EDTA) Cu, Zn, Mg, Fe]],Tbl_Responses[5 - How many cores per paddock],$DJ10,Tbl_Responses[[Resp_Group]:[Resp_Group]],Agronomist)+COUNTIFS(Tbl_Responses[6 - Type of test],Tbl_Q17_sampling[[#Headers],[Trace elements (EDTA) Cu, Zn, Mg, Fe]],Tbl_Responses[6 - How many cores per paddock],$DJ10,Tbl_Responses[[Resp_Group]:[Resp_Group]],Agronomist)+COUNTIFS(Tbl_Responses[7 - Type of test],Tbl_Q17_sampling[[#Headers],[Trace elements (EDTA) Cu, Zn, Mg, Fe]],Tbl_Responses[7 - How many cores per paddock],$DJ10,Tbl_Responses[[Resp_Group]:[Resp_Group]],Agronomist)+COUNTIFS(Tbl_Responses[8 - Type of test],Tbl_Q17_sampling[[#Headers],[Trace elements (EDTA) Cu, Zn, Mg, Fe]],Tbl_Responses[8 - How many cores per paddock],$DJ10,Tbl_Responses[[Resp_Group]:[Resp_Group]],Agronomist))/(COUNTIFS(Tbl_Responses[1 - Type of test],Tbl_Q17_sampling[[#Headers],[Trace elements (EDTA) Cu, Zn, Mg, Fe]],Tbl_Responses[1 - How many cores per paddock],"&gt;""",Tbl_Responses[[Resp_Group]:[Resp_Group]],Agronomist)+COUNTIFS(Tbl_Responses[2 - Type of test],Tbl_Q17_sampling[[#Headers],[Trace elements (EDTA) Cu, Zn, Mg, Fe]],Tbl_Responses[2 - How many cores per paddock],"&gt;""",Tbl_Responses[[Resp_Group]:[Resp_Group]],Agronomist)+COUNTIFS(Tbl_Responses[3 - Type of test],Tbl_Q17_sampling[[#Headers],[Trace elements (EDTA) Cu, Zn, Mg, Fe]],Tbl_Responses[3 - How many cores per paddock],"&gt;""",Tbl_Responses[[Resp_Group]:[Resp_Group]],Agronomist)+COUNTIFS(Tbl_Responses[4 - Type of test],Tbl_Q17_sampling[[#Headers],[Trace elements (EDTA) Cu, Zn, Mg, Fe]],Tbl_Responses[4 - How many cores per paddock],"&gt;""",Tbl_Responses[[Resp_Group]:[Resp_Group]],Agronomist)+COUNTIFS(Tbl_Responses[5 - Type of test],Tbl_Q17_sampling[[#Headers],[Trace elements (EDTA) Cu, Zn, Mg, Fe]],Tbl_Responses[5 - How many cores per paddock],"&gt;""",Tbl_Responses[[Resp_Group]:[Resp_Group]],Agronomist)+COUNTIFS(Tbl_Responses[6 - Type of test],Tbl_Q17_sampling[[#Headers],[Trace elements (EDTA) Cu, Zn, Mg, Fe]],Tbl_Responses[6 - How many cores per paddock],"&gt;""",Tbl_Responses[[Resp_Group]:[Resp_Group]],Agronomist)+COUNTIFS(Tbl_Responses[7 - Type of test],Tbl_Q17_sampling[[#Headers],[Trace elements (EDTA) Cu, Zn, Mg, Fe]],Tbl_Responses[7 - How many cores per paddock],"&gt;""",Tbl_Responses[[Resp_Group]:[Resp_Group]],Agronomist)+COUNTIFS(Tbl_Responses[8 - Type of test],Tbl_Q17_sampling[[#Headers],[Trace elements (EDTA) Cu, Zn, Mg, Fe]],Tbl_Responses[8 - How many cores per paddock],"&gt;""",Tbl_Responses[[Resp_Group]:[Resp_Group]],Agronomist))</f>
        <v>0</v>
      </c>
      <c r="DN10" s="64">
        <f>(COUNTIFS(Tbl_Responses[1 - Type of test],Tbl_Q17_sampling[[#Headers],[Exchangable cations - Ca, Mg, Na, K]],Tbl_Responses[1 - How many cores per paddock],$DJ10,Tbl_Responses[[Resp_Group]:[Resp_Group]],Agronomist)+COUNTIFS(Tbl_Responses[2 - Type of test],Tbl_Q17_sampling[[#Headers],[Exchangable cations - Ca, Mg, Na, K]],Tbl_Responses[2 - How many cores per paddock],$DJ10,Tbl_Responses[[Resp_Group]:[Resp_Group]],Agronomist)+COUNTIFS(Tbl_Responses[3 - Type of test],Tbl_Q17_sampling[[#Headers],[Exchangable cations - Ca, Mg, Na, K]],Tbl_Responses[3 - How many cores per paddock],$DJ10,Tbl_Responses[[Resp_Group]:[Resp_Group]],Agronomist)+COUNTIFS(Tbl_Responses[4 - Type of test],Tbl_Q17_sampling[[#Headers],[Exchangable cations - Ca, Mg, Na, K]],Tbl_Responses[4 - How many cores per paddock],$DJ10,Tbl_Responses[[Resp_Group]:[Resp_Group]],Agronomist)+COUNTIFS(Tbl_Responses[5 - Type of test],Tbl_Q17_sampling[[#Headers],[Exchangable cations - Ca, Mg, Na, K]],Tbl_Responses[5 - How many cores per paddock],$DJ10,Tbl_Responses[[Resp_Group]:[Resp_Group]],Agronomist)+COUNTIFS(Tbl_Responses[6 - Type of test],Tbl_Q17_sampling[[#Headers],[Exchangable cations - Ca, Mg, Na, K]],Tbl_Responses[6 - How many cores per paddock],$DJ10,Tbl_Responses[[Resp_Group]:[Resp_Group]],Agronomist)+COUNTIFS(Tbl_Responses[7 - Type of test],Tbl_Q17_sampling[[#Headers],[Exchangable cations - Ca, Mg, Na, K]],Tbl_Responses[7 - How many cores per paddock],$DJ10,Tbl_Responses[[Resp_Group]:[Resp_Group]],Agronomist)+COUNTIFS(Tbl_Responses[8 - Type of test],Tbl_Q17_sampling[[#Headers],[Exchangable cations - Ca, Mg, Na, K]],Tbl_Responses[8 - How many cores per paddock],$DJ10,Tbl_Responses[[Resp_Group]:[Resp_Group]],Agronomist))/(COUNTIFS(Tbl_Responses[1 - Type of test],Tbl_Q17_sampling[[#Headers],[Exchangable cations - Ca, Mg, Na, K]],Tbl_Responses[1 - How many cores per paddock],"&gt;""",Tbl_Responses[[Resp_Group]:[Resp_Group]],Agronomist)+COUNTIFS(Tbl_Responses[2 - Type of test],Tbl_Q17_sampling[[#Headers],[Exchangable cations - Ca, Mg, Na, K]],Tbl_Responses[2 - How many cores per paddock],"&gt;""",Tbl_Responses[[Resp_Group]:[Resp_Group]],Agronomist)+COUNTIFS(Tbl_Responses[3 - Type of test],Tbl_Q17_sampling[[#Headers],[Exchangable cations - Ca, Mg, Na, K]],Tbl_Responses[3 - How many cores per paddock],"&gt;""",Tbl_Responses[[Resp_Group]:[Resp_Group]],Agronomist)+COUNTIFS(Tbl_Responses[4 - Type of test],Tbl_Q17_sampling[[#Headers],[Exchangable cations - Ca, Mg, Na, K]],Tbl_Responses[4 - How many cores per paddock],"&gt;""",Tbl_Responses[[Resp_Group]:[Resp_Group]],Agronomist)+COUNTIFS(Tbl_Responses[5 - Type of test],Tbl_Q17_sampling[[#Headers],[Exchangable cations - Ca, Mg, Na, K]],Tbl_Responses[5 - How many cores per paddock],"&gt;""",Tbl_Responses[[Resp_Group]:[Resp_Group]],Agronomist)+COUNTIFS(Tbl_Responses[6 - Type of test],Tbl_Q17_sampling[[#Headers],[Exchangable cations - Ca, Mg, Na, K]],Tbl_Responses[6 - How many cores per paddock],"&gt;""",Tbl_Responses[[Resp_Group]:[Resp_Group]],Agronomist)+COUNTIFS(Tbl_Responses[7 - Type of test],Tbl_Q17_sampling[[#Headers],[Exchangable cations - Ca, Mg, Na, K]],Tbl_Responses[7 - How many cores per paddock],"&gt;""",Tbl_Responses[[Resp_Group]:[Resp_Group]],Agronomist)+COUNTIFS(Tbl_Responses[8 - Type of test],Tbl_Q17_sampling[[#Headers],[Exchangable cations - Ca, Mg, Na, K]],Tbl_Responses[8 - How many cores per paddock],"&gt;""",Tbl_Responses[[Resp_Group]:[Resp_Group]],Agronomist))</f>
        <v>3.125E-2</v>
      </c>
      <c r="DO10" s="64">
        <f>(COUNTIFS(Tbl_Responses[1 - Type of test],Tbl_Q17_sampling[[#Headers],[Texture]],Tbl_Responses[1 - How many cores per paddock],$DJ10,Tbl_Responses[[Resp_Group]:[Resp_Group]],Agronomist)+COUNTIFS(Tbl_Responses[2 - Type of test],Tbl_Q17_sampling[[#Headers],[Texture]],Tbl_Responses[2 - How many cores per paddock],$DJ10,Tbl_Responses[[Resp_Group]:[Resp_Group]],Agronomist)+COUNTIFS(Tbl_Responses[3 - Type of test],Tbl_Q17_sampling[[#Headers],[Texture]],Tbl_Responses[3 - How many cores per paddock],$DJ10,Tbl_Responses[[Resp_Group]:[Resp_Group]],Agronomist)+COUNTIFS(Tbl_Responses[4 - Type of test],Tbl_Q17_sampling[[#Headers],[Texture]],Tbl_Responses[4 - How many cores per paddock],$DJ10,Tbl_Responses[[Resp_Group]:[Resp_Group]],Agronomist)+COUNTIFS(Tbl_Responses[5 - Type of test],Tbl_Q17_sampling[[#Headers],[Texture]],Tbl_Responses[5 - How many cores per paddock],$DJ10,Tbl_Responses[[Resp_Group]:[Resp_Group]],Agronomist)+COUNTIFS(Tbl_Responses[6 - Type of test],Tbl_Q17_sampling[[#Headers],[Texture]],Tbl_Responses[6 - How many cores per paddock],$DJ10,Tbl_Responses[[Resp_Group]:[Resp_Group]],Agronomist)+COUNTIFS(Tbl_Responses[7 - Type of test],Tbl_Q17_sampling[[#Headers],[Texture]],Tbl_Responses[7 - How many cores per paddock],$DJ10,Tbl_Responses[[Resp_Group]:[Resp_Group]],Agronomist)+COUNTIFS(Tbl_Responses[8 - Type of test],Tbl_Q17_sampling[[#Headers],[Texture]],Tbl_Responses[8 - How many cores per paddock],$DJ10,Tbl_Responses[[Resp_Group]:[Resp_Group]],Agronomist))/(COUNTIFS(Tbl_Responses[1 - Type of test],Tbl_Q17_sampling[[#Headers],[Texture]],Tbl_Responses[1 - How many cores per paddock],"&gt;""",Tbl_Responses[[Resp_Group]:[Resp_Group]],Agronomist)+COUNTIFS(Tbl_Responses[2 - Type of test],Tbl_Q17_sampling[[#Headers],[Texture]],Tbl_Responses[2 - How many cores per paddock],"&gt;""",Tbl_Responses[[Resp_Group]:[Resp_Group]],Agronomist)+COUNTIFS(Tbl_Responses[3 - Type of test],Tbl_Q17_sampling[[#Headers],[Texture]],Tbl_Responses[3 - How many cores per paddock],"&gt;""",Tbl_Responses[[Resp_Group]:[Resp_Group]],Agronomist)+COUNTIFS(Tbl_Responses[4 - Type of test],Tbl_Q17_sampling[[#Headers],[Texture]],Tbl_Responses[4 - How many cores per paddock],"&gt;""",Tbl_Responses[[Resp_Group]:[Resp_Group]],Agronomist)+COUNTIFS(Tbl_Responses[5 - Type of test],Tbl_Q17_sampling[[#Headers],[Texture]],Tbl_Responses[5 - How many cores per paddock],"&gt;""",Tbl_Responses[[Resp_Group]:[Resp_Group]],Agronomist)+COUNTIFS(Tbl_Responses[6 - Type of test],Tbl_Q17_sampling[[#Headers],[Texture]],Tbl_Responses[6 - How many cores per paddock],"&gt;""",Tbl_Responses[[Resp_Group]:[Resp_Group]],Agronomist)+COUNTIFS(Tbl_Responses[7 - Type of test],Tbl_Q17_sampling[[#Headers],[Texture]],Tbl_Responses[7 - How many cores per paddock],"&gt;""",Tbl_Responses[[Resp_Group]:[Resp_Group]],Agronomist)+COUNTIFS(Tbl_Responses[8 - Type of test],Tbl_Q17_sampling[[#Headers],[Texture]],Tbl_Responses[8 - How many cores per paddock],"&gt;""",Tbl_Responses[[Resp_Group]:[Resp_Group]],Agronomist))</f>
        <v>3.3333333333333333E-2</v>
      </c>
      <c r="DP10" s="64">
        <f>(COUNTIFS(Tbl_Responses[1 - Type of test],Tbl_Q17_sampling[[#Headers],[Aluminium (CaCl2)]],Tbl_Responses[1 - How many cores per paddock],$DJ10,Tbl_Responses[[Resp_Group]:[Resp_Group]],Agronomist)+COUNTIFS(Tbl_Responses[2 - Type of test],Tbl_Q17_sampling[[#Headers],[Aluminium (CaCl2)]],Tbl_Responses[2 - How many cores per paddock],$DJ10,Tbl_Responses[[Resp_Group]:[Resp_Group]],Agronomist)+COUNTIFS(Tbl_Responses[3 - Type of test],Tbl_Q17_sampling[[#Headers],[Aluminium (CaCl2)]],Tbl_Responses[3 - How many cores per paddock],$DJ10,Tbl_Responses[[Resp_Group]:[Resp_Group]],Agronomist)+COUNTIFS(Tbl_Responses[4 - Type of test],Tbl_Q17_sampling[[#Headers],[Aluminium (CaCl2)]],Tbl_Responses[4 - How many cores per paddock],$DJ10,Tbl_Responses[[Resp_Group]:[Resp_Group]],Agronomist)+COUNTIFS(Tbl_Responses[5 - Type of test],Tbl_Q17_sampling[[#Headers],[Aluminium (CaCl2)]],Tbl_Responses[5 - How many cores per paddock],$DJ10,Tbl_Responses[[Resp_Group]:[Resp_Group]],Agronomist)+COUNTIFS(Tbl_Responses[6 - Type of test],Tbl_Q17_sampling[[#Headers],[Aluminium (CaCl2)]],Tbl_Responses[6 - How many cores per paddock],$DJ10,Tbl_Responses[[Resp_Group]:[Resp_Group]],Agronomist)+COUNTIFS(Tbl_Responses[7 - Type of test],Tbl_Q17_sampling[[#Headers],[Aluminium (CaCl2)]],Tbl_Responses[7 - How many cores per paddock],$DJ10,Tbl_Responses[[Resp_Group]:[Resp_Group]],Agronomist)+COUNTIFS(Tbl_Responses[8 - Type of test],Tbl_Q17_sampling[[#Headers],[Aluminium (CaCl2)]],Tbl_Responses[8 - How many cores per paddock],$DJ10,Tbl_Responses[[Resp_Group]:[Resp_Group]],Agronomist))/(COUNTIFS(Tbl_Responses[1 - Type of test],Tbl_Q17_sampling[[#Headers],[Aluminium (CaCl2)]],Tbl_Responses[1 - How many cores per paddock],"&gt;""",Tbl_Responses[[Resp_Group]:[Resp_Group]],Agronomist)+COUNTIFS(Tbl_Responses[2 - Type of test],Tbl_Q17_sampling[[#Headers],[Aluminium (CaCl2)]],Tbl_Responses[2 - How many cores per paddock],"&gt;""",Tbl_Responses[[Resp_Group]:[Resp_Group]],Agronomist)+COUNTIFS(Tbl_Responses[3 - Type of test],Tbl_Q17_sampling[[#Headers],[Aluminium (CaCl2)]],Tbl_Responses[3 - How many cores per paddock],"&gt;""",Tbl_Responses[[Resp_Group]:[Resp_Group]],Agronomist)+COUNTIFS(Tbl_Responses[4 - Type of test],Tbl_Q17_sampling[[#Headers],[Aluminium (CaCl2)]],Tbl_Responses[4 - How many cores per paddock],"&gt;""",Tbl_Responses[[Resp_Group]:[Resp_Group]],Agronomist)+COUNTIFS(Tbl_Responses[5 - Type of test],Tbl_Q17_sampling[[#Headers],[Aluminium (CaCl2)]],Tbl_Responses[5 - How many cores per paddock],"&gt;""",Tbl_Responses[[Resp_Group]:[Resp_Group]],Agronomist)+COUNTIFS(Tbl_Responses[6 - Type of test],Tbl_Q17_sampling[[#Headers],[Aluminium (CaCl2)]],Tbl_Responses[6 - How many cores per paddock],"&gt;""",Tbl_Responses[[Resp_Group]:[Resp_Group]],Agronomist)+COUNTIFS(Tbl_Responses[7 - Type of test],Tbl_Q17_sampling[[#Headers],[Aluminium (CaCl2)]],Tbl_Responses[7 - How many cores per paddock],"&gt;""",Tbl_Responses[[Resp_Group]:[Resp_Group]],Agronomist)+COUNTIFS(Tbl_Responses[8 - Type of test],Tbl_Q17_sampling[[#Headers],[Aluminium (CaCl2)]],Tbl_Responses[8 - How many cores per paddock],"&gt;""",Tbl_Responses[[Resp_Group]:[Resp_Group]],Agronomist))</f>
        <v>3.2258064516129031E-2</v>
      </c>
      <c r="DQ10" s="64">
        <f>(COUNTIFS(Tbl_Responses[1 - Type of test],Tbl_Q17_sampling[[#Headers],[Chloride]],Tbl_Responses[1 - How many cores per paddock],$DJ10,Tbl_Responses[[Resp_Group]:[Resp_Group]],Agronomist)+COUNTIFS(Tbl_Responses[2 - Type of test],Tbl_Q17_sampling[[#Headers],[Chloride]],Tbl_Responses[2 - How many cores per paddock],$DJ10,Tbl_Responses[[Resp_Group]:[Resp_Group]],Agronomist)+COUNTIFS(Tbl_Responses[3 - Type of test],Tbl_Q17_sampling[[#Headers],[Chloride]],Tbl_Responses[3 - How many cores per paddock],$DJ10,Tbl_Responses[[Resp_Group]:[Resp_Group]],Agronomist)+COUNTIFS(Tbl_Responses[4 - Type of test],Tbl_Q17_sampling[[#Headers],[Chloride]],Tbl_Responses[4 - How many cores per paddock],$DJ10,Tbl_Responses[[Resp_Group]:[Resp_Group]],Agronomist)+COUNTIFS(Tbl_Responses[5 - Type of test],Tbl_Q17_sampling[[#Headers],[Chloride]],Tbl_Responses[5 - How many cores per paddock],$DJ10,Tbl_Responses[[Resp_Group]:[Resp_Group]],Agronomist)+COUNTIFS(Tbl_Responses[6 - Type of test],Tbl_Q17_sampling[[#Headers],[Chloride]],Tbl_Responses[6 - How many cores per paddock],$DJ10,Tbl_Responses[[Resp_Group]:[Resp_Group]],Agronomist)+COUNTIFS(Tbl_Responses[7 - Type of test],Tbl_Q17_sampling[[#Headers],[Chloride]],Tbl_Responses[7 - How many cores per paddock],$DJ10,Tbl_Responses[[Resp_Group]:[Resp_Group]],Agronomist)+COUNTIFS(Tbl_Responses[8 - Type of test],Tbl_Q17_sampling[[#Headers],[Chloride]],Tbl_Responses[8 - How many cores per paddock],$DJ10,Tbl_Responses[[Resp_Group]:[Resp_Group]],Agronomist))/(COUNTIFS(Tbl_Responses[1 - Type of test],Tbl_Q17_sampling[[#Headers],[Chloride]],Tbl_Responses[1 - How many cores per paddock],"&gt;""",Tbl_Responses[[Resp_Group]:[Resp_Group]],Agronomist)+COUNTIFS(Tbl_Responses[2 - Type of test],Tbl_Q17_sampling[[#Headers],[Chloride]],Tbl_Responses[2 - How many cores per paddock],"&gt;""",Tbl_Responses[[Resp_Group]:[Resp_Group]],Agronomist)+COUNTIFS(Tbl_Responses[3 - Type of test],Tbl_Q17_sampling[[#Headers],[Chloride]],Tbl_Responses[3 - How many cores per paddock],"&gt;""",Tbl_Responses[[Resp_Group]:[Resp_Group]],Agronomist)+COUNTIFS(Tbl_Responses[4 - Type of test],Tbl_Q17_sampling[[#Headers],[Chloride]],Tbl_Responses[4 - How many cores per paddock],"&gt;""",Tbl_Responses[[Resp_Group]:[Resp_Group]],Agronomist)+COUNTIFS(Tbl_Responses[5 - Type of test],Tbl_Q17_sampling[[#Headers],[Chloride]],Tbl_Responses[5 - How many cores per paddock],"&gt;""",Tbl_Responses[[Resp_Group]:[Resp_Group]],Agronomist)+COUNTIFS(Tbl_Responses[6 - Type of test],Tbl_Q17_sampling[[#Headers],[Chloride]],Tbl_Responses[6 - How many cores per paddock],"&gt;""",Tbl_Responses[[Resp_Group]:[Resp_Group]],Agronomist)+COUNTIFS(Tbl_Responses[7 - Type of test],Tbl_Q17_sampling[[#Headers],[Chloride]],Tbl_Responses[7 - How many cores per paddock],"&gt;""",Tbl_Responses[[Resp_Group]:[Resp_Group]],Agronomist)+COUNTIFS(Tbl_Responses[8 - Type of test],Tbl_Q17_sampling[[#Headers],[Chloride]],Tbl_Responses[8 - How many cores per paddock],"&gt;""",Tbl_Responses[[Resp_Group]:[Resp_Group]],Agronomist))</f>
        <v>0</v>
      </c>
      <c r="DR10" s="64">
        <f>(COUNTIFS(Tbl_Responses[1 - Type of test],Tbl_Q17_sampling[[#Headers],[Boron]],Tbl_Responses[1 - How many cores per paddock],$DJ10,Tbl_Responses[[Resp_Group]:[Resp_Group]],Agronomist)+COUNTIFS(Tbl_Responses[2 - Type of test],Tbl_Q17_sampling[[#Headers],[Boron]],Tbl_Responses[2 - How many cores per paddock],$DJ10,Tbl_Responses[[Resp_Group]:[Resp_Group]],Agronomist)+COUNTIFS(Tbl_Responses[3 - Type of test],Tbl_Q17_sampling[[#Headers],[Boron]],Tbl_Responses[3 - How many cores per paddock],$DJ10,Tbl_Responses[[Resp_Group]:[Resp_Group]],Agronomist)+COUNTIFS(Tbl_Responses[4 - Type of test],Tbl_Q17_sampling[[#Headers],[Boron]],Tbl_Responses[4 - How many cores per paddock],$DJ10,Tbl_Responses[[Resp_Group]:[Resp_Group]],Agronomist)+COUNTIFS(Tbl_Responses[5 - Type of test],Tbl_Q17_sampling[[#Headers],[Boron]],Tbl_Responses[5 - How many cores per paddock],$DJ10,Tbl_Responses[[Resp_Group]:[Resp_Group]],Agronomist)+COUNTIFS(Tbl_Responses[6 - Type of test],Tbl_Q17_sampling[[#Headers],[Boron]],Tbl_Responses[6 - How many cores per paddock],$DJ10,Tbl_Responses[[Resp_Group]:[Resp_Group]],Agronomist)+COUNTIFS(Tbl_Responses[7 - Type of test],Tbl_Q17_sampling[[#Headers],[Boron]],Tbl_Responses[7 - How many cores per paddock],$DJ10,Tbl_Responses[[Resp_Group]:[Resp_Group]],Agronomist)+COUNTIFS(Tbl_Responses[8 - Type of test],Tbl_Q17_sampling[[#Headers],[Boron]],Tbl_Responses[8 - How many cores per paddock],$DJ10,Tbl_Responses[[Resp_Group]:[Resp_Group]],Agronomist))/(COUNTIFS(Tbl_Responses[1 - Type of test],Tbl_Q17_sampling[[#Headers],[Boron]],Tbl_Responses[1 - How many cores per paddock],"&gt;""",Tbl_Responses[[Resp_Group]:[Resp_Group]],Agronomist)+COUNTIFS(Tbl_Responses[2 - Type of test],Tbl_Q17_sampling[[#Headers],[Boron]],Tbl_Responses[2 - How many cores per paddock],"&gt;""",Tbl_Responses[[Resp_Group]:[Resp_Group]],Agronomist)+COUNTIFS(Tbl_Responses[3 - Type of test],Tbl_Q17_sampling[[#Headers],[Boron]],Tbl_Responses[3 - How many cores per paddock],"&gt;""",Tbl_Responses[[Resp_Group]:[Resp_Group]],Agronomist)+COUNTIFS(Tbl_Responses[4 - Type of test],Tbl_Q17_sampling[[#Headers],[Boron]],Tbl_Responses[4 - How many cores per paddock],"&gt;""",Tbl_Responses[[Resp_Group]:[Resp_Group]],Agronomist)+COUNTIFS(Tbl_Responses[5 - Type of test],Tbl_Q17_sampling[[#Headers],[Boron]],Tbl_Responses[5 - How many cores per paddock],"&gt;""",Tbl_Responses[[Resp_Group]:[Resp_Group]],Agronomist)+COUNTIFS(Tbl_Responses[6 - Type of test],Tbl_Q17_sampling[[#Headers],[Boron]],Tbl_Responses[6 - How many cores per paddock],"&gt;""",Tbl_Responses[[Resp_Group]:[Resp_Group]],Agronomist)+COUNTIFS(Tbl_Responses[7 - Type of test],Tbl_Q17_sampling[[#Headers],[Boron]],Tbl_Responses[7 - How many cores per paddock],"&gt;""",Tbl_Responses[[Resp_Group]:[Resp_Group]],Agronomist)+COUNTIFS(Tbl_Responses[8 - Type of test],Tbl_Q17_sampling[[#Headers],[Boron]],Tbl_Responses[8 - How many cores per paddock],"&gt;""",Tbl_Responses[[Resp_Group]:[Resp_Group]],Agronomist))</f>
        <v>3.2258064516129031E-2</v>
      </c>
      <c r="DS10" s="64">
        <f>(COUNTIFS(Tbl_Responses[1 - Type of test],Tbl_Q17_sampling[[#Headers],[Sulfur (KCl40)]],Tbl_Responses[1 - How many cores per paddock],$DJ10,Tbl_Responses[[Resp_Group]:[Resp_Group]],Agronomist)+COUNTIFS(Tbl_Responses[2 - Type of test],Tbl_Q17_sampling[[#Headers],[Sulfur (KCl40)]],Tbl_Responses[2 - How many cores per paddock],$DJ10,Tbl_Responses[[Resp_Group]:[Resp_Group]],Agronomist)+COUNTIFS(Tbl_Responses[3 - Type of test],Tbl_Q17_sampling[[#Headers],[Sulfur (KCl40)]],Tbl_Responses[3 - How many cores per paddock],$DJ10,Tbl_Responses[[Resp_Group]:[Resp_Group]],Agronomist)+COUNTIFS(Tbl_Responses[4 - Type of test],Tbl_Q17_sampling[[#Headers],[Sulfur (KCl40)]],Tbl_Responses[4 - How many cores per paddock],$DJ10,Tbl_Responses[[Resp_Group]:[Resp_Group]],Agronomist)+COUNTIFS(Tbl_Responses[5 - Type of test],Tbl_Q17_sampling[[#Headers],[Sulfur (KCl40)]],Tbl_Responses[5 - How many cores per paddock],$DJ10,Tbl_Responses[[Resp_Group]:[Resp_Group]],Agronomist)+COUNTIFS(Tbl_Responses[6 - Type of test],Tbl_Q17_sampling[[#Headers],[Sulfur (KCl40)]],Tbl_Responses[6 - How many cores per paddock],$DJ10,Tbl_Responses[[Resp_Group]:[Resp_Group]],Agronomist)+COUNTIFS(Tbl_Responses[7 - Type of test],Tbl_Q17_sampling[[#Headers],[Sulfur (KCl40)]],Tbl_Responses[7 - How many cores per paddock],$DJ10,Tbl_Responses[[Resp_Group]:[Resp_Group]],Agronomist)+COUNTIFS(Tbl_Responses[8 - Type of test],Tbl_Q17_sampling[[#Headers],[Sulfur (KCl40)]],Tbl_Responses[8 - How many cores per paddock],$DJ10,Tbl_Responses[[Resp_Group]:[Resp_Group]],Agronomist))/(COUNTIFS(Tbl_Responses[1 - Type of test],Tbl_Q17_sampling[[#Headers],[Sulfur (KCl40)]],Tbl_Responses[1 - How many cores per paddock],"&gt;""",Tbl_Responses[[Resp_Group]:[Resp_Group]],Agronomist)+COUNTIFS(Tbl_Responses[2 - Type of test],Tbl_Q17_sampling[[#Headers],[Sulfur (KCl40)]],Tbl_Responses[2 - How many cores per paddock],"&gt;""",Tbl_Responses[[Resp_Group]:[Resp_Group]],Agronomist)+COUNTIFS(Tbl_Responses[3 - Type of test],Tbl_Q17_sampling[[#Headers],[Sulfur (KCl40)]],Tbl_Responses[3 - How many cores per paddock],"&gt;""",Tbl_Responses[[Resp_Group]:[Resp_Group]],Agronomist)+COUNTIFS(Tbl_Responses[4 - Type of test],Tbl_Q17_sampling[[#Headers],[Sulfur (KCl40)]],Tbl_Responses[4 - How many cores per paddock],"&gt;""",Tbl_Responses[[Resp_Group]:[Resp_Group]],Agronomist)+COUNTIFS(Tbl_Responses[5 - Type of test],Tbl_Q17_sampling[[#Headers],[Sulfur (KCl40)]],Tbl_Responses[5 - How many cores per paddock],"&gt;""",Tbl_Responses[[Resp_Group]:[Resp_Group]],Agronomist)+COUNTIFS(Tbl_Responses[6 - Type of test],Tbl_Q17_sampling[[#Headers],[Sulfur (KCl40)]],Tbl_Responses[6 - How many cores per paddock],"&gt;""",Tbl_Responses[[Resp_Group]:[Resp_Group]],Agronomist)+COUNTIFS(Tbl_Responses[7 - Type of test],Tbl_Q17_sampling[[#Headers],[Sulfur (KCl40)]],Tbl_Responses[7 - How many cores per paddock],"&gt;""",Tbl_Responses[[Resp_Group]:[Resp_Group]],Agronomist)+COUNTIFS(Tbl_Responses[8 - Type of test],Tbl_Q17_sampling[[#Headers],[Sulfur (KCl40)]],Tbl_Responses[8 - How many cores per paddock],"&gt;""",Tbl_Responses[[Resp_Group]:[Resp_Group]],Agronomist))</f>
        <v>3.125E-2</v>
      </c>
      <c r="DT10" s="64">
        <f>(COUNTIFS(Tbl_Responses[1 - Type of test],Tbl_Q17_sampling[[#Headers],[Calcium carbonate %]],Tbl_Responses[1 - How many cores per paddock],$DJ10,Tbl_Responses[[Resp_Group]:[Resp_Group]],Agronomist)+COUNTIFS(Tbl_Responses[2 - Type of test],Tbl_Q17_sampling[[#Headers],[Calcium carbonate %]],Tbl_Responses[2 - How many cores per paddock],$DJ10,Tbl_Responses[[Resp_Group]:[Resp_Group]],Agronomist)+COUNTIFS(Tbl_Responses[3 - Type of test],Tbl_Q17_sampling[[#Headers],[Calcium carbonate %]],Tbl_Responses[3 - How many cores per paddock],$DJ10,Tbl_Responses[[Resp_Group]:[Resp_Group]],Agronomist)+COUNTIFS(Tbl_Responses[4 - Type of test],Tbl_Q17_sampling[[#Headers],[Calcium carbonate %]],Tbl_Responses[4 - How many cores per paddock],$DJ10,Tbl_Responses[[Resp_Group]:[Resp_Group]],Agronomist)+COUNTIFS(Tbl_Responses[5 - Type of test],Tbl_Q17_sampling[[#Headers],[Calcium carbonate %]],Tbl_Responses[5 - How many cores per paddock],$DJ10,Tbl_Responses[[Resp_Group]:[Resp_Group]],Agronomist)+COUNTIFS(Tbl_Responses[6 - Type of test],Tbl_Q17_sampling[[#Headers],[Calcium carbonate %]],Tbl_Responses[6 - How many cores per paddock],$DJ10,Tbl_Responses[[Resp_Group]:[Resp_Group]],Agronomist)+COUNTIFS(Tbl_Responses[7 - Type of test],Tbl_Q17_sampling[[#Headers],[Calcium carbonate %]],Tbl_Responses[7 - How many cores per paddock],$DJ10,Tbl_Responses[[Resp_Group]:[Resp_Group]],Agronomist)+COUNTIFS(Tbl_Responses[8 - Type of test],Tbl_Q17_sampling[[#Headers],[Calcium carbonate %]],Tbl_Responses[8 - How many cores per paddock],$DJ10,Tbl_Responses[[Resp_Group]:[Resp_Group]],Agronomist))/(COUNTIFS(Tbl_Responses[1 - Type of test],Tbl_Q17_sampling[[#Headers],[Calcium carbonate %]],Tbl_Responses[1 - How many cores per paddock],"&gt;""",Tbl_Responses[[Resp_Group]:[Resp_Group]],Agronomist)+COUNTIFS(Tbl_Responses[2 - Type of test],Tbl_Q17_sampling[[#Headers],[Calcium carbonate %]],Tbl_Responses[2 - How many cores per paddock],"&gt;""",Tbl_Responses[[Resp_Group]:[Resp_Group]],Agronomist)+COUNTIFS(Tbl_Responses[3 - Type of test],Tbl_Q17_sampling[[#Headers],[Calcium carbonate %]],Tbl_Responses[3 - How many cores per paddock],"&gt;""",Tbl_Responses[[Resp_Group]:[Resp_Group]],Agronomist)+COUNTIFS(Tbl_Responses[4 - Type of test],Tbl_Q17_sampling[[#Headers],[Calcium carbonate %]],Tbl_Responses[4 - How many cores per paddock],"&gt;""",Tbl_Responses[[Resp_Group]:[Resp_Group]],Agronomist)+COUNTIFS(Tbl_Responses[5 - Type of test],Tbl_Q17_sampling[[#Headers],[Calcium carbonate %]],Tbl_Responses[5 - How many cores per paddock],"&gt;""",Tbl_Responses[[Resp_Group]:[Resp_Group]],Agronomist)+COUNTIFS(Tbl_Responses[6 - Type of test],Tbl_Q17_sampling[[#Headers],[Calcium carbonate %]],Tbl_Responses[6 - How many cores per paddock],"&gt;""",Tbl_Responses[[Resp_Group]:[Resp_Group]],Agronomist)+COUNTIFS(Tbl_Responses[7 - Type of test],Tbl_Q17_sampling[[#Headers],[Calcium carbonate %]],Tbl_Responses[7 - How many cores per paddock],"&gt;""",Tbl_Responses[[Resp_Group]:[Resp_Group]],Agronomist)+COUNTIFS(Tbl_Responses[8 - Type of test],Tbl_Q17_sampling[[#Headers],[Calcium carbonate %]],Tbl_Responses[8 - How many cores per paddock],"&gt;""",Tbl_Responses[[Resp_Group]:[Resp_Group]],Agronomist))</f>
        <v>4.7619047619047616E-2</v>
      </c>
      <c r="DU10" s="64">
        <f>(COUNTIFS(Tbl_Responses[1 - Type of test],Tbl_Q17_sampling[[#Headers],[Sulfur (MCP)]],Tbl_Responses[1 - How many cores per paddock],$DJ10,Tbl_Responses[[Resp_Group]:[Resp_Group]],Agronomist)+COUNTIFS(Tbl_Responses[2 - Type of test],Tbl_Q17_sampling[[#Headers],[Sulfur (MCP)]],Tbl_Responses[2 - How many cores per paddock],$DJ10,Tbl_Responses[[Resp_Group]:[Resp_Group]],Agronomist)+COUNTIFS(Tbl_Responses[3 - Type of test],Tbl_Q17_sampling[[#Headers],[Sulfur (MCP)]],Tbl_Responses[3 - How many cores per paddock],$DJ10,Tbl_Responses[[Resp_Group]:[Resp_Group]],Agronomist)+COUNTIFS(Tbl_Responses[4 - Type of test],Tbl_Q17_sampling[[#Headers],[Sulfur (MCP)]],Tbl_Responses[4 - How many cores per paddock],$DJ10,Tbl_Responses[[Resp_Group]:[Resp_Group]],Agronomist)+COUNTIFS(Tbl_Responses[5 - Type of test],Tbl_Q17_sampling[[#Headers],[Sulfur (MCP)]],Tbl_Responses[5 - How many cores per paddock],$DJ10,Tbl_Responses[[Resp_Group]:[Resp_Group]],Agronomist)+COUNTIFS(Tbl_Responses[6 - Type of test],Tbl_Q17_sampling[[#Headers],[Sulfur (MCP)]],Tbl_Responses[6 - How many cores per paddock],$DJ10,Tbl_Responses[[Resp_Group]:[Resp_Group]],Agronomist)+COUNTIFS(Tbl_Responses[7 - Type of test],Tbl_Q17_sampling[[#Headers],[Sulfur (MCP)]],Tbl_Responses[7 - How many cores per paddock],$DJ10,Tbl_Responses[[Resp_Group]:[Resp_Group]],Agronomist)+COUNTIFS(Tbl_Responses[8 - Type of test],Tbl_Q17_sampling[[#Headers],[Sulfur (MCP)]],Tbl_Responses[8 - How many cores per paddock],$DJ10,Tbl_Responses[[Resp_Group]:[Resp_Group]],Agronomist))/(COUNTIFS(Tbl_Responses[1 - Type of test],Tbl_Q17_sampling[[#Headers],[Sulfur (MCP)]],Tbl_Responses[1 - How many cores per paddock],"&gt;""",Tbl_Responses[[Resp_Group]:[Resp_Group]],Agronomist)+COUNTIFS(Tbl_Responses[2 - Type of test],Tbl_Q17_sampling[[#Headers],[Sulfur (MCP)]],Tbl_Responses[2 - How many cores per paddock],"&gt;""",Tbl_Responses[[Resp_Group]:[Resp_Group]],Agronomist)+COUNTIFS(Tbl_Responses[3 - Type of test],Tbl_Q17_sampling[[#Headers],[Sulfur (MCP)]],Tbl_Responses[3 - How many cores per paddock],"&gt;""",Tbl_Responses[[Resp_Group]:[Resp_Group]],Agronomist)+COUNTIFS(Tbl_Responses[4 - Type of test],Tbl_Q17_sampling[[#Headers],[Sulfur (MCP)]],Tbl_Responses[4 - How many cores per paddock],"&gt;""",Tbl_Responses[[Resp_Group]:[Resp_Group]],Agronomist)+COUNTIFS(Tbl_Responses[5 - Type of test],Tbl_Q17_sampling[[#Headers],[Sulfur (MCP)]],Tbl_Responses[5 - How many cores per paddock],"&gt;""",Tbl_Responses[[Resp_Group]:[Resp_Group]],Agronomist)+COUNTIFS(Tbl_Responses[6 - Type of test],Tbl_Q17_sampling[[#Headers],[Sulfur (MCP)]],Tbl_Responses[6 - How many cores per paddock],"&gt;""",Tbl_Responses[[Resp_Group]:[Resp_Group]],Agronomist)+COUNTIFS(Tbl_Responses[7 - Type of test],Tbl_Q17_sampling[[#Headers],[Sulfur (MCP)]],Tbl_Responses[7 - How many cores per paddock],"&gt;""",Tbl_Responses[[Resp_Group]:[Resp_Group]],Agronomist)+COUNTIFS(Tbl_Responses[8 - Type of test],Tbl_Q17_sampling[[#Headers],[Sulfur (MCP)]],Tbl_Responses[8 - How many cores per paddock],"&gt;""",Tbl_Responses[[Resp_Group]:[Resp_Group]],Agronomist))</f>
        <v>0</v>
      </c>
      <c r="DV10" s="82">
        <f>(COUNTIFS(Tbl_Responses[1 - How many cores per paddock],$DJ10,Tbl_Responses[[Resp_Group]:[Resp_Group]],Agronomist)+COUNTIFS(Tbl_Responses[2 - How many cores per paddock],$DJ10,Tbl_Responses[[Resp_Group]:[Resp_Group]],Agronomist)+COUNTIFS(Tbl_Responses[3 - How many cores per paddock],$DJ10,Tbl_Responses[[Resp_Group]:[Resp_Group]],Agronomist)+COUNTIFS(Tbl_Responses[4 - How many cores per paddock],$DJ10,Tbl_Responses[[Resp_Group]:[Resp_Group]],Agronomist)+COUNTIFS(Tbl_Responses[5 - How many cores per paddock],$DJ10,Tbl_Responses[[Resp_Group]:[Resp_Group]],Agronomist)+COUNTIFS(Tbl_Responses[6 - How many cores per paddock],$DJ10,Tbl_Responses[[Resp_Group]:[Resp_Group]],Agronomist)+COUNTIFS(Tbl_Responses[7 - How many cores per paddock],$DJ10,Tbl_Responses[[Resp_Group]:[Resp_Group]],Agronomist))/(COUNTIFS(Tbl_Responses[1 - How many cores per paddock],"&gt;""",Tbl_Responses[[Resp_Group]:[Resp_Group]],Agronomist)+COUNTIFS(Tbl_Responses[2 - How many cores per paddock],"&gt;""",Tbl_Responses[[Resp_Group]:[Resp_Group]],Agronomist)+COUNTIFS(Tbl_Responses[3 - How many cores per paddock],"&gt;""",Tbl_Responses[[Resp_Group]:[Resp_Group]],Agronomist)+COUNTIFS(Tbl_Responses[4 - How many cores per paddock],"&gt;""",Tbl_Responses[[Resp_Group]:[Resp_Group]],Agronomist)+COUNTIFS(Tbl_Responses[5 - How many cores per paddock],"&gt;""",Tbl_Responses[[Resp_Group]:[Resp_Group]],Agronomist)+COUNTIFS(Tbl_Responses[6 - How many cores per paddock],"&gt;""",Tbl_Responses[[Resp_Group]:[Resp_Group]],Agronomist)+COUNTIFS(Tbl_Responses[7 - How many cores per paddock],"&gt;""",Tbl_Responses[[Resp_Group]:[Resp_Group]],Agronomist))</f>
        <v>2.7450980392156862E-2</v>
      </c>
      <c r="EC10" t="s">
        <v>116</v>
      </c>
      <c r="ED10" s="3">
        <f>COUNTIFS(Tbl_Responses[Not being able to get soil test results at the right time for decision making],$EC10,Tbl_Responses[[Resp_Group]:[Resp_Group]],Agronomist)</f>
        <v>2</v>
      </c>
      <c r="EE10" s="4">
        <f>Tbl_19[[#This Row],[No. Responses]]/SUM(Tbl_19[No. Responses])</f>
        <v>2.1276595744680851E-2</v>
      </c>
      <c r="EH10" t="s">
        <v>116</v>
      </c>
      <c r="EI10" s="3">
        <f>COUNTIFS(Tbl_Responses[Not being able to get soil test results at the right time for decision makingP],$EC10,Tbl_Responses[[Resp_Group]:[Resp_Group]],Agronomist)</f>
        <v>2</v>
      </c>
      <c r="EJ10" s="4">
        <f>Tbl_Q20[[#This Row],[No. Responses]]/SUM(Tbl_Q20[No. Responses])</f>
        <v>2.1739130434782608E-2</v>
      </c>
      <c r="EM10" s="59" t="s">
        <v>425</v>
      </c>
      <c r="ET10" t="s">
        <v>2530</v>
      </c>
      <c r="EU10" s="3">
        <f>COUNTIFS(Tbl_Responses[Soil testing annual spend],$ET10,Tbl_Responses[[Resp_Group]:[Resp_Group]],Agronomist)</f>
        <v>0</v>
      </c>
      <c r="EV10" s="4">
        <f>Tbl_Q22[[#This Row],[No. Respondants]]/SUM(Tbl_Q22[No. Respondants])</f>
        <v>0</v>
      </c>
      <c r="EY10" s="59" t="s">
        <v>549</v>
      </c>
      <c r="FD10" s="59" t="s">
        <v>427</v>
      </c>
      <c r="FN10" s="87" t="s">
        <v>127</v>
      </c>
      <c r="FO10" s="3">
        <f>COUNTIFS(Tbl_Responses[Not being able to get test results at the right time for decision making_Plant],$FN10,Tbl_Responses[[Resp_Group]:[Resp_Group]],Agronomist)</f>
        <v>8</v>
      </c>
      <c r="FP10" s="4">
        <f>Tbl_Q26[[#This Row],[No. Respondants]]/SUM(Tbl_Q26[No. Respondants])</f>
        <v>9.7560975609756101E-2</v>
      </c>
      <c r="FS10" t="s">
        <v>432</v>
      </c>
      <c r="FZ10" t="s">
        <v>2530</v>
      </c>
      <c r="GA10" s="3">
        <f>COUNTIFS(Tbl_Responses[Average annual spend - Plant testing],$FZ10,Tbl_Responses[[Resp_Group]:[Resp_Group]],Agronomist)</f>
        <v>0</v>
      </c>
      <c r="GB10" s="4">
        <f>Tbl_Q28[[#This Row],[No. Respondants]]/SUM(Tbl_Q28[No. Respondants])</f>
        <v>0</v>
      </c>
      <c r="GO10" t="s">
        <v>116</v>
      </c>
      <c r="GP10" s="3">
        <f>COUNTIFS(Tbl_Responses[Not being able to get soil test results at the right time for decision making_PL],$GO10,Tbl_Responses[[Resp_Group]:[Resp_Group]],Agronomist)</f>
        <v>0</v>
      </c>
      <c r="GQ10" s="4" t="e">
        <f>Tbl_1965[[#This Row],[No. Responses]]/SUM(Tbl_1965[No. Responses])</f>
        <v>#DIV/0!</v>
      </c>
      <c r="GT10" t="s">
        <v>116</v>
      </c>
      <c r="GU10" s="3">
        <f>COUNTIFS(Tbl_Responses[Not being able to get soil test results at the right time for decision making_PLP],$GT10,Tbl_Responses[[Resp_Group]:[Resp_Group]],Agronomist)</f>
        <v>0</v>
      </c>
      <c r="GV10" s="4" t="e">
        <f>Tbl_196566[[#This Row],[No. Responses]]/SUM(Tbl_196566[No. Responses])</f>
        <v>#DIV/0!</v>
      </c>
      <c r="HA10" s="87" t="s">
        <v>156</v>
      </c>
      <c r="HB10" s="3">
        <f>COUNTIFS(Tbl_Responses[Brochures / booklets],$HA10,Tbl_Responses[[Resp_Group]:[Resp_Group]],Agronomist)</f>
        <v>11</v>
      </c>
      <c r="HC10" s="4">
        <f>Tbl_infoSources[[#This Row],[No. Responses]]/SUM(Tbl_infoSources[No. Responses])</f>
        <v>4.3999999999999997E-2</v>
      </c>
    </row>
    <row r="11" spans="1:266" x14ac:dyDescent="0.25">
      <c r="A11" t="s">
        <v>310</v>
      </c>
      <c r="B11" s="3">
        <f>COUNTIFS(Tbl_Responses[Q1: region],Results!$A11,Tbl_Responses[Resp_Group],Agronomist)</f>
        <v>8</v>
      </c>
      <c r="C11" s="4">
        <f>B11/SUM(Tbl_Q1[Respondants])</f>
        <v>0.11267605633802817</v>
      </c>
      <c r="D11" s="7">
        <f>AVERAGEIFS(Tbl_Responses[Q2: Cropped Area],Tbl_Responses[Q1: region],Tbl_Q1[[#This Row],[Region]],Tbl_Responses[[Resp_Group]:[Resp_Group]],Agronomist)</f>
        <v>6837.5</v>
      </c>
      <c r="F11">
        <v>50001</v>
      </c>
      <c r="G11">
        <v>1000000</v>
      </c>
      <c r="H11" t="str">
        <f t="shared" si="0"/>
        <v>50001-1000000</v>
      </c>
      <c r="I11" s="3">
        <f>COUNTIFS(Tbl_Responses[Q2: Cropped Area],"&gt;"&amp;F11,Tbl_Responses[Q2: Cropped Area],"&lt;="&amp;G11,Tbl_Responses[Resp_Group],Agronomist)</f>
        <v>5</v>
      </c>
      <c r="J11" s="4">
        <f>I11/SUM(Tbl_Q2[Number])</f>
        <v>7.4626865671641784E-2</v>
      </c>
      <c r="S11" s="8" t="s">
        <v>215</v>
      </c>
      <c r="T11" s="4">
        <f>COUNTIFS(Tbl_Responses[[Variable Costs]:[Variable Costs]],T$3,Tbl_Responses[[Q1: region]:[Q1: region]],$S11,Tbl_Responses[[Resp_Group]:[Resp_Group]],Agronomist)/COUNTIFS(Tbl_Responses[[Q1: region]:[Q1: region]],$S11,Tbl_Responses[[Resp_Group]:[Resp_Group]],Agronomist)</f>
        <v>8.3333333333333329E-2</v>
      </c>
      <c r="U11" s="4">
        <f>COUNTIFS(Tbl_Responses[[Variable Costs]:[Variable Costs]],U$3,Tbl_Responses[[Q1: region]:[Q1: region]],$S11,Tbl_Responses[[Resp_Group]:[Resp_Group]],Agronomist)/COUNTIFS(Tbl_Responses[[Q1: region]:[Q1: region]],$S11,Tbl_Responses[[Resp_Group]:[Resp_Group]],Agronomist)</f>
        <v>0</v>
      </c>
      <c r="V11" s="4">
        <f>COUNTIFS(Tbl_Responses[[Variable Costs]:[Variable Costs]],V$3,Tbl_Responses[[Q1: region]:[Q1: region]],$S11,Tbl_Responses[[Resp_Group]:[Resp_Group]],Agronomist)/COUNTIFS(Tbl_Responses[[Q1: region]:[Q1: region]],$S11,Tbl_Responses[[Resp_Group]:[Resp_Group]],Agronomist)</f>
        <v>8.3333333333333329E-2</v>
      </c>
      <c r="W11" s="4">
        <f>COUNTIFS(Tbl_Responses[[Variable Costs]:[Variable Costs]],W$3,Tbl_Responses[[Q1: region]:[Q1: region]],$S11,Tbl_Responses[[Resp_Group]:[Resp_Group]],Agronomist)/COUNTIFS(Tbl_Responses[[Q1: region]:[Q1: region]],$S11,Tbl_Responses[[Resp_Group]:[Resp_Group]],Agronomist)</f>
        <v>8.3333333333333329E-2</v>
      </c>
      <c r="X11" s="4">
        <f>COUNTIFS(Tbl_Responses[[Variable Costs]:[Variable Costs]],X$3,Tbl_Responses[[Q1: region]:[Q1: region]],$S11,Tbl_Responses[[Resp_Group]:[Resp_Group]],Agronomist)/COUNTIFS(Tbl_Responses[[Q1: region]:[Q1: region]],$S11,Tbl_Responses[[Resp_Group]:[Resp_Group]],Agronomist)</f>
        <v>0.16666666666666666</v>
      </c>
      <c r="Y11" s="4">
        <f>COUNTIFS(Tbl_Responses[[Variable Costs]:[Variable Costs]],Y$3,Tbl_Responses[[Q1: region]:[Q1: region]],$S11,Tbl_Responses[[Resp_Group]:[Resp_Group]],Agronomist)/COUNTIFS(Tbl_Responses[[Q1: region]:[Q1: region]],$S11,Tbl_Responses[[Resp_Group]:[Resp_Group]],Agronomist)</f>
        <v>0.33333333333333331</v>
      </c>
      <c r="Z11" s="4">
        <f>COUNTIFS(Tbl_Responses[[Variable Costs]:[Variable Costs]],Z$3,Tbl_Responses[[Q1: region]:[Q1: region]],$S11,Tbl_Responses[[Resp_Group]:[Resp_Group]],Agronomist)/COUNTIFS(Tbl_Responses[[Q1: region]:[Q1: region]],$S11,Tbl_Responses[[Resp_Group]:[Resp_Group]],Agronomist)</f>
        <v>8.3333333333333329E-2</v>
      </c>
      <c r="AA11" s="4">
        <f>COUNTIFS(Tbl_Responses[[Variable Costs]:[Variable Costs]],AA$3,Tbl_Responses[[Q1: region]:[Q1: region]],$S11,Tbl_Responses[[Resp_Group]:[Resp_Group]],Agronomist)/COUNTIFS(Tbl_Responses[[Q1: region]:[Q1: region]],$S11,Tbl_Responses[[Resp_Group]:[Resp_Group]],Agronomist)</f>
        <v>8.3333333333333329E-2</v>
      </c>
      <c r="AB11" s="4">
        <f>COUNTIFS(Tbl_Responses[[Variable Costs]:[Variable Costs]],AB$3,Tbl_Responses[[Q1: region]:[Q1: region]],$S11,Tbl_Responses[[Resp_Group]:[Resp_Group]],Agronomist)/COUNTIFS(Tbl_Responses[[Q1: region]:[Q1: region]],$S11,Tbl_Responses[[Resp_Group]:[Resp_Group]],Agronomist)</f>
        <v>8.3333333333333329E-2</v>
      </c>
      <c r="AG11" t="s">
        <v>215</v>
      </c>
      <c r="AH11" s="4">
        <f>COUNTIFS(Tbl_Responses[[Def_Nutrient_ID]:[Def_Nutrient_ID]],"*N*",Tbl_Responses[[Q1: region]:[Q1: region]],$AG11,Tbl_Responses[[Resp_Group]:[Resp_Group]],Agronomist)/COUNTIFS(Tbl_Responses[[Def_Nutrient_ID]:[Def_Nutrient_ID]],"&lt;&gt;"&amp;"",Tbl_Responses[[Q1: region]:[Q1: region]],$AG11,Tbl_Responses[[Resp_Group]:[Resp_Group]],Agronomist)</f>
        <v>0.91666666666666663</v>
      </c>
      <c r="AI11" s="4">
        <f>COUNTIFS(Tbl_Responses[[Def_Nutrient_ID]:[Def_Nutrient_ID]],"*P*",Tbl_Responses[[Q1: region]:[Q1: region]],$AG11,Tbl_Responses[[Resp_Group]:[Resp_Group]],Agronomist)/COUNTIFS(Tbl_Responses[[Def_Nutrient_ID]:[Def_Nutrient_ID]],"&lt;&gt;"&amp;"",Tbl_Responses[[Q1: region]:[Q1: region]],$AG11,Tbl_Responses[[Resp_Group]:[Resp_Group]],Agronomist)</f>
        <v>0.66666666666666663</v>
      </c>
      <c r="AJ11" s="4">
        <f>COUNTIFS(Tbl_Responses[[Def_Nutrient_ID]:[Def_Nutrient_ID]],"*K*",Tbl_Responses[[Q1: region]:[Q1: region]],$AG11,Tbl_Responses[[Resp_Group]:[Resp_Group]],Agronomist)/COUNTIFS(Tbl_Responses[[Def_Nutrient_ID]:[Def_Nutrient_ID]],"&lt;&gt;"&amp;"",Tbl_Responses[[Q1: region]:[Q1: region]],$AG11,Tbl_Responses[[Resp_Group]:[Resp_Group]],Agronomist)</f>
        <v>0</v>
      </c>
      <c r="AK11" s="4">
        <f>COUNTIFS(Tbl_Responses[[Def_Nutrient_ID]:[Def_Nutrient_ID]],"*S*",Tbl_Responses[[Q1: region]:[Q1: region]],$AG11,Tbl_Responses[[Resp_Group]:[Resp_Group]],Agronomist)/COUNTIFS(Tbl_Responses[[Def_Nutrient_ID]:[Def_Nutrient_ID]],"&lt;&gt;"&amp;"",Tbl_Responses[[Q1: region]:[Q1: region]],$AG11,Tbl_Responses[[Resp_Group]:[Resp_Group]],Agronomist)</f>
        <v>0.25</v>
      </c>
      <c r="AL11" s="4">
        <f>COUNTIFS(Tbl_Responses[[Def_Nutrient_ID]:[Def_Nutrient_ID]],"*Zn*",Tbl_Responses[[Q1: region]:[Q1: region]],$AG11,Tbl_Responses[[Resp_Group]:[Resp_Group]],Agronomist)/COUNTIFS(Tbl_Responses[[Def_Nutrient_ID]:[Def_Nutrient_ID]],"&lt;&gt;"&amp;"",Tbl_Responses[[Q1: region]:[Q1: region]],$AG11,Tbl_Responses[[Resp_Group]:[Resp_Group]],Agronomist)</f>
        <v>0.41666666666666669</v>
      </c>
      <c r="AM11" s="4">
        <f>COUNTIFS(Tbl_Responses[[Def_Nutrient_ID]:[Def_Nutrient_ID]],"*Mn*",Tbl_Responses[[Q1: region]:[Q1: region]],$AG11,Tbl_Responses[[Resp_Group]:[Resp_Group]],Agronomist)/COUNTIFS(Tbl_Responses[[Def_Nutrient_ID]:[Def_Nutrient_ID]],"&lt;&gt;"&amp;"",Tbl_Responses[[Q1: region]:[Q1: region]],$AG11,Tbl_Responses[[Resp_Group]:[Resp_Group]],Agronomist)</f>
        <v>8.3333333333333329E-2</v>
      </c>
      <c r="AN11" s="4">
        <f>COUNTIFS(Tbl_Responses[[Def_Nutrient_ID]:[Def_Nutrient_ID]],"*Mg*",Tbl_Responses[[Q1: region]:[Q1: region]],$AG11,Tbl_Responses[[Resp_Group]:[Resp_Group]],Agronomist)/COUNTIFS(Tbl_Responses[[Def_Nutrient_ID]:[Def_Nutrient_ID]],"&lt;&gt;"&amp;"",Tbl_Responses[[Q1: region]:[Q1: region]],$AG11,Tbl_Responses[[Resp_Group]:[Resp_Group]],Agronomist)</f>
        <v>0</v>
      </c>
      <c r="AO11" s="4">
        <f>COUNTIFS(Tbl_Responses[[Def_Nutrient_ID]:[Def_Nutrient_ID]],"*Cu*",Tbl_Responses[[Q1: region]:[Q1: region]],$AG11,Tbl_Responses[[Resp_Group]:[Resp_Group]],Agronomist)/COUNTIFS(Tbl_Responses[[Def_Nutrient_ID]:[Def_Nutrient_ID]],"&lt;&gt;"&amp;"",Tbl_Responses[[Q1: region]:[Q1: region]],$AG11,Tbl_Responses[[Resp_Group]:[Resp_Group]],Agronomist)</f>
        <v>0.16666666666666666</v>
      </c>
      <c r="AP11" s="4">
        <f>COUNTIFS(Tbl_Responses[[Def_Nutrient_ID]:[Def_Nutrient_ID]],"*B*",Tbl_Responses[[Q1: region]:[Q1: region]],$AG11,Tbl_Responses[[Resp_Group]:[Resp_Group]],Agronomist)/COUNTIFS(Tbl_Responses[[Def_Nutrient_ID]:[Def_Nutrient_ID]],"&lt;&gt;"&amp;"",Tbl_Responses[[Q1: region]:[Q1: region]],$AG11,Tbl_Responses[[Resp_Group]:[Resp_Group]],Agronomist)</f>
        <v>0</v>
      </c>
      <c r="AQ11" s="4">
        <f>COUNTIFS(Tbl_Responses[[Def_Nutrient_ID]:[Def_Nutrient_ID]],"*Ca*",Tbl_Responses[[Q1: region]:[Q1: region]],$AG11,Tbl_Responses[[Resp_Group]:[Resp_Group]],Agronomist)/COUNTIFS(Tbl_Responses[[Def_Nutrient_ID]:[Def_Nutrient_ID]],"&lt;&gt;"&amp;"",Tbl_Responses[[Q1: region]:[Q1: region]],$AG11,Tbl_Responses[[Resp_Group]:[Resp_Group]],Agronomist)</f>
        <v>8.3333333333333329E-2</v>
      </c>
      <c r="AR11" s="4">
        <f>COUNTIFS(Tbl_Responses[[Def_Nutrient_ID]:[Def_Nutrient_ID]],"*pH*",Tbl_Responses[[Q1: region]:[Q1: region]],$AG11,Tbl_Responses[[Resp_Group]:[Resp_Group]],Agronomist)/COUNTIFS(Tbl_Responses[[Def_Nutrient_ID]:[Def_Nutrient_ID]],"&lt;&gt;"&amp;"",Tbl_Responses[[Q1: region]:[Q1: region]],$AG11,Tbl_Responses[[Resp_Group]:[Resp_Group]],Agronomist)</f>
        <v>0.16666666666666666</v>
      </c>
      <c r="AS11" s="4">
        <f>COUNTIFS(Tbl_Responses[[Def_Nutrient_ID]:[Def_Nutrient_ID]],"*T*",Tbl_Responses[[Q1: region]:[Q1: region]],$AG11,Tbl_Responses[[Resp_Group]:[Resp_Group]],Agronomist)/COUNTIFS(Tbl_Responses[[Def_Nutrient_ID]:[Def_Nutrient_ID]],"&lt;&gt;"&amp;"",Tbl_Responses[[Q1: region]:[Q1: region]],$AG11,Tbl_Responses[[Resp_Group]:[Resp_Group]],Agronomist)</f>
        <v>0</v>
      </c>
      <c r="AV11" t="s">
        <v>215</v>
      </c>
      <c r="AW11" s="4">
        <f>COUNTIFS(Tbl_Responses[[Q6: Do you do/recommend soil and/or plant testing?]:[Q6: Do you do/recommend soil and/or plant testing?]],"Yes",Tbl_Responses[[Q1: region]:[Q1: region]],$AV11,Tbl_Responses[[Resp_Group]:[Resp_Group]],Agronomist)/COUNTIFS(Tbl_Responses[[Q6: Do you do/recommend soil and/or plant testing?]:[Q6: Do you do/recommend soil and/or plant testing?]],"&lt;&gt;"&amp;"",Tbl_Responses[[Q1: region]:[Q1: region]],$AV11,Tbl_Responses[[Resp_Group]:[Resp_Group]],Agronomist)</f>
        <v>1</v>
      </c>
      <c r="AX11" s="4">
        <f>COUNTIFS(Tbl_Responses[[Q6: Do you do/recommend soil and/or plant testing?]:[Q6: Do you do/recommend soil and/or plant testing?]],"No",Tbl_Responses[[Q1: region]:[Q1: region]],$AV11,Tbl_Responses[[Resp_Group]:[Resp_Group]],Agronomist)/COUNTIFS(Tbl_Responses[[Q6: Do you do/recommend soil and/or plant testing?]:[Q6: Do you do/recommend soil and/or plant testing?]],"&lt;&gt;"&amp;"",Tbl_Responses[[Q1: region]:[Q1: region]],$AV11,Tbl_Responses[[Resp_Group]:[Resp_Group]],Agronomist)</f>
        <v>0</v>
      </c>
      <c r="AY11" s="3">
        <f>COUNTIFS(Tbl_Responses[[Q6: Do you do/recommend soil and/or plant testing?]:[Q6: Do you do/recommend soil and/or plant testing?]],"&gt;""",Tbl_Responses[[Q1: region]:[Q1: region]],$AV11,Tbl_Responses[[Resp_Group]:[Resp_Group]],Agronomist)</f>
        <v>12</v>
      </c>
      <c r="BE11" s="34" t="s">
        <v>2436</v>
      </c>
      <c r="BF11" s="34" t="s">
        <v>2437</v>
      </c>
      <c r="BH11" t="s">
        <v>2441</v>
      </c>
      <c r="BI11" s="3">
        <f>COUNTIFS(Tbl_Responses[Source_1_ID],$BH11,Tbl_Responses[[Resp_Group]:[Resp_Group]],Agronomist)+COUNTIFS(Tbl_Responses[Source_2_ID],$BH11,Tbl_Responses[[Resp_Group]:[Resp_Group]],Agronomist)+COUNTIFS(Tbl_Responses[Source_3_ID],$BH11,Tbl_Responses[[Resp_Group]:[Resp_Group]],Agronomist)</f>
        <v>17</v>
      </c>
      <c r="BJ11" s="4">
        <f>Tbl_Q11[[#This Row],[Q11 Response]]/SUM(Tbl_Q11[Q11 Response])</f>
        <v>0.10365853658536585</v>
      </c>
      <c r="CT11" s="73"/>
      <c r="CU11" s="73"/>
      <c r="CX11" s="73"/>
      <c r="CY11" s="73"/>
      <c r="CZ11" s="73"/>
      <c r="DD11" s="73"/>
      <c r="DE11" s="73"/>
      <c r="DF11" s="80" t="s">
        <v>190</v>
      </c>
      <c r="DG11" s="72">
        <f>(COUNTIFS(Tbl_Responses[1 - Type of test],DF11,Tbl_Responses[[Resp_Group]:[Resp_Group]],Agronomist)+COUNTIFS(Tbl_Responses[2 - Type of test],DF11,Tbl_Responses[[Resp_Group]:[Resp_Group]],Agronomist)+COUNTIFS(Tbl_Responses[3 - Type of test],DF11,Tbl_Responses[[Resp_Group]:[Resp_Group]],Agronomist)+COUNTIFS(Tbl_Responses[4 - Type of test],DF11,Tbl_Responses[[Resp_Group]:[Resp_Group]],Agronomist)+COUNTIFS(Tbl_Responses[5 - Type of test],DF11,Tbl_Responses[[Resp_Group]:[Resp_Group]],Agronomist))/(COUNTIFS(Tbl_Responses[1 -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f>
        <v>0.13537117903930132</v>
      </c>
      <c r="DH11" s="73"/>
      <c r="DI11" s="73"/>
      <c r="DJ11" s="73"/>
      <c r="EM11" s="59" t="s">
        <v>467</v>
      </c>
      <c r="ET11" t="s">
        <v>1041</v>
      </c>
      <c r="EU11" s="3">
        <f>COUNTIFS(Tbl_Responses[Soil testing annual spend],$ET11,Tbl_Responses[[Resp_Group]:[Resp_Group]],Agronomist)</f>
        <v>1</v>
      </c>
      <c r="EV11" s="4">
        <f>Tbl_Q22[[#This Row],[No. Respondants]]/SUM(Tbl_Q22[No. Respondants])</f>
        <v>1.6129032258064516E-2</v>
      </c>
      <c r="EY11" s="59" t="s">
        <v>745</v>
      </c>
      <c r="FD11" s="59" t="s">
        <v>484</v>
      </c>
      <c r="FS11" t="s">
        <v>488</v>
      </c>
      <c r="FZ11" t="s">
        <v>1041</v>
      </c>
      <c r="GA11" s="3">
        <f>COUNTIFS(Tbl_Responses[Average annual spend - Plant testing],$FZ11,Tbl_Responses[[Resp_Group]:[Resp_Group]],Agronomist)</f>
        <v>0</v>
      </c>
      <c r="GB11" s="4">
        <f>Tbl_Q28[[#This Row],[No. Respondants]]/SUM(Tbl_Q28[No. Respondants])</f>
        <v>0</v>
      </c>
      <c r="HA11" s="87" t="s">
        <v>157</v>
      </c>
      <c r="HB11" s="3">
        <f>COUNTIFS(Tbl_Responses[Local trials],$HA11,Tbl_Responses[[Resp_Group]:[Resp_Group]],Agronomist)</f>
        <v>30</v>
      </c>
      <c r="HC11" s="4">
        <f>Tbl_infoSources[[#This Row],[No. Responses]]/SUM(Tbl_infoSources[No. Responses])</f>
        <v>0.12</v>
      </c>
    </row>
    <row r="12" spans="1:266" x14ac:dyDescent="0.25">
      <c r="A12" t="s">
        <v>315</v>
      </c>
      <c r="B12" s="3">
        <f>COUNTIFS(Tbl_Responses[Q1: region],Results!$A12,Tbl_Responses[Resp_Group],Agronomist)</f>
        <v>11</v>
      </c>
      <c r="C12" s="4">
        <f>B12/SUM(Tbl_Q1[Respondants])</f>
        <v>0.15492957746478872</v>
      </c>
      <c r="D12" s="7">
        <f>AVERAGEIFS(Tbl_Responses[Q2: Cropped Area],Tbl_Responses[Q1: region],Tbl_Q1[[#This Row],[Region]],Tbl_Responses[[Resp_Group]:[Resp_Group]],Agronomist)</f>
        <v>36772.727272727272</v>
      </c>
      <c r="S12" t="s">
        <v>310</v>
      </c>
      <c r="T12" s="4">
        <f>COUNTIFS(Tbl_Responses[[Variable Costs]:[Variable Costs]],T$3,Tbl_Responses[[Q1: region]:[Q1: region]],$S12,Tbl_Responses[[Resp_Group]:[Resp_Group]],Agronomist)/COUNTIFS(Tbl_Responses[[Q1: region]:[Q1: region]],$S12,Tbl_Responses[[Resp_Group]:[Resp_Group]],Agronomist)</f>
        <v>0</v>
      </c>
      <c r="U12" s="4">
        <f>COUNTIFS(Tbl_Responses[[Variable Costs]:[Variable Costs]],U$3,Tbl_Responses[[Q1: region]:[Q1: region]],$S12,Tbl_Responses[[Resp_Group]:[Resp_Group]],Agronomist)/COUNTIFS(Tbl_Responses[[Q1: region]:[Q1: region]],$S12,Tbl_Responses[[Resp_Group]:[Resp_Group]],Agronomist)</f>
        <v>0</v>
      </c>
      <c r="V12" s="4">
        <f>COUNTIFS(Tbl_Responses[[Variable Costs]:[Variable Costs]],V$3,Tbl_Responses[[Q1: region]:[Q1: region]],$S12,Tbl_Responses[[Resp_Group]:[Resp_Group]],Agronomist)/COUNTIFS(Tbl_Responses[[Q1: region]:[Q1: region]],$S12,Tbl_Responses[[Resp_Group]:[Resp_Group]],Agronomist)</f>
        <v>0</v>
      </c>
      <c r="W12" s="4">
        <f>COUNTIFS(Tbl_Responses[[Variable Costs]:[Variable Costs]],W$3,Tbl_Responses[[Q1: region]:[Q1: region]],$S12,Tbl_Responses[[Resp_Group]:[Resp_Group]],Agronomist)/COUNTIFS(Tbl_Responses[[Q1: region]:[Q1: region]],$S12,Tbl_Responses[[Resp_Group]:[Resp_Group]],Agronomist)</f>
        <v>0.125</v>
      </c>
      <c r="X12" s="4">
        <f>COUNTIFS(Tbl_Responses[[Variable Costs]:[Variable Costs]],X$3,Tbl_Responses[[Q1: region]:[Q1: region]],$S12,Tbl_Responses[[Resp_Group]:[Resp_Group]],Agronomist)/COUNTIFS(Tbl_Responses[[Q1: region]:[Q1: region]],$S12,Tbl_Responses[[Resp_Group]:[Resp_Group]],Agronomist)</f>
        <v>0.375</v>
      </c>
      <c r="Y12" s="4">
        <f>COUNTIFS(Tbl_Responses[[Variable Costs]:[Variable Costs]],Y$3,Tbl_Responses[[Q1: region]:[Q1: region]],$S12,Tbl_Responses[[Resp_Group]:[Resp_Group]],Agronomist)/COUNTIFS(Tbl_Responses[[Q1: region]:[Q1: region]],$S12,Tbl_Responses[[Resp_Group]:[Resp_Group]],Agronomist)</f>
        <v>0.125</v>
      </c>
      <c r="Z12" s="4">
        <f>COUNTIFS(Tbl_Responses[[Variable Costs]:[Variable Costs]],Z$3,Tbl_Responses[[Q1: region]:[Q1: region]],$S12,Tbl_Responses[[Resp_Group]:[Resp_Group]],Agronomist)/COUNTIFS(Tbl_Responses[[Q1: region]:[Q1: region]],$S12,Tbl_Responses[[Resp_Group]:[Resp_Group]],Agronomist)</f>
        <v>0</v>
      </c>
      <c r="AA12" s="4">
        <f>COUNTIFS(Tbl_Responses[[Variable Costs]:[Variable Costs]],AA$3,Tbl_Responses[[Q1: region]:[Q1: region]],$S12,Tbl_Responses[[Resp_Group]:[Resp_Group]],Agronomist)/COUNTIFS(Tbl_Responses[[Q1: region]:[Q1: region]],$S12,Tbl_Responses[[Resp_Group]:[Resp_Group]],Agronomist)</f>
        <v>0.375</v>
      </c>
      <c r="AB12" s="4">
        <f>COUNTIFS(Tbl_Responses[[Variable Costs]:[Variable Costs]],AB$3,Tbl_Responses[[Q1: region]:[Q1: region]],$S12,Tbl_Responses[[Resp_Group]:[Resp_Group]],Agronomist)/COUNTIFS(Tbl_Responses[[Q1: region]:[Q1: region]],$S12,Tbl_Responses[[Resp_Group]:[Resp_Group]],Agronomist)</f>
        <v>0</v>
      </c>
      <c r="AG12" t="s">
        <v>310</v>
      </c>
      <c r="AH12" s="4">
        <f>COUNTIFS(Tbl_Responses[[Def_Nutrient_ID]:[Def_Nutrient_ID]],"*N*",Tbl_Responses[[Q1: region]:[Q1: region]],$AG12,Tbl_Responses[[Resp_Group]:[Resp_Group]],Agronomist)/COUNTIFS(Tbl_Responses[[Def_Nutrient_ID]:[Def_Nutrient_ID]],"&lt;&gt;"&amp;"",Tbl_Responses[[Q1: region]:[Q1: region]],$AG12,Tbl_Responses[[Resp_Group]:[Resp_Group]],Agronomist)</f>
        <v>0.875</v>
      </c>
      <c r="AI12" s="4">
        <f>COUNTIFS(Tbl_Responses[[Def_Nutrient_ID]:[Def_Nutrient_ID]],"*P*",Tbl_Responses[[Q1: region]:[Q1: region]],$AG12,Tbl_Responses[[Resp_Group]:[Resp_Group]],Agronomist)/COUNTIFS(Tbl_Responses[[Def_Nutrient_ID]:[Def_Nutrient_ID]],"&lt;&gt;"&amp;"",Tbl_Responses[[Q1: region]:[Q1: region]],$AG12,Tbl_Responses[[Resp_Group]:[Resp_Group]],Agronomist)</f>
        <v>0.875</v>
      </c>
      <c r="AJ12" s="4">
        <f>COUNTIFS(Tbl_Responses[[Def_Nutrient_ID]:[Def_Nutrient_ID]],"*K*",Tbl_Responses[[Q1: region]:[Q1: region]],$AG12,Tbl_Responses[[Resp_Group]:[Resp_Group]],Agronomist)/COUNTIFS(Tbl_Responses[[Def_Nutrient_ID]:[Def_Nutrient_ID]],"&lt;&gt;"&amp;"",Tbl_Responses[[Q1: region]:[Q1: region]],$AG12,Tbl_Responses[[Resp_Group]:[Resp_Group]],Agronomist)</f>
        <v>0.5</v>
      </c>
      <c r="AK12" s="4">
        <f>COUNTIFS(Tbl_Responses[[Def_Nutrient_ID]:[Def_Nutrient_ID]],"*S*",Tbl_Responses[[Q1: region]:[Q1: region]],$AG12,Tbl_Responses[[Resp_Group]:[Resp_Group]],Agronomist)/COUNTIFS(Tbl_Responses[[Def_Nutrient_ID]:[Def_Nutrient_ID]],"&lt;&gt;"&amp;"",Tbl_Responses[[Q1: region]:[Q1: region]],$AG12,Tbl_Responses[[Resp_Group]:[Resp_Group]],Agronomist)</f>
        <v>0.375</v>
      </c>
      <c r="AL12" s="4">
        <f>COUNTIFS(Tbl_Responses[[Def_Nutrient_ID]:[Def_Nutrient_ID]],"*Zn*",Tbl_Responses[[Q1: region]:[Q1: region]],$AG12,Tbl_Responses[[Resp_Group]:[Resp_Group]],Agronomist)/COUNTIFS(Tbl_Responses[[Def_Nutrient_ID]:[Def_Nutrient_ID]],"&lt;&gt;"&amp;"",Tbl_Responses[[Q1: region]:[Q1: region]],$AG12,Tbl_Responses[[Resp_Group]:[Resp_Group]],Agronomist)</f>
        <v>0.25</v>
      </c>
      <c r="AM12" s="4">
        <f>COUNTIFS(Tbl_Responses[[Def_Nutrient_ID]:[Def_Nutrient_ID]],"*Mn*",Tbl_Responses[[Q1: region]:[Q1: region]],$AG12,Tbl_Responses[[Resp_Group]:[Resp_Group]],Agronomist)/COUNTIFS(Tbl_Responses[[Def_Nutrient_ID]:[Def_Nutrient_ID]],"&lt;&gt;"&amp;"",Tbl_Responses[[Q1: region]:[Q1: region]],$AG12,Tbl_Responses[[Resp_Group]:[Resp_Group]],Agronomist)</f>
        <v>0.25</v>
      </c>
      <c r="AN12" s="4">
        <f>COUNTIFS(Tbl_Responses[[Def_Nutrient_ID]:[Def_Nutrient_ID]],"*Mg*",Tbl_Responses[[Q1: region]:[Q1: region]],$AG12,Tbl_Responses[[Resp_Group]:[Resp_Group]],Agronomist)/COUNTIFS(Tbl_Responses[[Def_Nutrient_ID]:[Def_Nutrient_ID]],"&lt;&gt;"&amp;"",Tbl_Responses[[Q1: region]:[Q1: region]],$AG12,Tbl_Responses[[Resp_Group]:[Resp_Group]],Agronomist)</f>
        <v>0.25</v>
      </c>
      <c r="AO12" s="4">
        <f>COUNTIFS(Tbl_Responses[[Def_Nutrient_ID]:[Def_Nutrient_ID]],"*Cu*",Tbl_Responses[[Q1: region]:[Q1: region]],$AG12,Tbl_Responses[[Resp_Group]:[Resp_Group]],Agronomist)/COUNTIFS(Tbl_Responses[[Def_Nutrient_ID]:[Def_Nutrient_ID]],"&lt;&gt;"&amp;"",Tbl_Responses[[Q1: region]:[Q1: region]],$AG12,Tbl_Responses[[Resp_Group]:[Resp_Group]],Agronomist)</f>
        <v>0.125</v>
      </c>
      <c r="AP12" s="4">
        <f>COUNTIFS(Tbl_Responses[[Def_Nutrient_ID]:[Def_Nutrient_ID]],"*B*",Tbl_Responses[[Q1: region]:[Q1: region]],$AG12,Tbl_Responses[[Resp_Group]:[Resp_Group]],Agronomist)/COUNTIFS(Tbl_Responses[[Def_Nutrient_ID]:[Def_Nutrient_ID]],"&lt;&gt;"&amp;"",Tbl_Responses[[Q1: region]:[Q1: region]],$AG12,Tbl_Responses[[Resp_Group]:[Resp_Group]],Agronomist)</f>
        <v>0.125</v>
      </c>
      <c r="AQ12" s="4">
        <f>COUNTIFS(Tbl_Responses[[Def_Nutrient_ID]:[Def_Nutrient_ID]],"*Ca*",Tbl_Responses[[Q1: region]:[Q1: region]],$AG12,Tbl_Responses[[Resp_Group]:[Resp_Group]],Agronomist)/COUNTIFS(Tbl_Responses[[Def_Nutrient_ID]:[Def_Nutrient_ID]],"&lt;&gt;"&amp;"",Tbl_Responses[[Q1: region]:[Q1: region]],$AG12,Tbl_Responses[[Resp_Group]:[Resp_Group]],Agronomist)</f>
        <v>0</v>
      </c>
      <c r="AR12" s="4">
        <f>COUNTIFS(Tbl_Responses[[Def_Nutrient_ID]:[Def_Nutrient_ID]],"*pH*",Tbl_Responses[[Q1: region]:[Q1: region]],$AG12,Tbl_Responses[[Resp_Group]:[Resp_Group]],Agronomist)/COUNTIFS(Tbl_Responses[[Def_Nutrient_ID]:[Def_Nutrient_ID]],"&lt;&gt;"&amp;"",Tbl_Responses[[Q1: region]:[Q1: region]],$AG12,Tbl_Responses[[Resp_Group]:[Resp_Group]],Agronomist)</f>
        <v>0.125</v>
      </c>
      <c r="AS12" s="4">
        <f>COUNTIFS(Tbl_Responses[[Def_Nutrient_ID]:[Def_Nutrient_ID]],"*T*",Tbl_Responses[[Q1: region]:[Q1: region]],$AG12,Tbl_Responses[[Resp_Group]:[Resp_Group]],Agronomist)/COUNTIFS(Tbl_Responses[[Def_Nutrient_ID]:[Def_Nutrient_ID]],"&lt;&gt;"&amp;"",Tbl_Responses[[Q1: region]:[Q1: region]],$AG12,Tbl_Responses[[Resp_Group]:[Resp_Group]],Agronomist)</f>
        <v>0</v>
      </c>
      <c r="AV12" t="s">
        <v>310</v>
      </c>
      <c r="AW12" s="4">
        <f>COUNTIFS(Tbl_Responses[[Q6: Do you do/recommend soil and/or plant testing?]:[Q6: Do you do/recommend soil and/or plant testing?]],"Yes",Tbl_Responses[[Q1: region]:[Q1: region]],$AV12,Tbl_Responses[[Resp_Group]:[Resp_Group]],Agronomist)/COUNTIFS(Tbl_Responses[[Q6: Do you do/recommend soil and/or plant testing?]:[Q6: Do you do/recommend soil and/or plant testing?]],"&lt;&gt;"&amp;"",Tbl_Responses[[Q1: region]:[Q1: region]],$AV12,Tbl_Responses[[Resp_Group]:[Resp_Group]],Agronomist)</f>
        <v>0.875</v>
      </c>
      <c r="AX12" s="4">
        <f>COUNTIFS(Tbl_Responses[[Q6: Do you do/recommend soil and/or plant testing?]:[Q6: Do you do/recommend soil and/or plant testing?]],"No",Tbl_Responses[[Q1: region]:[Q1: region]],$AV12,Tbl_Responses[[Resp_Group]:[Resp_Group]],Agronomist)/COUNTIFS(Tbl_Responses[[Q6: Do you do/recommend soil and/or plant testing?]:[Q6: Do you do/recommend soil and/or plant testing?]],"&lt;&gt;"&amp;"",Tbl_Responses[[Q1: region]:[Q1: region]],$AV12,Tbl_Responses[[Resp_Group]:[Resp_Group]],Agronomist)</f>
        <v>0.125</v>
      </c>
      <c r="AY12" s="3">
        <f>COUNTIFS(Tbl_Responses[[Q6: Do you do/recommend soil and/or plant testing?]:[Q6: Do you do/recommend soil and/or plant testing?]],"&gt;""",Tbl_Responses[[Q1: region]:[Q1: region]],$AV12,Tbl_Responses[[Resp_Group]:[Resp_Group]],Agronomist)</f>
        <v>8</v>
      </c>
      <c r="BE12" s="33" t="s">
        <v>281</v>
      </c>
      <c r="BF12" s="33" t="s">
        <v>239</v>
      </c>
      <c r="BH12" t="s">
        <v>559</v>
      </c>
      <c r="BI12" s="3">
        <f>COUNTIFS(Tbl_Responses[Source_1_ID],$BH12,Tbl_Responses[[Resp_Group]:[Resp_Group]],Agronomist)+COUNTIFS(Tbl_Responses[Source_2_ID],$BH12,Tbl_Responses[[Resp_Group]:[Resp_Group]],Agronomist)+COUNTIFS(Tbl_Responses[Source_3_ID],$BH12,Tbl_Responses[[Resp_Group]:[Resp_Group]],Agronomist)</f>
        <v>5</v>
      </c>
      <c r="BJ12" s="4">
        <f>Tbl_Q11[[#This Row],[Q11 Response]]/SUM(Tbl_Q11[Q11 Response])</f>
        <v>3.048780487804878E-2</v>
      </c>
      <c r="CB12" s="34" t="s">
        <v>2482</v>
      </c>
      <c r="CM12" s="34" t="s">
        <v>2486</v>
      </c>
      <c r="CZ12" s="34" t="s">
        <v>2489</v>
      </c>
      <c r="DF12" s="81" t="s">
        <v>193</v>
      </c>
      <c r="DG12" s="78">
        <f>(COUNTIFS(Tbl_Responses[1 - Type of test],DF12,Tbl_Responses[[Resp_Group]:[Resp_Group]],Agronomist)+COUNTIFS(Tbl_Responses[2 - Type of test],DF12,Tbl_Responses[[Resp_Group]:[Resp_Group]],Agronomist)+COUNTIFS(Tbl_Responses[3 - Type of test],DF12,Tbl_Responses[[Resp_Group]:[Resp_Group]],Agronomist)+COUNTIFS(Tbl_Responses[4 - Type of test],DF12,Tbl_Responses[[Resp_Group]:[Resp_Group]],Agronomist)+COUNTIFS(Tbl_Responses[5 - Type of test],DF12,Tbl_Responses[[Resp_Group]:[Resp_Group]],Agronomist))/(COUNTIFS(Tbl_Responses[1 -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f>
        <v>3.0567685589519649E-2</v>
      </c>
      <c r="DJ12" s="34" t="s">
        <v>2495</v>
      </c>
      <c r="EC12" s="34" t="s">
        <v>2519</v>
      </c>
      <c r="EH12" s="34" t="s">
        <v>2520</v>
      </c>
      <c r="EM12" s="59" t="s">
        <v>524</v>
      </c>
      <c r="ET12" t="s">
        <v>1046</v>
      </c>
      <c r="EU12" s="3">
        <f>COUNTIFS(Tbl_Responses[Soil testing annual spend],$ET12,Tbl_Responses[[Resp_Group]:[Resp_Group]],Agronomist)</f>
        <v>0</v>
      </c>
      <c r="EV12" s="4">
        <f>Tbl_Q22[[#This Row],[No. Respondants]]/SUM(Tbl_Q22[No. Respondants])</f>
        <v>0</v>
      </c>
      <c r="EY12" s="59" t="s">
        <v>944</v>
      </c>
      <c r="FD12" s="59" t="s">
        <v>500</v>
      </c>
      <c r="FN12" s="34" t="s">
        <v>2546</v>
      </c>
      <c r="FS12" t="s">
        <v>504</v>
      </c>
      <c r="FZ12" t="s">
        <v>1046</v>
      </c>
      <c r="GA12" s="3">
        <f>COUNTIFS(Tbl_Responses[Average annual spend - Plant testing],$FZ12,Tbl_Responses[[Resp_Group]:[Resp_Group]],Agronomist)</f>
        <v>1</v>
      </c>
      <c r="GB12" s="4">
        <f>Tbl_Q28[[#This Row],[No. Respondants]]/SUM(Tbl_Q28[No. Respondants])</f>
        <v>1.8518518518518517E-2</v>
      </c>
      <c r="GO12" s="5" t="s">
        <v>2577</v>
      </c>
      <c r="GT12" s="5" t="s">
        <v>2577</v>
      </c>
      <c r="HA12" s="87" t="s">
        <v>158</v>
      </c>
      <c r="HB12" s="3">
        <f>COUNTIFS(Tbl_Responses[Fertilizer company information, e.g. fact sheets],$HA12,Tbl_Responses[[Resp_Group]:[Resp_Group]],Agronomist)</f>
        <v>15</v>
      </c>
      <c r="HC12" s="4">
        <f>Tbl_infoSources[[#This Row],[No. Responses]]/SUM(Tbl_infoSources[No. Responses])</f>
        <v>0.06</v>
      </c>
    </row>
    <row r="13" spans="1:266" x14ac:dyDescent="0.25">
      <c r="A13" t="s">
        <v>33</v>
      </c>
      <c r="B13" s="3">
        <f>COUNTIFS(Tbl_Responses[Q1: region],Results!$A13,Tbl_Responses[Resp_Group],Agronomist)</f>
        <v>3</v>
      </c>
      <c r="C13" s="4">
        <f>B13/SUM(Tbl_Q1[Respondants])</f>
        <v>4.2253521126760563E-2</v>
      </c>
      <c r="D13" s="7">
        <f>AVERAGEIFS(Tbl_Responses[Q2: Cropped Area],Tbl_Responses[Q1: region],Tbl_Q1[[#This Row],[Region]],Tbl_Responses[[Resp_Group]:[Resp_Group]],Agronomist)</f>
        <v>833.33333333333337</v>
      </c>
      <c r="S13" t="s">
        <v>315</v>
      </c>
      <c r="T13" s="4">
        <f>COUNTIFS(Tbl_Responses[[Variable Costs]:[Variable Costs]],T$3,Tbl_Responses[[Q1: region]:[Q1: region]],$S13,Tbl_Responses[[Resp_Group]:[Resp_Group]],Agronomist)/COUNTIFS(Tbl_Responses[[Q1: region]:[Q1: region]],$S13,Tbl_Responses[[Resp_Group]:[Resp_Group]],Agronomist)</f>
        <v>0</v>
      </c>
      <c r="U13" s="4">
        <f>COUNTIFS(Tbl_Responses[[Variable Costs]:[Variable Costs]],U$3,Tbl_Responses[[Q1: region]:[Q1: region]],$S13,Tbl_Responses[[Resp_Group]:[Resp_Group]],Agronomist)/COUNTIFS(Tbl_Responses[[Q1: region]:[Q1: region]],$S13,Tbl_Responses[[Resp_Group]:[Resp_Group]],Agronomist)</f>
        <v>0</v>
      </c>
      <c r="V13" s="4">
        <f>COUNTIFS(Tbl_Responses[[Variable Costs]:[Variable Costs]],V$3,Tbl_Responses[[Q1: region]:[Q1: region]],$S13,Tbl_Responses[[Resp_Group]:[Resp_Group]],Agronomist)/COUNTIFS(Tbl_Responses[[Q1: region]:[Q1: region]],$S13,Tbl_Responses[[Resp_Group]:[Resp_Group]],Agronomist)</f>
        <v>0</v>
      </c>
      <c r="W13" s="4">
        <f>COUNTIFS(Tbl_Responses[[Variable Costs]:[Variable Costs]],W$3,Tbl_Responses[[Q1: region]:[Q1: region]],$S13,Tbl_Responses[[Resp_Group]:[Resp_Group]],Agronomist)/COUNTIFS(Tbl_Responses[[Q1: region]:[Q1: region]],$S13,Tbl_Responses[[Resp_Group]:[Resp_Group]],Agronomist)</f>
        <v>0</v>
      </c>
      <c r="X13" s="4">
        <f>COUNTIFS(Tbl_Responses[[Variable Costs]:[Variable Costs]],X$3,Tbl_Responses[[Q1: region]:[Q1: region]],$S13,Tbl_Responses[[Resp_Group]:[Resp_Group]],Agronomist)/COUNTIFS(Tbl_Responses[[Q1: region]:[Q1: region]],$S13,Tbl_Responses[[Resp_Group]:[Resp_Group]],Agronomist)</f>
        <v>0.18181818181818182</v>
      </c>
      <c r="Y13" s="4">
        <f>COUNTIFS(Tbl_Responses[[Variable Costs]:[Variable Costs]],Y$3,Tbl_Responses[[Q1: region]:[Q1: region]],$S13,Tbl_Responses[[Resp_Group]:[Resp_Group]],Agronomist)/COUNTIFS(Tbl_Responses[[Q1: region]:[Q1: region]],$S13,Tbl_Responses[[Resp_Group]:[Resp_Group]],Agronomist)</f>
        <v>0</v>
      </c>
      <c r="Z13" s="4">
        <f>COUNTIFS(Tbl_Responses[[Variable Costs]:[Variable Costs]],Z$3,Tbl_Responses[[Q1: region]:[Q1: region]],$S13,Tbl_Responses[[Resp_Group]:[Resp_Group]],Agronomist)/COUNTIFS(Tbl_Responses[[Q1: region]:[Q1: region]],$S13,Tbl_Responses[[Resp_Group]:[Resp_Group]],Agronomist)</f>
        <v>0.18181818181818182</v>
      </c>
      <c r="AA13" s="4">
        <f>COUNTIFS(Tbl_Responses[[Variable Costs]:[Variable Costs]],AA$3,Tbl_Responses[[Q1: region]:[Q1: region]],$S13,Tbl_Responses[[Resp_Group]:[Resp_Group]],Agronomist)/COUNTIFS(Tbl_Responses[[Q1: region]:[Q1: region]],$S13,Tbl_Responses[[Resp_Group]:[Resp_Group]],Agronomist)</f>
        <v>0.63636363636363635</v>
      </c>
      <c r="AB13" s="4">
        <f>COUNTIFS(Tbl_Responses[[Variable Costs]:[Variable Costs]],AB$3,Tbl_Responses[[Q1: region]:[Q1: region]],$S13,Tbl_Responses[[Resp_Group]:[Resp_Group]],Agronomist)/COUNTIFS(Tbl_Responses[[Q1: region]:[Q1: region]],$S13,Tbl_Responses[[Resp_Group]:[Resp_Group]],Agronomist)</f>
        <v>0</v>
      </c>
      <c r="AG13" t="s">
        <v>315</v>
      </c>
      <c r="AH13" s="4">
        <f>COUNTIFS(Tbl_Responses[[Def_Nutrient_ID]:[Def_Nutrient_ID]],"*N*",Tbl_Responses[[Q1: region]:[Q1: region]],$AG13,Tbl_Responses[[Resp_Group]:[Resp_Group]],Agronomist)/COUNTIFS(Tbl_Responses[[Def_Nutrient_ID]:[Def_Nutrient_ID]],"&lt;&gt;"&amp;"",Tbl_Responses[[Q1: region]:[Q1: region]],$AG13,Tbl_Responses[[Resp_Group]:[Resp_Group]],Agronomist)</f>
        <v>0.81818181818181823</v>
      </c>
      <c r="AI13" s="4">
        <f>COUNTIFS(Tbl_Responses[[Def_Nutrient_ID]:[Def_Nutrient_ID]],"*P*",Tbl_Responses[[Q1: region]:[Q1: region]],$AG13,Tbl_Responses[[Resp_Group]:[Resp_Group]],Agronomist)/COUNTIFS(Tbl_Responses[[Def_Nutrient_ID]:[Def_Nutrient_ID]],"&lt;&gt;"&amp;"",Tbl_Responses[[Q1: region]:[Q1: region]],$AG13,Tbl_Responses[[Resp_Group]:[Resp_Group]],Agronomist)</f>
        <v>0.72727272727272729</v>
      </c>
      <c r="AJ13" s="4">
        <f>COUNTIFS(Tbl_Responses[[Def_Nutrient_ID]:[Def_Nutrient_ID]],"*K*",Tbl_Responses[[Q1: region]:[Q1: region]],$AG13,Tbl_Responses[[Resp_Group]:[Resp_Group]],Agronomist)/COUNTIFS(Tbl_Responses[[Def_Nutrient_ID]:[Def_Nutrient_ID]],"&lt;&gt;"&amp;"",Tbl_Responses[[Q1: region]:[Q1: region]],$AG13,Tbl_Responses[[Resp_Group]:[Resp_Group]],Agronomist)</f>
        <v>9.0909090909090912E-2</v>
      </c>
      <c r="AK13" s="4">
        <f>COUNTIFS(Tbl_Responses[[Def_Nutrient_ID]:[Def_Nutrient_ID]],"*S*",Tbl_Responses[[Q1: region]:[Q1: region]],$AG13,Tbl_Responses[[Resp_Group]:[Resp_Group]],Agronomist)/COUNTIFS(Tbl_Responses[[Def_Nutrient_ID]:[Def_Nutrient_ID]],"&lt;&gt;"&amp;"",Tbl_Responses[[Q1: region]:[Q1: region]],$AG13,Tbl_Responses[[Resp_Group]:[Resp_Group]],Agronomist)</f>
        <v>0.27272727272727271</v>
      </c>
      <c r="AL13" s="4">
        <f>COUNTIFS(Tbl_Responses[[Def_Nutrient_ID]:[Def_Nutrient_ID]],"*Zn*",Tbl_Responses[[Q1: region]:[Q1: region]],$AG13,Tbl_Responses[[Resp_Group]:[Resp_Group]],Agronomist)/COUNTIFS(Tbl_Responses[[Def_Nutrient_ID]:[Def_Nutrient_ID]],"&lt;&gt;"&amp;"",Tbl_Responses[[Q1: region]:[Q1: region]],$AG13,Tbl_Responses[[Resp_Group]:[Resp_Group]],Agronomist)</f>
        <v>0.45454545454545453</v>
      </c>
      <c r="AM13" s="4">
        <f>COUNTIFS(Tbl_Responses[[Def_Nutrient_ID]:[Def_Nutrient_ID]],"*Mn*",Tbl_Responses[[Q1: region]:[Q1: region]],$AG13,Tbl_Responses[[Resp_Group]:[Resp_Group]],Agronomist)/COUNTIFS(Tbl_Responses[[Def_Nutrient_ID]:[Def_Nutrient_ID]],"&lt;&gt;"&amp;"",Tbl_Responses[[Q1: region]:[Q1: region]],$AG13,Tbl_Responses[[Resp_Group]:[Resp_Group]],Agronomist)</f>
        <v>0</v>
      </c>
      <c r="AN13" s="4">
        <f>COUNTIFS(Tbl_Responses[[Def_Nutrient_ID]:[Def_Nutrient_ID]],"*Mg*",Tbl_Responses[[Q1: region]:[Q1: region]],$AG13,Tbl_Responses[[Resp_Group]:[Resp_Group]],Agronomist)/COUNTIFS(Tbl_Responses[[Def_Nutrient_ID]:[Def_Nutrient_ID]],"&lt;&gt;"&amp;"",Tbl_Responses[[Q1: region]:[Q1: region]],$AG13,Tbl_Responses[[Resp_Group]:[Resp_Group]],Agronomist)</f>
        <v>0</v>
      </c>
      <c r="AO13" s="4">
        <f>COUNTIFS(Tbl_Responses[[Def_Nutrient_ID]:[Def_Nutrient_ID]],"*Cu*",Tbl_Responses[[Q1: region]:[Q1: region]],$AG13,Tbl_Responses[[Resp_Group]:[Resp_Group]],Agronomist)/COUNTIFS(Tbl_Responses[[Def_Nutrient_ID]:[Def_Nutrient_ID]],"&lt;&gt;"&amp;"",Tbl_Responses[[Q1: region]:[Q1: region]],$AG13,Tbl_Responses[[Resp_Group]:[Resp_Group]],Agronomist)</f>
        <v>0.18181818181818182</v>
      </c>
      <c r="AP13" s="4">
        <f>COUNTIFS(Tbl_Responses[[Def_Nutrient_ID]:[Def_Nutrient_ID]],"*B*",Tbl_Responses[[Q1: region]:[Q1: region]],$AG13,Tbl_Responses[[Resp_Group]:[Resp_Group]],Agronomist)/COUNTIFS(Tbl_Responses[[Def_Nutrient_ID]:[Def_Nutrient_ID]],"&lt;&gt;"&amp;"",Tbl_Responses[[Q1: region]:[Q1: region]],$AG13,Tbl_Responses[[Resp_Group]:[Resp_Group]],Agronomist)</f>
        <v>0</v>
      </c>
      <c r="AQ13" s="4">
        <f>COUNTIFS(Tbl_Responses[[Def_Nutrient_ID]:[Def_Nutrient_ID]],"*Ca*",Tbl_Responses[[Q1: region]:[Q1: region]],$AG13,Tbl_Responses[[Resp_Group]:[Resp_Group]],Agronomist)/COUNTIFS(Tbl_Responses[[Def_Nutrient_ID]:[Def_Nutrient_ID]],"&lt;&gt;"&amp;"",Tbl_Responses[[Q1: region]:[Q1: region]],$AG13,Tbl_Responses[[Resp_Group]:[Resp_Group]],Agronomist)</f>
        <v>0</v>
      </c>
      <c r="AR13" s="4">
        <f>COUNTIFS(Tbl_Responses[[Def_Nutrient_ID]:[Def_Nutrient_ID]],"*pH*",Tbl_Responses[[Q1: region]:[Q1: region]],$AG13,Tbl_Responses[[Resp_Group]:[Resp_Group]],Agronomist)/COUNTIFS(Tbl_Responses[[Def_Nutrient_ID]:[Def_Nutrient_ID]],"&lt;&gt;"&amp;"",Tbl_Responses[[Q1: region]:[Q1: region]],$AG13,Tbl_Responses[[Resp_Group]:[Resp_Group]],Agronomist)</f>
        <v>0.45454545454545453</v>
      </c>
      <c r="AS13" s="4">
        <f>COUNTIFS(Tbl_Responses[[Def_Nutrient_ID]:[Def_Nutrient_ID]],"*T*",Tbl_Responses[[Q1: region]:[Q1: region]],$AG13,Tbl_Responses[[Resp_Group]:[Resp_Group]],Agronomist)/COUNTIFS(Tbl_Responses[[Def_Nutrient_ID]:[Def_Nutrient_ID]],"&lt;&gt;"&amp;"",Tbl_Responses[[Q1: region]:[Q1: region]],$AG13,Tbl_Responses[[Resp_Group]:[Resp_Group]],Agronomist)</f>
        <v>0</v>
      </c>
      <c r="AV13" t="s">
        <v>315</v>
      </c>
      <c r="AW13" s="4">
        <f>COUNTIFS(Tbl_Responses[[Q6: Do you do/recommend soil and/or plant testing?]:[Q6: Do you do/recommend soil and/or plant testing?]],"Yes",Tbl_Responses[[Q1: region]:[Q1: region]],$AV13,Tbl_Responses[[Resp_Group]:[Resp_Group]],Agronomist)/COUNTIFS(Tbl_Responses[[Q6: Do you do/recommend soil and/or plant testing?]:[Q6: Do you do/recommend soil and/or plant testing?]],"&lt;&gt;"&amp;"",Tbl_Responses[[Q1: region]:[Q1: region]],$AV13,Tbl_Responses[[Resp_Group]:[Resp_Group]],Agronomist)</f>
        <v>0.90909090909090906</v>
      </c>
      <c r="AX13" s="4">
        <f>COUNTIFS(Tbl_Responses[[Q6: Do you do/recommend soil and/or plant testing?]:[Q6: Do you do/recommend soil and/or plant testing?]],"No",Tbl_Responses[[Q1: region]:[Q1: region]],$AV13,Tbl_Responses[[Resp_Group]:[Resp_Group]],Agronomist)/COUNTIFS(Tbl_Responses[[Q6: Do you do/recommend soil and/or plant testing?]:[Q6: Do you do/recommend soil and/or plant testing?]],"&lt;&gt;"&amp;"",Tbl_Responses[[Q1: region]:[Q1: region]],$AV13,Tbl_Responses[[Resp_Group]:[Resp_Group]],Agronomist)</f>
        <v>9.0909090909090912E-2</v>
      </c>
      <c r="AY13" s="3">
        <f>COUNTIFS(Tbl_Responses[[Q6: Do you do/recommend soil and/or plant testing?]:[Q6: Do you do/recommend soil and/or plant testing?]],"&gt;""",Tbl_Responses[[Q1: region]:[Q1: region]],$AV13,Tbl_Responses[[Resp_Group]:[Resp_Group]],Agronomist)</f>
        <v>11</v>
      </c>
      <c r="BE13" s="33" t="s">
        <v>395</v>
      </c>
      <c r="BF13" s="33" t="s">
        <v>411</v>
      </c>
      <c r="BH13" t="s">
        <v>2444</v>
      </c>
      <c r="BI13" s="3">
        <f>COUNTIFS(Tbl_Responses[Source_1_ID],$BH13,Tbl_Responses[[Resp_Group]:[Resp_Group]],Agronomist)+COUNTIFS(Tbl_Responses[Source_2_ID],$BH13,Tbl_Responses[[Resp_Group]:[Resp_Group]],Agronomist)+COUNTIFS(Tbl_Responses[Source_3_ID],$BH13,Tbl_Responses[[Resp_Group]:[Resp_Group]],Agronomist)</f>
        <v>0</v>
      </c>
      <c r="BJ13" s="4">
        <f>Tbl_Q11[[#This Row],[Q11 Response]]/SUM(Tbl_Q11[Q11 Response])</f>
        <v>0</v>
      </c>
      <c r="CB13" s="33" t="s">
        <v>179</v>
      </c>
      <c r="CM13" s="33" t="s">
        <v>2487</v>
      </c>
      <c r="CZ13" s="33" t="s">
        <v>2490</v>
      </c>
      <c r="DB13" s="33"/>
      <c r="DC13" s="33"/>
      <c r="DD13" s="33"/>
      <c r="DE13" s="33"/>
      <c r="DF13" s="81" t="s">
        <v>189</v>
      </c>
      <c r="DG13" s="78">
        <f>(COUNTIFS(Tbl_Responses[1 - Type of test],DF13,Tbl_Responses[[Resp_Group]:[Resp_Group]],Agronomist)+COUNTIFS(Tbl_Responses[2 - Type of test],DF13,Tbl_Responses[[Resp_Group]:[Resp_Group]],Agronomist)+COUNTIFS(Tbl_Responses[3 - Type of test],DF13,Tbl_Responses[[Resp_Group]:[Resp_Group]],Agronomist)+COUNTIFS(Tbl_Responses[4 - Type of test],DF13,Tbl_Responses[[Resp_Group]:[Resp_Group]],Agronomist)+COUNTIFS(Tbl_Responses[5 - Type of test],DF13,Tbl_Responses[[Resp_Group]:[Resp_Group]],Agronomist))/(COUNTIFS(Tbl_Responses[1 -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f>
        <v>8.296943231441048E-2</v>
      </c>
      <c r="DH13" s="33"/>
      <c r="DI13" s="33"/>
      <c r="DJ13" s="33" t="s">
        <v>298</v>
      </c>
      <c r="EC13" s="59" t="s">
        <v>197</v>
      </c>
      <c r="EH13" s="59" t="s">
        <v>197</v>
      </c>
      <c r="EM13" s="59" t="s">
        <v>864</v>
      </c>
      <c r="EY13" s="59" t="s">
        <v>1101</v>
      </c>
      <c r="FD13" s="59" t="s">
        <v>550</v>
      </c>
      <c r="FN13" s="59" t="s">
        <v>208</v>
      </c>
      <c r="FS13" t="s">
        <v>581</v>
      </c>
      <c r="GT13" s="5" t="s">
        <v>2587</v>
      </c>
      <c r="HA13" s="87" t="s">
        <v>159</v>
      </c>
      <c r="HB13" s="3">
        <f>COUNTIFS(Tbl_Responses[Soil or plant testing companies],$HA13,Tbl_Responses[[Resp_Group]:[Resp_Group]],Agronomist)</f>
        <v>17</v>
      </c>
      <c r="HC13" s="4">
        <f>Tbl_infoSources[[#This Row],[No. Responses]]/SUM(Tbl_infoSources[No. Responses])</f>
        <v>6.8000000000000005E-2</v>
      </c>
    </row>
    <row r="14" spans="1:266" x14ac:dyDescent="0.25">
      <c r="F14" s="5" t="s">
        <v>1305</v>
      </c>
      <c r="M14" s="5" t="s">
        <v>1315</v>
      </c>
      <c r="S14" t="s">
        <v>33</v>
      </c>
      <c r="T14" s="4">
        <f>COUNTIFS(Tbl_Responses[[Variable Costs]:[Variable Costs]],T$3,Tbl_Responses[[Q1: region]:[Q1: region]],$S14,Tbl_Responses[[Resp_Group]:[Resp_Group]],Agronomist)/COUNTIFS(Tbl_Responses[[Q1: region]:[Q1: region]],$S14,Tbl_Responses[[Resp_Group]:[Resp_Group]],Agronomist)</f>
        <v>0</v>
      </c>
      <c r="U14" s="4">
        <f>COUNTIFS(Tbl_Responses[[Variable Costs]:[Variable Costs]],U$3,Tbl_Responses[[Q1: region]:[Q1: region]],$S14,Tbl_Responses[[Resp_Group]:[Resp_Group]],Agronomist)/COUNTIFS(Tbl_Responses[[Q1: region]:[Q1: region]],$S14,Tbl_Responses[[Resp_Group]:[Resp_Group]],Agronomist)</f>
        <v>0</v>
      </c>
      <c r="V14" s="4">
        <f>COUNTIFS(Tbl_Responses[[Variable Costs]:[Variable Costs]],V$3,Tbl_Responses[[Q1: region]:[Q1: region]],$S14,Tbl_Responses[[Resp_Group]:[Resp_Group]],Agronomist)/COUNTIFS(Tbl_Responses[[Q1: region]:[Q1: region]],$S14,Tbl_Responses[[Resp_Group]:[Resp_Group]],Agronomist)</f>
        <v>0</v>
      </c>
      <c r="W14" s="4">
        <f>COUNTIFS(Tbl_Responses[[Variable Costs]:[Variable Costs]],W$3,Tbl_Responses[[Q1: region]:[Q1: region]],$S14,Tbl_Responses[[Resp_Group]:[Resp_Group]],Agronomist)/COUNTIFS(Tbl_Responses[[Q1: region]:[Q1: region]],$S14,Tbl_Responses[[Resp_Group]:[Resp_Group]],Agronomist)</f>
        <v>0</v>
      </c>
      <c r="X14" s="4">
        <f>COUNTIFS(Tbl_Responses[[Variable Costs]:[Variable Costs]],X$3,Tbl_Responses[[Q1: region]:[Q1: region]],$S14,Tbl_Responses[[Resp_Group]:[Resp_Group]],Agronomist)/COUNTIFS(Tbl_Responses[[Q1: region]:[Q1: region]],$S14,Tbl_Responses[[Resp_Group]:[Resp_Group]],Agronomist)</f>
        <v>0.66666666666666663</v>
      </c>
      <c r="Y14" s="4">
        <f>COUNTIFS(Tbl_Responses[[Variable Costs]:[Variable Costs]],Y$3,Tbl_Responses[[Q1: region]:[Q1: region]],$S14,Tbl_Responses[[Resp_Group]:[Resp_Group]],Agronomist)/COUNTIFS(Tbl_Responses[[Q1: region]:[Q1: region]],$S14,Tbl_Responses[[Resp_Group]:[Resp_Group]],Agronomist)</f>
        <v>0</v>
      </c>
      <c r="Z14" s="4">
        <f>COUNTIFS(Tbl_Responses[[Variable Costs]:[Variable Costs]],Z$3,Tbl_Responses[[Q1: region]:[Q1: region]],$S14,Tbl_Responses[[Resp_Group]:[Resp_Group]],Agronomist)/COUNTIFS(Tbl_Responses[[Q1: region]:[Q1: region]],$S14,Tbl_Responses[[Resp_Group]:[Resp_Group]],Agronomist)</f>
        <v>0</v>
      </c>
      <c r="AA14" s="4">
        <f>COUNTIFS(Tbl_Responses[[Variable Costs]:[Variable Costs]],AA$3,Tbl_Responses[[Q1: region]:[Q1: region]],$S14,Tbl_Responses[[Resp_Group]:[Resp_Group]],Agronomist)/COUNTIFS(Tbl_Responses[[Q1: region]:[Q1: region]],$S14,Tbl_Responses[[Resp_Group]:[Resp_Group]],Agronomist)</f>
        <v>0.33333333333333331</v>
      </c>
      <c r="AB14" s="4">
        <f>COUNTIFS(Tbl_Responses[[Variable Costs]:[Variable Costs]],AB$3,Tbl_Responses[[Q1: region]:[Q1: region]],$S14,Tbl_Responses[[Resp_Group]:[Resp_Group]],Agronomist)/COUNTIFS(Tbl_Responses[[Q1: region]:[Q1: region]],$S14,Tbl_Responses[[Resp_Group]:[Resp_Group]],Agronomist)</f>
        <v>0</v>
      </c>
      <c r="AG14" t="s">
        <v>33</v>
      </c>
      <c r="AH14" s="4">
        <f>COUNTIFS(Tbl_Responses[[Def_Nutrient_ID]:[Def_Nutrient_ID]],"*N*",Tbl_Responses[[Q1: region]:[Q1: region]],$AG14,Tbl_Responses[[Resp_Group]:[Resp_Group]],Agronomist)/COUNTIFS(Tbl_Responses[[Def_Nutrient_ID]:[Def_Nutrient_ID]],"&lt;&gt;"&amp;"",Tbl_Responses[[Q1: region]:[Q1: region]],$AG14,Tbl_Responses[[Resp_Group]:[Resp_Group]],Agronomist)</f>
        <v>0.33333333333333331</v>
      </c>
      <c r="AI14" s="4">
        <f>COUNTIFS(Tbl_Responses[[Def_Nutrient_ID]:[Def_Nutrient_ID]],"*P*",Tbl_Responses[[Q1: region]:[Q1: region]],$AG14,Tbl_Responses[[Resp_Group]:[Resp_Group]],Agronomist)/COUNTIFS(Tbl_Responses[[Def_Nutrient_ID]:[Def_Nutrient_ID]],"&lt;&gt;"&amp;"",Tbl_Responses[[Q1: region]:[Q1: region]],$AG14,Tbl_Responses[[Resp_Group]:[Resp_Group]],Agronomist)</f>
        <v>1</v>
      </c>
      <c r="AJ14" s="4">
        <f>COUNTIFS(Tbl_Responses[[Def_Nutrient_ID]:[Def_Nutrient_ID]],"*K*",Tbl_Responses[[Q1: region]:[Q1: region]],$AG14,Tbl_Responses[[Resp_Group]:[Resp_Group]],Agronomist)/COUNTIFS(Tbl_Responses[[Def_Nutrient_ID]:[Def_Nutrient_ID]],"&lt;&gt;"&amp;"",Tbl_Responses[[Q1: region]:[Q1: region]],$AG14,Tbl_Responses[[Resp_Group]:[Resp_Group]],Agronomist)</f>
        <v>0</v>
      </c>
      <c r="AK14" s="4">
        <f>COUNTIFS(Tbl_Responses[[Def_Nutrient_ID]:[Def_Nutrient_ID]],"*S*",Tbl_Responses[[Q1: region]:[Q1: region]],$AG14,Tbl_Responses[[Resp_Group]:[Resp_Group]],Agronomist)/COUNTIFS(Tbl_Responses[[Def_Nutrient_ID]:[Def_Nutrient_ID]],"&lt;&gt;"&amp;"",Tbl_Responses[[Q1: region]:[Q1: region]],$AG14,Tbl_Responses[[Resp_Group]:[Resp_Group]],Agronomist)</f>
        <v>0.33333333333333331</v>
      </c>
      <c r="AL14" s="4">
        <f>COUNTIFS(Tbl_Responses[[Def_Nutrient_ID]:[Def_Nutrient_ID]],"*Zn*",Tbl_Responses[[Q1: region]:[Q1: region]],$AG14,Tbl_Responses[[Resp_Group]:[Resp_Group]],Agronomist)/COUNTIFS(Tbl_Responses[[Def_Nutrient_ID]:[Def_Nutrient_ID]],"&lt;&gt;"&amp;"",Tbl_Responses[[Q1: region]:[Q1: region]],$AG14,Tbl_Responses[[Resp_Group]:[Resp_Group]],Agronomist)</f>
        <v>0.33333333333333331</v>
      </c>
      <c r="AM14" s="4">
        <f>COUNTIFS(Tbl_Responses[[Def_Nutrient_ID]:[Def_Nutrient_ID]],"*Mn*",Tbl_Responses[[Q1: region]:[Q1: region]],$AG14,Tbl_Responses[[Resp_Group]:[Resp_Group]],Agronomist)/COUNTIFS(Tbl_Responses[[Def_Nutrient_ID]:[Def_Nutrient_ID]],"&lt;&gt;"&amp;"",Tbl_Responses[[Q1: region]:[Q1: region]],$AG14,Tbl_Responses[[Resp_Group]:[Resp_Group]],Agronomist)</f>
        <v>0</v>
      </c>
      <c r="AN14" s="4">
        <f>COUNTIFS(Tbl_Responses[[Def_Nutrient_ID]:[Def_Nutrient_ID]],"*Mg*",Tbl_Responses[[Q1: region]:[Q1: region]],$AG14,Tbl_Responses[[Resp_Group]:[Resp_Group]],Agronomist)/COUNTIFS(Tbl_Responses[[Def_Nutrient_ID]:[Def_Nutrient_ID]],"&lt;&gt;"&amp;"",Tbl_Responses[[Q1: region]:[Q1: region]],$AG14,Tbl_Responses[[Resp_Group]:[Resp_Group]],Agronomist)</f>
        <v>0</v>
      </c>
      <c r="AO14" s="4">
        <f>COUNTIFS(Tbl_Responses[[Def_Nutrient_ID]:[Def_Nutrient_ID]],"*Cu*",Tbl_Responses[[Q1: region]:[Q1: region]],$AG14,Tbl_Responses[[Resp_Group]:[Resp_Group]],Agronomist)/COUNTIFS(Tbl_Responses[[Def_Nutrient_ID]:[Def_Nutrient_ID]],"&lt;&gt;"&amp;"",Tbl_Responses[[Q1: region]:[Q1: region]],$AG14,Tbl_Responses[[Resp_Group]:[Resp_Group]],Agronomist)</f>
        <v>0</v>
      </c>
      <c r="AP14" s="4">
        <f>COUNTIFS(Tbl_Responses[[Def_Nutrient_ID]:[Def_Nutrient_ID]],"*B*",Tbl_Responses[[Q1: region]:[Q1: region]],$AG14,Tbl_Responses[[Resp_Group]:[Resp_Group]],Agronomist)/COUNTIFS(Tbl_Responses[[Def_Nutrient_ID]:[Def_Nutrient_ID]],"&lt;&gt;"&amp;"",Tbl_Responses[[Q1: region]:[Q1: region]],$AG14,Tbl_Responses[[Resp_Group]:[Resp_Group]],Agronomist)</f>
        <v>0</v>
      </c>
      <c r="AQ14" s="4">
        <f>COUNTIFS(Tbl_Responses[[Def_Nutrient_ID]:[Def_Nutrient_ID]],"*Ca*",Tbl_Responses[[Q1: region]:[Q1: region]],$AG14,Tbl_Responses[[Resp_Group]:[Resp_Group]],Agronomist)/COUNTIFS(Tbl_Responses[[Def_Nutrient_ID]:[Def_Nutrient_ID]],"&lt;&gt;"&amp;"",Tbl_Responses[[Q1: region]:[Q1: region]],$AG14,Tbl_Responses[[Resp_Group]:[Resp_Group]],Agronomist)</f>
        <v>0</v>
      </c>
      <c r="AR14" s="4">
        <f>COUNTIFS(Tbl_Responses[[Def_Nutrient_ID]:[Def_Nutrient_ID]],"*pH*",Tbl_Responses[[Q1: region]:[Q1: region]],$AG14,Tbl_Responses[[Resp_Group]:[Resp_Group]],Agronomist)/COUNTIFS(Tbl_Responses[[Def_Nutrient_ID]:[Def_Nutrient_ID]],"&lt;&gt;"&amp;"",Tbl_Responses[[Q1: region]:[Q1: region]],$AG14,Tbl_Responses[[Resp_Group]:[Resp_Group]],Agronomist)</f>
        <v>0</v>
      </c>
      <c r="AS14" s="4">
        <f>COUNTIFS(Tbl_Responses[[Def_Nutrient_ID]:[Def_Nutrient_ID]],"*T*",Tbl_Responses[[Q1: region]:[Q1: region]],$AG14,Tbl_Responses[[Resp_Group]:[Resp_Group]],Agronomist)/COUNTIFS(Tbl_Responses[[Def_Nutrient_ID]:[Def_Nutrient_ID]],"&lt;&gt;"&amp;"",Tbl_Responses[[Q1: region]:[Q1: region]],$AG14,Tbl_Responses[[Resp_Group]:[Resp_Group]],Agronomist)</f>
        <v>0</v>
      </c>
      <c r="AV14" t="s">
        <v>33</v>
      </c>
      <c r="AW14" s="4">
        <f>COUNTIFS(Tbl_Responses[[Q6: Do you do/recommend soil and/or plant testing?]:[Q6: Do you do/recommend soil and/or plant testing?]],"Yes",Tbl_Responses[[Q1: region]:[Q1: region]],$AV14,Tbl_Responses[[Resp_Group]:[Resp_Group]],Agronomist)/COUNTIFS(Tbl_Responses[[Q6: Do you do/recommend soil and/or plant testing?]:[Q6: Do you do/recommend soil and/or plant testing?]],"&lt;&gt;"&amp;"",Tbl_Responses[[Q1: region]:[Q1: region]],$AV14,Tbl_Responses[[Resp_Group]:[Resp_Group]],Agronomist)</f>
        <v>1</v>
      </c>
      <c r="AX14" s="4">
        <f>COUNTIFS(Tbl_Responses[[Q6: Do you do/recommend soil and/or plant testing?]:[Q6: Do you do/recommend soil and/or plant testing?]],"No",Tbl_Responses[[Q1: region]:[Q1: region]],$AV14,Tbl_Responses[[Resp_Group]:[Resp_Group]],Agronomist)/COUNTIFS(Tbl_Responses[[Q6: Do you do/recommend soil and/or plant testing?]:[Q6: Do you do/recommend soil and/or plant testing?]],"&lt;&gt;"&amp;"",Tbl_Responses[[Q1: region]:[Q1: region]],$AV14,Tbl_Responses[[Resp_Group]:[Resp_Group]],Agronomist)</f>
        <v>0</v>
      </c>
      <c r="AY14" s="3">
        <f>COUNTIFS(Tbl_Responses[[Q6: Do you do/recommend soil and/or plant testing?]:[Q6: Do you do/recommend soil and/or plant testing?]],"&gt;""",Tbl_Responses[[Q1: region]:[Q1: region]],$AV14,Tbl_Responses[[Resp_Group]:[Resp_Group]],Agronomist)</f>
        <v>3</v>
      </c>
      <c r="BE14" s="33" t="s">
        <v>410</v>
      </c>
      <c r="BF14" s="33" t="s">
        <v>535</v>
      </c>
      <c r="BH14" t="s">
        <v>2446</v>
      </c>
      <c r="BI14" s="3">
        <f>COUNTIFS(Tbl_Responses[Source_1_ID],$BH14,Tbl_Responses[[Resp_Group]:[Resp_Group]],Agronomist)+COUNTIFS(Tbl_Responses[Source_2_ID],$BH14,Tbl_Responses[[Resp_Group]:[Resp_Group]],Agronomist)+COUNTIFS(Tbl_Responses[Source_3_ID],$BH14,Tbl_Responses[[Resp_Group]:[Resp_Group]],Agronomist)</f>
        <v>1</v>
      </c>
      <c r="BJ14" s="4">
        <f>Tbl_Q11[[#This Row],[Q11 Response]]/SUM(Tbl_Q11[Q11 Response])</f>
        <v>6.0975609756097563E-3</v>
      </c>
      <c r="CB14" s="33" t="s">
        <v>404</v>
      </c>
      <c r="CM14" s="33" t="s">
        <v>417</v>
      </c>
      <c r="CZ14" s="33" t="s">
        <v>517</v>
      </c>
      <c r="DB14" s="33"/>
      <c r="DC14" s="33"/>
      <c r="DD14" s="33"/>
      <c r="DE14" s="33"/>
      <c r="DF14" s="81" t="s">
        <v>1011</v>
      </c>
      <c r="DG14" s="78">
        <f>(COUNTIFS(Tbl_Responses[1 - Type of test],DF14,Tbl_Responses[[Resp_Group]:[Resp_Group]],Agronomist)+COUNTIFS(Tbl_Responses[2 - Type of test],DF14,Tbl_Responses[[Resp_Group]:[Resp_Group]],Agronomist)+COUNTIFS(Tbl_Responses[3 - Type of test],DF14,Tbl_Responses[[Resp_Group]:[Resp_Group]],Agronomist)+COUNTIFS(Tbl_Responses[4 - Type of test],DF14,Tbl_Responses[[Resp_Group]:[Resp_Group]],Agronomist)+COUNTIFS(Tbl_Responses[5 - Type of test],DF14,Tbl_Responses[[Resp_Group]:[Resp_Group]],Agronomist))/(COUNTIFS(Tbl_Responses[1 - Type of test],"&gt;""",Tbl_Responses[[Resp_Group]:[Resp_Group]],Agronomist)+COUNTIFS(Tbl_Responses[2 - Type of test],"&gt;""",Tbl_Responses[[Resp_Group]:[Resp_Group]],Agronomist)+COUNTIFS(Tbl_Responses[3 - Type of test],"&gt;""",Tbl_Responses[[Resp_Group]:[Resp_Group]],Agronomist)+COUNTIFS(Tbl_Responses[4 - Type of test],"&gt;""",Tbl_Responses[[Resp_Group]:[Resp_Group]],Agronomist)+COUNTIFS(Tbl_Responses[5 - Type of test],"&gt;""",Tbl_Responses[[Resp_Group]:[Resp_Group]],Agronomist))</f>
        <v>4.3668122270742356E-3</v>
      </c>
      <c r="DH14" s="33"/>
      <c r="DI14" s="33"/>
      <c r="DJ14" s="33" t="s">
        <v>518</v>
      </c>
      <c r="EC14" s="59" t="s">
        <v>300</v>
      </c>
      <c r="EH14" s="59" t="s">
        <v>339</v>
      </c>
      <c r="ET14" s="34" t="s">
        <v>2534</v>
      </c>
      <c r="FD14" s="59" t="s">
        <v>746</v>
      </c>
      <c r="FN14" s="59" t="s">
        <v>276</v>
      </c>
      <c r="FZ14" s="34" t="s">
        <v>2563</v>
      </c>
      <c r="HA14" s="87" t="s">
        <v>160</v>
      </c>
      <c r="HB14" s="3">
        <f>COUNTIFS(Tbl_Responses[Researchers],$HA14,Tbl_Responses[[Resp_Group]:[Resp_Group]],Agronomist)</f>
        <v>33</v>
      </c>
      <c r="HC14" s="4">
        <f>Tbl_infoSources[[#This Row],[No. Responses]]/SUM(Tbl_infoSources[No. Responses])</f>
        <v>0.13200000000000001</v>
      </c>
    </row>
    <row r="15" spans="1:266" x14ac:dyDescent="0.25">
      <c r="F15" s="5" t="s">
        <v>1306</v>
      </c>
      <c r="M15" s="5" t="s">
        <v>1316</v>
      </c>
      <c r="BE15" s="33" t="s">
        <v>477</v>
      </c>
      <c r="BF15" s="33" t="s">
        <v>796</v>
      </c>
      <c r="BH15" t="s">
        <v>2443</v>
      </c>
      <c r="BI15" s="3">
        <f>COUNTIFS(Tbl_Responses[Source_1_ID],$BH15,Tbl_Responses[[Resp_Group]:[Resp_Group]],Agronomist)+COUNTIFS(Tbl_Responses[Source_2_ID],$BH15,Tbl_Responses[[Resp_Group]:[Resp_Group]],Agronomist)+COUNTIFS(Tbl_Responses[Source_3_ID],$BH15,Tbl_Responses[[Resp_Group]:[Resp_Group]],Agronomist)</f>
        <v>4</v>
      </c>
      <c r="BJ15" s="4">
        <f>Tbl_Q11[[#This Row],[Q11 Response]]/SUM(Tbl_Q11[Q11 Response])</f>
        <v>2.4390243902439025E-2</v>
      </c>
      <c r="CB15" s="33" t="s">
        <v>416</v>
      </c>
      <c r="CM15" s="33" t="s">
        <v>516</v>
      </c>
      <c r="CZ15" s="33" t="s">
        <v>542</v>
      </c>
      <c r="DB15" s="33"/>
      <c r="DC15" s="33"/>
      <c r="DD15" s="33"/>
      <c r="DE15" s="33"/>
      <c r="DF15" s="33"/>
      <c r="DG15" s="33"/>
      <c r="DH15" s="33"/>
      <c r="DI15" s="33"/>
      <c r="DJ15" s="33" t="s">
        <v>543</v>
      </c>
      <c r="EC15" s="59" t="s">
        <v>339</v>
      </c>
      <c r="EH15" s="59" t="s">
        <v>356</v>
      </c>
      <c r="ET15" s="59" t="s">
        <v>426</v>
      </c>
      <c r="FD15" s="59" t="s">
        <v>1243</v>
      </c>
      <c r="FN15" s="59" t="s">
        <v>339</v>
      </c>
      <c r="FZ15" s="5" t="s">
        <v>2565</v>
      </c>
      <c r="HA15" s="87" t="s">
        <v>161</v>
      </c>
      <c r="HB15" s="3">
        <f>COUNTIFS(Tbl_Responses[Google],$HA15,Tbl_Responses[[Resp_Group]:[Resp_Group]],Agronomist)</f>
        <v>19</v>
      </c>
      <c r="HC15" s="4">
        <f>Tbl_infoSources[[#This Row],[No. Responses]]/SUM(Tbl_infoSources[No. Responses])</f>
        <v>7.5999999999999998E-2</v>
      </c>
    </row>
    <row r="16" spans="1:266" x14ac:dyDescent="0.25">
      <c r="BE16" s="33" t="s">
        <v>512</v>
      </c>
      <c r="BF16" s="33" t="s">
        <v>977</v>
      </c>
      <c r="BH16" t="s">
        <v>2445</v>
      </c>
      <c r="BI16" s="3">
        <f>COUNTIFS(Tbl_Responses[Source_1_ID],$BH16,Tbl_Responses[[Resp_Group]:[Resp_Group]],Agronomist)+COUNTIFS(Tbl_Responses[Source_2_ID],$BH16,Tbl_Responses[[Resp_Group]:[Resp_Group]],Agronomist)+COUNTIFS(Tbl_Responses[Source_3_ID],$BH16,Tbl_Responses[[Resp_Group]:[Resp_Group]],Agronomist)</f>
        <v>0</v>
      </c>
      <c r="BJ16" s="4">
        <f>Tbl_Q11[[#This Row],[Q11 Response]]/SUM(Tbl_Q11[Q11 Response])</f>
        <v>0</v>
      </c>
      <c r="CB16" s="33" t="s">
        <v>463</v>
      </c>
      <c r="CM16" s="33" t="s">
        <v>613</v>
      </c>
      <c r="CZ16" s="33" t="s">
        <v>760</v>
      </c>
      <c r="DB16" s="33"/>
      <c r="DC16" s="33"/>
      <c r="DD16" s="33"/>
      <c r="DE16" s="33"/>
      <c r="DF16" s="33"/>
      <c r="DG16" s="33"/>
      <c r="DH16" s="33"/>
      <c r="DI16" s="33"/>
      <c r="DJ16" s="33" t="s">
        <v>577</v>
      </c>
      <c r="EC16" s="59" t="s">
        <v>356</v>
      </c>
      <c r="EH16" s="59" t="s">
        <v>423</v>
      </c>
      <c r="ET16" s="59" t="s">
        <v>448</v>
      </c>
      <c r="FN16" s="59" t="s">
        <v>431</v>
      </c>
      <c r="HA16" s="87" t="s">
        <v>162</v>
      </c>
      <c r="HB16" s="3">
        <f>COUNTIFS(Tbl_Responses[Social media],$HA16,Tbl_Responses[[Resp_Group]:[Resp_Group]],Agronomist)</f>
        <v>13</v>
      </c>
      <c r="HC16" s="4">
        <f>Tbl_infoSources[[#This Row],[No. Responses]]/SUM(Tbl_infoSources[No. Responses])</f>
        <v>5.1999999999999998E-2</v>
      </c>
    </row>
    <row r="17" spans="33:209" x14ac:dyDescent="0.25">
      <c r="AG17" s="5" t="s">
        <v>1380</v>
      </c>
      <c r="BE17" s="33" t="s">
        <v>534</v>
      </c>
      <c r="BF17" s="33" t="s">
        <v>1003</v>
      </c>
      <c r="BH17" t="s">
        <v>2447</v>
      </c>
      <c r="BI17" s="3">
        <f>COUNTIFS(Tbl_Responses[Source_1_ID],$BH17,Tbl_Responses[[Resp_Group]:[Resp_Group]],Agronomist)+COUNTIFS(Tbl_Responses[Source_2_ID],$BH17,Tbl_Responses[[Resp_Group]:[Resp_Group]],Agronomist)+COUNTIFS(Tbl_Responses[Source_3_ID],$BH17,Tbl_Responses[[Resp_Group]:[Resp_Group]],Agronomist)</f>
        <v>2</v>
      </c>
      <c r="BJ17" s="4">
        <f>Tbl_Q11[[#This Row],[Q11 Response]]/SUM(Tbl_Q11[Q11 Response])</f>
        <v>1.2195121951219513E-2</v>
      </c>
      <c r="CB17" s="33" t="s">
        <v>498</v>
      </c>
      <c r="CM17" s="33" t="s">
        <v>695</v>
      </c>
      <c r="CZ17" s="33" t="s">
        <v>862</v>
      </c>
      <c r="DB17" s="33"/>
      <c r="DC17" s="33"/>
      <c r="DD17" s="33"/>
      <c r="DE17" s="33"/>
      <c r="DF17" s="33"/>
      <c r="DG17" s="33"/>
      <c r="DH17" s="33"/>
      <c r="DI17" s="33"/>
      <c r="DJ17" s="33" t="s">
        <v>680</v>
      </c>
      <c r="EC17" s="59" t="s">
        <v>371</v>
      </c>
      <c r="EH17" s="59" t="s">
        <v>447</v>
      </c>
      <c r="FN17" s="59" t="s">
        <v>469</v>
      </c>
    </row>
    <row r="18" spans="33:209" x14ac:dyDescent="0.25">
      <c r="AG18" s="5" t="s">
        <v>2419</v>
      </c>
      <c r="BE18" s="33" t="s">
        <v>574</v>
      </c>
      <c r="CB18" s="33" t="s">
        <v>515</v>
      </c>
      <c r="CM18" s="33" t="s">
        <v>759</v>
      </c>
      <c r="CZ18" s="33" t="s">
        <v>929</v>
      </c>
      <c r="DB18" s="33"/>
      <c r="DC18" s="33"/>
      <c r="DD18" s="33"/>
      <c r="DE18" s="33"/>
      <c r="DF18" s="33"/>
      <c r="DG18" s="33"/>
      <c r="DH18" s="33"/>
      <c r="DI18" s="33"/>
      <c r="DJ18" s="33" t="s">
        <v>696</v>
      </c>
      <c r="EC18" s="59" t="s">
        <v>407</v>
      </c>
      <c r="EH18" s="59" t="s">
        <v>523</v>
      </c>
      <c r="FN18" s="59" t="s">
        <v>487</v>
      </c>
      <c r="HA18" s="34" t="s">
        <v>2589</v>
      </c>
    </row>
    <row r="19" spans="33:209" x14ac:dyDescent="0.25">
      <c r="BE19" s="33" t="s">
        <v>608</v>
      </c>
      <c r="CB19" s="33" t="s">
        <v>2483</v>
      </c>
      <c r="CM19" s="33" t="s">
        <v>846</v>
      </c>
      <c r="CZ19" s="33" t="s">
        <v>967</v>
      </c>
      <c r="DB19" s="33"/>
      <c r="DC19" s="33"/>
      <c r="DD19" s="33"/>
      <c r="DE19" s="33"/>
      <c r="DF19" s="71"/>
      <c r="DG19" s="33"/>
      <c r="DH19" s="33"/>
      <c r="DI19" s="33"/>
      <c r="DJ19" s="33" t="s">
        <v>761</v>
      </c>
      <c r="EC19" s="59" t="s">
        <v>422</v>
      </c>
      <c r="EH19" s="59" t="s">
        <v>548</v>
      </c>
      <c r="FN19" s="59" t="s">
        <v>503</v>
      </c>
      <c r="HA19" s="59" t="s">
        <v>360</v>
      </c>
    </row>
    <row r="20" spans="33:209" x14ac:dyDescent="0.25">
      <c r="BE20" s="33" t="s">
        <v>906</v>
      </c>
      <c r="CB20" s="33" t="s">
        <v>612</v>
      </c>
      <c r="CM20" s="33" t="s">
        <v>861</v>
      </c>
      <c r="CZ20" s="33" t="s">
        <v>985</v>
      </c>
      <c r="DB20" s="33"/>
      <c r="DC20" s="33"/>
      <c r="DD20" s="33"/>
      <c r="DE20" s="33"/>
      <c r="DF20" s="71"/>
      <c r="DG20" s="33"/>
      <c r="DH20" s="33"/>
      <c r="DI20" s="33"/>
      <c r="DJ20" s="33" t="s">
        <v>798</v>
      </c>
      <c r="EC20" s="59" t="s">
        <v>447</v>
      </c>
      <c r="EH20" s="59" t="s">
        <v>597</v>
      </c>
      <c r="FN20" s="59" t="s">
        <v>529</v>
      </c>
      <c r="HA20" s="59" t="s">
        <v>434</v>
      </c>
    </row>
    <row r="21" spans="33:209" x14ac:dyDescent="0.25">
      <c r="BE21" s="33" t="s">
        <v>1092</v>
      </c>
      <c r="CB21" s="33" t="s">
        <v>661</v>
      </c>
      <c r="CM21" s="33" t="s">
        <v>879</v>
      </c>
      <c r="CZ21" s="33" t="s">
        <v>1039</v>
      </c>
      <c r="DB21" s="33"/>
      <c r="DC21" s="33"/>
      <c r="DD21" s="33"/>
      <c r="DE21" s="33"/>
      <c r="DF21" s="71"/>
      <c r="DG21" s="33"/>
      <c r="DH21" s="33"/>
      <c r="DI21" s="33"/>
      <c r="DJ21" s="33" t="s">
        <v>880</v>
      </c>
      <c r="EC21" s="59" t="s">
        <v>466</v>
      </c>
      <c r="EH21" s="59" t="s">
        <v>645</v>
      </c>
      <c r="FN21" s="59" t="s">
        <v>554</v>
      </c>
      <c r="HA21" s="59" t="s">
        <v>454</v>
      </c>
    </row>
    <row r="22" spans="33:209" x14ac:dyDescent="0.25">
      <c r="CB22" s="33" t="s">
        <v>694</v>
      </c>
      <c r="CM22" s="33" t="s">
        <v>908</v>
      </c>
      <c r="CZ22" s="33" t="s">
        <v>1056</v>
      </c>
      <c r="DB22" s="33"/>
      <c r="DC22" s="33"/>
      <c r="DD22" s="33"/>
      <c r="DE22" s="33"/>
      <c r="DF22" s="71"/>
      <c r="DG22" s="33"/>
      <c r="DH22" s="33"/>
      <c r="DI22" s="33"/>
      <c r="DJ22" s="33" t="s">
        <v>917</v>
      </c>
      <c r="EC22" s="59" t="s">
        <v>522</v>
      </c>
      <c r="EH22" s="59" t="s">
        <v>684</v>
      </c>
      <c r="FN22" s="59" t="s">
        <v>580</v>
      </c>
      <c r="HA22" s="59" t="s">
        <v>471</v>
      </c>
    </row>
    <row r="23" spans="33:209" x14ac:dyDescent="0.25">
      <c r="CB23" s="33" t="s">
        <v>710</v>
      </c>
      <c r="CM23" s="33" t="s">
        <v>917</v>
      </c>
      <c r="CZ23" s="33" t="s">
        <v>1071</v>
      </c>
      <c r="DB23" s="33"/>
      <c r="DC23" s="33"/>
      <c r="DD23" s="33"/>
      <c r="DE23" s="33"/>
      <c r="DF23" s="71"/>
      <c r="DG23" s="33"/>
      <c r="DH23" s="33"/>
      <c r="DI23" s="33"/>
      <c r="DJ23" s="33" t="s">
        <v>929</v>
      </c>
      <c r="EC23" s="59" t="s">
        <v>547</v>
      </c>
      <c r="EH23" s="59" t="s">
        <v>744</v>
      </c>
      <c r="FN23" s="59" t="s">
        <v>601</v>
      </c>
      <c r="HA23" s="59" t="s">
        <v>569</v>
      </c>
    </row>
    <row r="24" spans="33:209" x14ac:dyDescent="0.25">
      <c r="CB24" s="33" t="s">
        <v>727</v>
      </c>
      <c r="CM24" s="33" t="s">
        <v>929</v>
      </c>
      <c r="CZ24" s="33" t="s">
        <v>1085</v>
      </c>
      <c r="DB24" s="33"/>
      <c r="DC24" s="33"/>
      <c r="DD24" s="33"/>
      <c r="DE24" s="33"/>
      <c r="DF24" s="71"/>
      <c r="DG24" s="33"/>
      <c r="DH24" s="33"/>
      <c r="DI24" s="33"/>
      <c r="DJ24" s="33" t="s">
        <v>968</v>
      </c>
      <c r="EC24" s="59" t="s">
        <v>596</v>
      </c>
      <c r="EH24" s="59" t="s">
        <v>784</v>
      </c>
      <c r="FN24" s="59" t="s">
        <v>633</v>
      </c>
      <c r="HA24" s="59" t="s">
        <v>569</v>
      </c>
    </row>
    <row r="25" spans="33:209" x14ac:dyDescent="0.25">
      <c r="CB25" s="33" t="s">
        <v>781</v>
      </c>
      <c r="CM25" s="33" t="s">
        <v>940</v>
      </c>
      <c r="CZ25" s="33" t="s">
        <v>1114</v>
      </c>
      <c r="DB25" s="33"/>
      <c r="DC25" s="33"/>
      <c r="DD25" s="33"/>
      <c r="DE25" s="33"/>
      <c r="DF25" s="71"/>
      <c r="DG25" s="33"/>
      <c r="DH25" s="33"/>
      <c r="DI25" s="33"/>
      <c r="DJ25" s="33" t="s">
        <v>986</v>
      </c>
      <c r="EC25" s="59" t="s">
        <v>615</v>
      </c>
      <c r="EH25" s="59" t="s">
        <v>208</v>
      </c>
      <c r="FN25" s="59" t="s">
        <v>701</v>
      </c>
      <c r="HA25" s="59" t="s">
        <v>651</v>
      </c>
    </row>
    <row r="26" spans="33:209" x14ac:dyDescent="0.25">
      <c r="CB26" s="33" t="s">
        <v>845</v>
      </c>
      <c r="CM26" s="33" t="s">
        <v>974</v>
      </c>
      <c r="CZ26" s="33" t="s">
        <v>1129</v>
      </c>
      <c r="DB26" s="33"/>
      <c r="DC26" s="33"/>
      <c r="DD26" s="33"/>
      <c r="DE26" s="33"/>
      <c r="DF26" s="71"/>
      <c r="DG26" s="33"/>
      <c r="DH26" s="33"/>
      <c r="DI26" s="33"/>
      <c r="DJ26" s="33" t="s">
        <v>1012</v>
      </c>
      <c r="EC26" s="59" t="s">
        <v>644</v>
      </c>
      <c r="EH26" s="59" t="s">
        <v>208</v>
      </c>
      <c r="FN26" s="59" t="s">
        <v>749</v>
      </c>
      <c r="HA26" s="59" t="s">
        <v>651</v>
      </c>
    </row>
    <row r="27" spans="33:209" x14ac:dyDescent="0.25">
      <c r="CB27" s="33" t="s">
        <v>860</v>
      </c>
      <c r="CM27" s="33" t="s">
        <v>1010</v>
      </c>
      <c r="CZ27" s="33" t="s">
        <v>968</v>
      </c>
      <c r="DB27" s="33"/>
      <c r="DC27" s="33"/>
      <c r="DD27" s="33"/>
      <c r="DE27" s="33"/>
      <c r="DF27" s="71"/>
      <c r="DG27" s="33"/>
      <c r="DH27" s="33"/>
      <c r="DI27" s="33"/>
      <c r="DJ27" s="33" t="s">
        <v>1028</v>
      </c>
      <c r="EC27" s="59" t="s">
        <v>684</v>
      </c>
      <c r="EH27" s="59" t="s">
        <v>896</v>
      </c>
      <c r="FN27" s="59" t="s">
        <v>788</v>
      </c>
      <c r="HA27" s="59" t="s">
        <v>569</v>
      </c>
    </row>
    <row r="28" spans="33:209" x14ac:dyDescent="0.25">
      <c r="CB28" s="33" t="s">
        <v>878</v>
      </c>
      <c r="CM28" s="33" t="s">
        <v>1039</v>
      </c>
      <c r="CZ28" s="33" t="s">
        <v>1201</v>
      </c>
      <c r="DB28" s="33"/>
      <c r="DC28" s="33"/>
      <c r="DD28" s="33"/>
      <c r="DE28" s="33"/>
      <c r="DF28" s="33"/>
      <c r="DG28" s="33"/>
      <c r="DH28" s="33"/>
      <c r="DI28" s="33"/>
      <c r="DJ28" s="33" t="s">
        <v>1039</v>
      </c>
      <c r="EC28" s="59" t="s">
        <v>713</v>
      </c>
      <c r="EH28" s="59" t="s">
        <v>956</v>
      </c>
      <c r="FN28" s="59" t="s">
        <v>855</v>
      </c>
      <c r="HA28" s="59" t="s">
        <v>766</v>
      </c>
    </row>
    <row r="29" spans="33:209" x14ac:dyDescent="0.25">
      <c r="CB29" s="33" t="s">
        <v>892</v>
      </c>
      <c r="CM29" s="33" t="s">
        <v>1071</v>
      </c>
      <c r="DA29" s="33"/>
      <c r="DB29" s="33"/>
      <c r="DC29" s="33"/>
      <c r="DD29" s="33"/>
      <c r="DE29" s="33"/>
      <c r="DF29" s="33"/>
      <c r="DG29" s="33"/>
      <c r="DH29" s="33"/>
      <c r="DI29" s="33"/>
      <c r="DJ29" s="33">
        <v>5</v>
      </c>
      <c r="EC29" s="59" t="s">
        <v>729</v>
      </c>
      <c r="EH29" s="59" t="s">
        <v>1100</v>
      </c>
      <c r="FN29" s="59" t="s">
        <v>867</v>
      </c>
      <c r="HA29" s="59" t="s">
        <v>569</v>
      </c>
    </row>
    <row r="30" spans="33:209" x14ac:dyDescent="0.25">
      <c r="CB30" s="33" t="s">
        <v>952</v>
      </c>
      <c r="CM30" s="33" t="s">
        <v>1085</v>
      </c>
      <c r="DA30" s="33"/>
      <c r="DB30" s="33"/>
      <c r="DC30" s="33"/>
      <c r="DD30" s="33"/>
      <c r="DE30" s="33"/>
      <c r="DF30" s="33"/>
      <c r="DG30" s="33"/>
      <c r="DH30" s="33"/>
      <c r="DI30" s="33"/>
      <c r="DJ30" s="33" t="s">
        <v>1072</v>
      </c>
      <c r="EC30" s="59" t="s">
        <v>744</v>
      </c>
      <c r="EH30" s="59" t="s">
        <v>1134</v>
      </c>
      <c r="FN30" s="59" t="s">
        <v>956</v>
      </c>
      <c r="HA30" s="59" t="s">
        <v>819</v>
      </c>
    </row>
    <row r="31" spans="33:209" x14ac:dyDescent="0.25">
      <c r="CB31" s="33" t="s">
        <v>984</v>
      </c>
      <c r="CM31" s="33" t="s">
        <v>1096</v>
      </c>
      <c r="DA31" s="33"/>
      <c r="DB31" s="33"/>
      <c r="DC31" s="33"/>
      <c r="DD31" s="33"/>
      <c r="DE31" s="33"/>
      <c r="DF31" s="33"/>
      <c r="DG31" s="33"/>
      <c r="DH31" s="33"/>
      <c r="DI31" s="33"/>
      <c r="DJ31" s="33" t="s">
        <v>917</v>
      </c>
      <c r="EC31" s="59" t="s">
        <v>763</v>
      </c>
      <c r="EH31" s="59" t="s">
        <v>1151</v>
      </c>
      <c r="FN31" s="59" t="s">
        <v>975</v>
      </c>
      <c r="HA31" s="59" t="s">
        <v>869</v>
      </c>
    </row>
    <row r="32" spans="33:209" x14ac:dyDescent="0.25">
      <c r="CB32" s="33" t="s">
        <v>1039</v>
      </c>
      <c r="CM32" s="33" t="s">
        <v>1114</v>
      </c>
      <c r="DA32" s="33"/>
      <c r="DB32" s="33"/>
      <c r="DC32" s="33"/>
      <c r="DD32" s="33"/>
      <c r="DE32" s="33"/>
      <c r="DF32" s="33"/>
      <c r="DG32" s="33"/>
      <c r="DH32" s="33"/>
      <c r="DI32" s="33"/>
      <c r="DJ32" s="33" t="s">
        <v>1114</v>
      </c>
      <c r="EC32" s="59" t="s">
        <v>784</v>
      </c>
      <c r="EH32" s="59" t="s">
        <v>1186</v>
      </c>
      <c r="FN32" s="59" t="s">
        <v>995</v>
      </c>
    </row>
    <row r="33" spans="1:257" x14ac:dyDescent="0.25">
      <c r="CB33" s="33" t="s">
        <v>1071</v>
      </c>
      <c r="CM33" s="33" t="s">
        <v>968</v>
      </c>
      <c r="DA33" s="33"/>
      <c r="DB33" s="33"/>
      <c r="DC33" s="33"/>
      <c r="DD33" s="33"/>
      <c r="DE33" s="33"/>
      <c r="DF33" s="33"/>
      <c r="DG33" s="33"/>
      <c r="DH33" s="33"/>
      <c r="DI33" s="33"/>
      <c r="DJ33" s="33" t="s">
        <v>1202</v>
      </c>
      <c r="EC33" s="59" t="s">
        <v>801</v>
      </c>
      <c r="FN33" s="59" t="s">
        <v>1064</v>
      </c>
    </row>
    <row r="34" spans="1:257" x14ac:dyDescent="0.25">
      <c r="CB34" s="33" t="s">
        <v>1084</v>
      </c>
      <c r="CM34" s="33" t="s">
        <v>917</v>
      </c>
      <c r="DA34" s="33"/>
      <c r="DB34" s="33"/>
      <c r="DC34" s="33"/>
      <c r="DD34" s="33"/>
      <c r="DE34" s="33"/>
      <c r="DF34" s="33"/>
      <c r="DG34" s="33"/>
      <c r="DH34" s="33"/>
      <c r="DI34" s="33"/>
      <c r="DJ34" s="33"/>
      <c r="DK34" s="33"/>
      <c r="EC34" s="59" t="s">
        <v>208</v>
      </c>
      <c r="FN34" s="59" t="s">
        <v>1106</v>
      </c>
    </row>
    <row r="35" spans="1:257" x14ac:dyDescent="0.25">
      <c r="CB35" s="33" t="s">
        <v>1095</v>
      </c>
      <c r="CM35" s="33" t="s">
        <v>1200</v>
      </c>
      <c r="DA35" s="59"/>
      <c r="DB35" s="59"/>
      <c r="DC35" s="59"/>
      <c r="DD35" s="59"/>
      <c r="DE35" s="59"/>
      <c r="DF35" s="59"/>
      <c r="DG35" s="59"/>
      <c r="DH35" s="59"/>
      <c r="DI35" s="59"/>
      <c r="DJ35" s="59"/>
      <c r="DK35" s="59"/>
      <c r="EC35" s="59" t="s">
        <v>850</v>
      </c>
    </row>
    <row r="36" spans="1:257" x14ac:dyDescent="0.25">
      <c r="CB36" s="33" t="s">
        <v>1128</v>
      </c>
      <c r="CM36" s="33" t="s">
        <v>1224</v>
      </c>
      <c r="DA36" s="59"/>
      <c r="DB36" s="59"/>
      <c r="DC36" s="59"/>
      <c r="DD36" s="59"/>
      <c r="DE36" s="59"/>
      <c r="DF36" s="59"/>
      <c r="DG36" s="59"/>
      <c r="DH36" s="59"/>
      <c r="DI36" s="59"/>
      <c r="DJ36" s="59"/>
      <c r="DK36" s="59"/>
      <c r="EC36" s="59" t="s">
        <v>208</v>
      </c>
    </row>
    <row r="37" spans="1:257" x14ac:dyDescent="0.25">
      <c r="CB37" s="33" t="s">
        <v>1199</v>
      </c>
      <c r="CM37" s="59"/>
      <c r="DA37" s="59"/>
      <c r="DB37" s="59"/>
      <c r="DC37" s="59"/>
      <c r="DD37" s="59"/>
      <c r="DE37" s="59"/>
      <c r="DF37" s="59"/>
      <c r="DG37" s="59"/>
      <c r="DH37" s="59"/>
      <c r="DI37" s="59"/>
      <c r="DJ37" s="59"/>
      <c r="DK37" s="59"/>
      <c r="EC37" s="59" t="s">
        <v>883</v>
      </c>
    </row>
    <row r="38" spans="1:257" x14ac:dyDescent="0.25">
      <c r="CB38" s="33" t="s">
        <v>1223</v>
      </c>
      <c r="CM38" s="59"/>
      <c r="DA38" s="59"/>
      <c r="DB38" s="59"/>
      <c r="DC38" s="59"/>
      <c r="DD38" s="59"/>
      <c r="DE38" s="59"/>
      <c r="DF38" s="59"/>
      <c r="DG38" s="59"/>
      <c r="DH38" s="59"/>
      <c r="DI38" s="59"/>
      <c r="DJ38" s="59"/>
      <c r="DK38" s="59"/>
      <c r="EC38" s="59" t="s">
        <v>895</v>
      </c>
    </row>
    <row r="39" spans="1:257" x14ac:dyDescent="0.25">
      <c r="CB39" s="33" t="s">
        <v>1239</v>
      </c>
      <c r="CM39" s="59"/>
      <c r="DA39" s="59"/>
      <c r="DB39" s="59"/>
      <c r="DC39" s="59"/>
      <c r="DD39" s="59"/>
      <c r="DE39" s="59"/>
      <c r="DF39" s="59"/>
      <c r="DG39" s="59"/>
      <c r="DH39" s="59"/>
      <c r="DI39" s="59"/>
      <c r="DJ39" s="59"/>
      <c r="DK39" s="59"/>
      <c r="EC39" s="59" t="s">
        <v>955</v>
      </c>
    </row>
    <row r="40" spans="1:257" x14ac:dyDescent="0.25">
      <c r="EC40" s="59" t="s">
        <v>1016</v>
      </c>
    </row>
    <row r="41" spans="1:257" x14ac:dyDescent="0.25">
      <c r="EC41" s="59" t="s">
        <v>1100</v>
      </c>
    </row>
    <row r="42" spans="1:257" x14ac:dyDescent="0.25">
      <c r="EC42" s="59" t="s">
        <v>1133</v>
      </c>
    </row>
    <row r="43" spans="1:257" x14ac:dyDescent="0.25">
      <c r="EC43" s="59" t="s">
        <v>1185</v>
      </c>
    </row>
    <row r="44" spans="1:257" x14ac:dyDescent="0.25">
      <c r="EC44" s="59" t="s">
        <v>990</v>
      </c>
    </row>
    <row r="45" spans="1:257" x14ac:dyDescent="0.25">
      <c r="A45" s="27" t="s">
        <v>2383</v>
      </c>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40"/>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84"/>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c r="GV45" s="28"/>
      <c r="GW45" s="28"/>
      <c r="GX45" s="28"/>
      <c r="GY45" s="28"/>
      <c r="GZ45" s="28"/>
      <c r="HA45" s="28"/>
      <c r="HB45" s="28"/>
      <c r="HC45" s="28"/>
      <c r="HD45" s="28"/>
      <c r="HE45" s="28"/>
      <c r="HF45" s="28"/>
      <c r="HG45" s="28"/>
      <c r="HH45" s="28"/>
      <c r="HI45" s="28"/>
      <c r="HJ45" s="28"/>
      <c r="HK45" s="28"/>
      <c r="HL45" s="28"/>
      <c r="HM45" s="28"/>
      <c r="HN45" s="28"/>
      <c r="HO45" s="28"/>
      <c r="HP45" s="28"/>
      <c r="HQ45" s="28"/>
      <c r="HR45" s="28"/>
      <c r="HS45" s="28"/>
      <c r="HT45" s="28"/>
      <c r="HU45" s="28"/>
      <c r="HV45" s="28"/>
      <c r="HW45" s="28"/>
      <c r="HX45" s="28"/>
      <c r="HY45" s="28"/>
      <c r="HZ45" s="28"/>
      <c r="IA45" s="28"/>
      <c r="IB45" s="28"/>
      <c r="IC45" s="28"/>
      <c r="ID45" s="28"/>
      <c r="IE45" s="28"/>
      <c r="IF45" s="28"/>
      <c r="IG45" s="28"/>
      <c r="IH45" s="28"/>
      <c r="II45" s="28"/>
      <c r="IJ45" s="28"/>
      <c r="IK45" s="28"/>
      <c r="IL45" s="28"/>
      <c r="IM45" s="28"/>
      <c r="IN45" s="28"/>
      <c r="IO45" s="28"/>
      <c r="IP45" s="28"/>
      <c r="IQ45" s="28"/>
      <c r="IR45" s="28"/>
      <c r="IS45" s="28"/>
      <c r="IT45" s="28"/>
      <c r="IU45" s="28"/>
      <c r="IV45" s="28"/>
      <c r="IW45" s="28"/>
    </row>
    <row r="46" spans="1:257" ht="34.5" customHeight="1" x14ac:dyDescent="0.25">
      <c r="A46" s="115" t="s">
        <v>1257</v>
      </c>
      <c r="B46" s="115"/>
      <c r="C46" s="115"/>
      <c r="D46" s="115"/>
      <c r="E46" s="35"/>
      <c r="F46" s="115" t="s">
        <v>1258</v>
      </c>
      <c r="G46" s="115"/>
      <c r="H46" s="115"/>
      <c r="I46" s="115"/>
      <c r="J46" s="115"/>
      <c r="K46" s="35"/>
      <c r="L46" s="35"/>
      <c r="M46" s="115" t="s">
        <v>1308</v>
      </c>
      <c r="N46" s="115"/>
      <c r="O46" s="115"/>
      <c r="P46" s="115"/>
      <c r="Q46" s="35"/>
      <c r="R46" s="35"/>
      <c r="S46" s="114" t="s">
        <v>1317</v>
      </c>
      <c r="T46" s="114"/>
      <c r="U46" s="114"/>
      <c r="V46" s="114"/>
      <c r="W46" s="114"/>
      <c r="X46" s="114"/>
      <c r="Y46" s="114"/>
      <c r="Z46" s="114"/>
      <c r="AA46" s="114"/>
      <c r="AB46" s="114"/>
      <c r="AC46" s="35"/>
      <c r="AD46" s="35"/>
      <c r="AE46" s="35"/>
      <c r="AF46" s="35"/>
      <c r="AG46" s="114" t="s">
        <v>1319</v>
      </c>
      <c r="AH46" s="114"/>
      <c r="AI46" s="114"/>
      <c r="AJ46" s="114"/>
      <c r="AK46" s="114"/>
      <c r="AL46" s="114"/>
      <c r="AM46" s="114"/>
      <c r="AN46" s="114"/>
      <c r="AO46" s="114"/>
      <c r="AP46" s="114"/>
      <c r="AQ46" s="114"/>
      <c r="AR46" s="114"/>
      <c r="AS46" s="114"/>
      <c r="AV46" s="114" t="s">
        <v>2469</v>
      </c>
      <c r="AW46" s="114"/>
      <c r="AX46" s="114"/>
      <c r="AY46" s="114"/>
      <c r="AZ46" s="35"/>
      <c r="BA46" s="114" t="s">
        <v>2474</v>
      </c>
      <c r="BB46" s="114"/>
      <c r="BC46" s="114"/>
      <c r="BD46" s="35"/>
      <c r="BE46" s="35" t="s">
        <v>2471</v>
      </c>
      <c r="BF46" s="35" t="s">
        <v>2473</v>
      </c>
      <c r="BG46" s="35"/>
      <c r="BH46" s="114" t="s">
        <v>2452</v>
      </c>
      <c r="BI46" s="114"/>
      <c r="BJ46" s="114"/>
      <c r="BL46" s="114" t="s">
        <v>2456</v>
      </c>
      <c r="BM46" s="114"/>
      <c r="BN46" s="114"/>
      <c r="BO46" s="114"/>
      <c r="BQ46" s="114" t="s">
        <v>2478</v>
      </c>
      <c r="BR46" s="114"/>
      <c r="BS46" s="114"/>
      <c r="BT46" s="114"/>
      <c r="BU46" s="114"/>
      <c r="BV46" s="36"/>
      <c r="BX46" s="33" t="s">
        <v>2481</v>
      </c>
      <c r="CB46" s="116" t="s">
        <v>2503</v>
      </c>
      <c r="CC46" s="116"/>
      <c r="CD46" s="116"/>
      <c r="CE46" s="116"/>
      <c r="CF46" s="116"/>
      <c r="CG46" s="33"/>
      <c r="CH46" s="33"/>
      <c r="CI46" s="33" t="s">
        <v>2485</v>
      </c>
      <c r="CJ46" s="33"/>
      <c r="CK46" s="33"/>
      <c r="CL46" s="33"/>
      <c r="CM46" s="116" t="s">
        <v>2500</v>
      </c>
      <c r="CN46" s="116"/>
      <c r="CO46" s="116"/>
      <c r="CP46" s="116"/>
      <c r="CQ46" s="116"/>
      <c r="CR46" s="116"/>
      <c r="CS46" s="77"/>
      <c r="CT46" s="33"/>
      <c r="CU46" s="33"/>
      <c r="CV46" s="116" t="s">
        <v>2488</v>
      </c>
      <c r="CW46" s="116"/>
      <c r="CX46" s="33"/>
      <c r="CY46" s="33"/>
      <c r="CZ46" s="116" t="s">
        <v>2504</v>
      </c>
      <c r="DA46" s="116"/>
      <c r="DB46" s="116"/>
      <c r="DC46" s="116"/>
      <c r="DD46" s="33"/>
      <c r="DE46" s="33"/>
      <c r="DF46" s="116" t="s">
        <v>2492</v>
      </c>
      <c r="DG46" s="116"/>
      <c r="DH46" s="33"/>
      <c r="DI46" s="33"/>
      <c r="DJ46" s="77" t="s">
        <v>2506</v>
      </c>
      <c r="DK46" s="77"/>
      <c r="DL46" s="77"/>
      <c r="DM46" s="77"/>
      <c r="DN46" s="77"/>
      <c r="DO46" s="77"/>
      <c r="DP46" s="77"/>
      <c r="DQ46" s="77"/>
      <c r="DR46" s="77"/>
      <c r="DS46" s="77"/>
      <c r="DT46" s="77"/>
      <c r="DU46" s="77"/>
      <c r="DY46" s="113" t="s">
        <v>2494</v>
      </c>
      <c r="DZ46" s="113"/>
      <c r="EC46" s="59" t="s">
        <v>2508</v>
      </c>
      <c r="EH46" s="59" t="s">
        <v>2511</v>
      </c>
      <c r="EM46" s="59" t="s">
        <v>2522</v>
      </c>
      <c r="ET46" s="59" t="s">
        <v>2529</v>
      </c>
      <c r="EY46" s="113" t="s">
        <v>2535</v>
      </c>
      <c r="EZ46" s="113"/>
      <c r="FA46" s="113"/>
      <c r="FD46" s="59" t="s">
        <v>2540</v>
      </c>
      <c r="FI46" s="59" t="s">
        <v>2544</v>
      </c>
      <c r="FN46" s="113" t="s">
        <v>2545</v>
      </c>
      <c r="FO46" s="113"/>
      <c r="FP46" s="113"/>
      <c r="FS46" s="113" t="s">
        <v>2554</v>
      </c>
      <c r="FT46" s="113"/>
      <c r="FU46" s="113"/>
      <c r="FV46" s="113"/>
      <c r="FW46" s="113"/>
      <c r="FZ46" s="59" t="s">
        <v>2558</v>
      </c>
      <c r="GE46" s="113" t="s">
        <v>2560</v>
      </c>
      <c r="GF46" s="113"/>
      <c r="GG46" s="113"/>
      <c r="GJ46" s="113" t="s">
        <v>2562</v>
      </c>
      <c r="GK46" s="113"/>
      <c r="GL46" s="113"/>
      <c r="GO46" s="59" t="s">
        <v>2586</v>
      </c>
      <c r="GT46" s="89" t="s">
        <v>2578</v>
      </c>
      <c r="HA46" s="59" t="s">
        <v>2588</v>
      </c>
    </row>
    <row r="47" spans="1:257" ht="15.75" thickBot="1" x14ac:dyDescent="0.3">
      <c r="A47" t="s">
        <v>1299</v>
      </c>
      <c r="B47" s="3" t="s">
        <v>1320</v>
      </c>
      <c r="C47" s="3" t="s">
        <v>1301</v>
      </c>
      <c r="D47" s="3" t="s">
        <v>2425</v>
      </c>
      <c r="F47" t="s">
        <v>1302</v>
      </c>
      <c r="G47" t="s">
        <v>1303</v>
      </c>
      <c r="H47" t="s">
        <v>1304</v>
      </c>
      <c r="I47" s="3" t="s">
        <v>1300</v>
      </c>
      <c r="J47" s="3" t="s">
        <v>1301</v>
      </c>
      <c r="M47" t="s">
        <v>1311</v>
      </c>
      <c r="N47" s="3" t="s">
        <v>1312</v>
      </c>
      <c r="O47" s="3" t="s">
        <v>1313</v>
      </c>
      <c r="P47" s="3" t="s">
        <v>1314</v>
      </c>
      <c r="S47" t="s">
        <v>1382</v>
      </c>
      <c r="T47" s="3" t="s">
        <v>1252</v>
      </c>
      <c r="U47" s="3" t="s">
        <v>401</v>
      </c>
      <c r="V47" s="3" t="s">
        <v>322</v>
      </c>
      <c r="W47" s="3" t="s">
        <v>261</v>
      </c>
      <c r="X47" s="3" t="s">
        <v>216</v>
      </c>
      <c r="Y47" s="3" t="s">
        <v>494</v>
      </c>
      <c r="Z47" s="3" t="s">
        <v>330</v>
      </c>
      <c r="AA47" s="29" t="s">
        <v>1381</v>
      </c>
      <c r="AB47" s="3" t="s">
        <v>313</v>
      </c>
      <c r="AG47" t="s">
        <v>1378</v>
      </c>
      <c r="AH47" s="3" t="s">
        <v>45</v>
      </c>
      <c r="AI47" s="3" t="s">
        <v>44</v>
      </c>
      <c r="AJ47" s="3" t="s">
        <v>799</v>
      </c>
      <c r="AK47" s="3" t="s">
        <v>1337</v>
      </c>
      <c r="AL47" s="3" t="s">
        <v>1372</v>
      </c>
      <c r="AM47" s="3" t="s">
        <v>1373</v>
      </c>
      <c r="AN47" s="3" t="s">
        <v>1374</v>
      </c>
      <c r="AO47" s="3" t="s">
        <v>1375</v>
      </c>
      <c r="AP47" s="3" t="s">
        <v>1376</v>
      </c>
      <c r="AQ47" s="3" t="s">
        <v>1377</v>
      </c>
      <c r="AR47" s="9" t="s">
        <v>186</v>
      </c>
      <c r="AS47" s="30" t="s">
        <v>2418</v>
      </c>
      <c r="AV47" t="s">
        <v>2426</v>
      </c>
      <c r="AW47" s="3" t="s">
        <v>166</v>
      </c>
      <c r="AX47" s="3" t="s">
        <v>312</v>
      </c>
      <c r="AY47" s="3" t="s">
        <v>2470</v>
      </c>
      <c r="BA47" s="41" t="s">
        <v>2475</v>
      </c>
      <c r="BB47" s="42" t="s">
        <v>2476</v>
      </c>
      <c r="BC47" s="42" t="s">
        <v>2477</v>
      </c>
      <c r="BD47" s="42" t="s">
        <v>2427</v>
      </c>
      <c r="BE47" s="42" t="s">
        <v>2435</v>
      </c>
      <c r="BF47" s="42" t="s">
        <v>2434</v>
      </c>
      <c r="BH47" t="s">
        <v>2457</v>
      </c>
      <c r="BI47" s="3" t="s">
        <v>2453</v>
      </c>
      <c r="BJ47" s="3" t="s">
        <v>2454</v>
      </c>
      <c r="BL47" t="s">
        <v>2458</v>
      </c>
      <c r="BM47" t="s">
        <v>2459</v>
      </c>
      <c r="BN47" t="s">
        <v>2460</v>
      </c>
      <c r="BO47" t="s">
        <v>2461</v>
      </c>
      <c r="BQ47" s="31" t="s">
        <v>2463</v>
      </c>
      <c r="BR47" s="3" t="s">
        <v>2465</v>
      </c>
      <c r="BS47" s="3" t="s">
        <v>2466</v>
      </c>
      <c r="BT47" s="3" t="s">
        <v>2467</v>
      </c>
      <c r="BU47" s="3" t="s">
        <v>2468</v>
      </c>
      <c r="BX47" t="s">
        <v>2497</v>
      </c>
      <c r="BY47" s="3" t="s">
        <v>1382</v>
      </c>
      <c r="CB47" s="41" t="s">
        <v>2496</v>
      </c>
      <c r="CC47" s="42" t="s">
        <v>178</v>
      </c>
      <c r="CD47" s="42" t="s">
        <v>176</v>
      </c>
      <c r="CE47" s="42" t="s">
        <v>402</v>
      </c>
      <c r="CF47" s="42" t="s">
        <v>2498</v>
      </c>
      <c r="CG47" s="71"/>
      <c r="CH47" s="71"/>
      <c r="CI47" s="79" t="s">
        <v>2497</v>
      </c>
      <c r="CJ47" s="71" t="s">
        <v>1382</v>
      </c>
      <c r="CK47" s="71"/>
      <c r="CL47" s="71"/>
      <c r="CM47" s="54" t="s">
        <v>2496</v>
      </c>
      <c r="CN47" s="65" t="s">
        <v>182</v>
      </c>
      <c r="CO47" s="42" t="s">
        <v>181</v>
      </c>
      <c r="CP47" s="42" t="s">
        <v>180</v>
      </c>
      <c r="CQ47" s="42" t="s">
        <v>183</v>
      </c>
      <c r="CR47" s="42" t="s">
        <v>679</v>
      </c>
      <c r="CS47" s="65" t="s">
        <v>2499</v>
      </c>
      <c r="CT47" s="71"/>
      <c r="CU47" s="71"/>
      <c r="CV47" s="79" t="s">
        <v>2497</v>
      </c>
      <c r="CW47" s="71" t="s">
        <v>1382</v>
      </c>
      <c r="CX47" s="71"/>
      <c r="CY47" s="71"/>
      <c r="CZ47" s="54" t="s">
        <v>2496</v>
      </c>
      <c r="DA47" s="65" t="s">
        <v>184</v>
      </c>
      <c r="DB47" s="42" t="s">
        <v>185</v>
      </c>
      <c r="DC47" s="65" t="s">
        <v>2505</v>
      </c>
      <c r="DD47" s="71"/>
      <c r="DE47" s="71"/>
      <c r="DF47" s="79" t="s">
        <v>2497</v>
      </c>
      <c r="DG47" s="71" t="s">
        <v>1382</v>
      </c>
      <c r="DH47" s="71"/>
      <c r="DI47" s="71"/>
      <c r="DJ47" s="54" t="s">
        <v>2496</v>
      </c>
      <c r="DK47" s="65" t="s">
        <v>186</v>
      </c>
      <c r="DL47" s="42" t="s">
        <v>191</v>
      </c>
      <c r="DM47" s="42" t="s">
        <v>323</v>
      </c>
      <c r="DN47" s="42" t="s">
        <v>192</v>
      </c>
      <c r="DO47" s="42" t="s">
        <v>187</v>
      </c>
      <c r="DP47" s="42" t="s">
        <v>188</v>
      </c>
      <c r="DQ47" s="42" t="s">
        <v>224</v>
      </c>
      <c r="DR47" s="42" t="s">
        <v>190</v>
      </c>
      <c r="DS47" s="42" t="s">
        <v>193</v>
      </c>
      <c r="DT47" s="42" t="s">
        <v>189</v>
      </c>
      <c r="DU47" s="42" t="s">
        <v>1011</v>
      </c>
      <c r="DV47" s="71" t="s">
        <v>2505</v>
      </c>
      <c r="DY47" t="s">
        <v>2507</v>
      </c>
      <c r="DZ47" t="s">
        <v>2477</v>
      </c>
      <c r="EC47" t="s">
        <v>2507</v>
      </c>
      <c r="ED47" s="3" t="s">
        <v>2509</v>
      </c>
      <c r="EE47" s="3" t="s">
        <v>2510</v>
      </c>
      <c r="EH47" t="s">
        <v>2507</v>
      </c>
      <c r="EI47" s="3" t="s">
        <v>2509</v>
      </c>
      <c r="EJ47" s="3" t="s">
        <v>2510</v>
      </c>
      <c r="EM47" t="s">
        <v>2523</v>
      </c>
      <c r="EN47" s="3" t="s">
        <v>199</v>
      </c>
      <c r="EO47" s="3" t="s">
        <v>200</v>
      </c>
      <c r="EP47" s="3" t="s">
        <v>198</v>
      </c>
      <c r="EQ47" s="3" t="s">
        <v>2524</v>
      </c>
      <c r="ET47" t="s">
        <v>2532</v>
      </c>
      <c r="EU47" s="3" t="s">
        <v>2470</v>
      </c>
      <c r="EV47" s="3" t="s">
        <v>2533</v>
      </c>
      <c r="EY47" t="s">
        <v>2537</v>
      </c>
      <c r="EZ47" s="3" t="s">
        <v>2470</v>
      </c>
      <c r="FA47" s="3" t="s">
        <v>2533</v>
      </c>
      <c r="FD47" t="s">
        <v>2542</v>
      </c>
      <c r="FE47" s="3" t="s">
        <v>2470</v>
      </c>
      <c r="FF47" s="3" t="s">
        <v>2533</v>
      </c>
      <c r="FI47" t="s">
        <v>2507</v>
      </c>
      <c r="FJ47" t="s">
        <v>2470</v>
      </c>
      <c r="FK47" t="s">
        <v>2533</v>
      </c>
      <c r="FN47" t="s">
        <v>2507</v>
      </c>
      <c r="FO47" s="3" t="s">
        <v>2470</v>
      </c>
      <c r="FP47" s="3" t="s">
        <v>2533</v>
      </c>
      <c r="FS47" t="s">
        <v>2523</v>
      </c>
      <c r="FT47" s="3" t="s">
        <v>199</v>
      </c>
      <c r="FU47" s="3" t="s">
        <v>200</v>
      </c>
      <c r="FV47" s="3" t="s">
        <v>198</v>
      </c>
      <c r="FW47" s="3" t="s">
        <v>2524</v>
      </c>
      <c r="FZ47" t="s">
        <v>2532</v>
      </c>
      <c r="GA47" s="3" t="s">
        <v>2470</v>
      </c>
      <c r="GB47" s="3" t="s">
        <v>2533</v>
      </c>
      <c r="GE47" t="s">
        <v>2537</v>
      </c>
      <c r="GF47" s="3" t="s">
        <v>2470</v>
      </c>
      <c r="GG47" s="3" t="s">
        <v>2533</v>
      </c>
      <c r="GJ47" t="s">
        <v>2542</v>
      </c>
      <c r="GK47" s="3" t="s">
        <v>2470</v>
      </c>
      <c r="GL47" s="3" t="s">
        <v>2533</v>
      </c>
      <c r="GO47" t="s">
        <v>2507</v>
      </c>
      <c r="GP47" s="3" t="s">
        <v>2509</v>
      </c>
      <c r="GQ47" s="3" t="s">
        <v>2510</v>
      </c>
      <c r="GT47" t="s">
        <v>2507</v>
      </c>
      <c r="GU47" s="3" t="s">
        <v>2509</v>
      </c>
      <c r="GV47" s="3" t="s">
        <v>2510</v>
      </c>
      <c r="HA47" t="s">
        <v>2457</v>
      </c>
      <c r="HB47" s="3" t="s">
        <v>2509</v>
      </c>
      <c r="HC47" s="3" t="s">
        <v>2510</v>
      </c>
    </row>
    <row r="48" spans="1:257" ht="15.75" thickTop="1" x14ac:dyDescent="0.25">
      <c r="A48" t="s">
        <v>291</v>
      </c>
      <c r="B48" s="3">
        <f>COUNTIFS(Tbl_Responses[Q1: region],Results!$A48,Tbl_Responses[Resp_Group],Grower)</f>
        <v>2</v>
      </c>
      <c r="C48" s="4">
        <f>B48/SUM(Tbl_Q19[Respondants])</f>
        <v>2.0202020202020204E-2</v>
      </c>
      <c r="D48" s="7">
        <f>AVERAGEIFS(Tbl_Responses[Q2: Cropped Area],Tbl_Responses[Q1: region],Tbl_Q19[[#This Row],[Region]],Tbl_Responses[[Resp_Group]:[Resp_Group]],Grower)</f>
        <v>6000</v>
      </c>
      <c r="F48">
        <v>0</v>
      </c>
      <c r="G48">
        <v>1000</v>
      </c>
      <c r="H48" t="str">
        <f>F48&amp;"-"&amp;G48</f>
        <v>0-1000</v>
      </c>
      <c r="I48" s="3">
        <f>COUNTIFS(Tbl_Responses[Q2: Cropped Area],"&gt;"&amp;F48,Tbl_Responses[Q2: Cropped Area],"&lt;="&amp;G48,Tbl_Responses[Resp_Group],Grower)</f>
        <v>32</v>
      </c>
      <c r="J48" s="4">
        <f>I48/SUM(Tbl_Q210[Number])</f>
        <v>0.32323232323232326</v>
      </c>
      <c r="M48" t="s">
        <v>1309</v>
      </c>
      <c r="N48" s="4">
        <f>AVERAGEIF(Tbl_Responses[Resp_Group],Grower,Tbl_Responses[Cerals (wheat, barley, oats)])/100</f>
        <v>0.71969696969696972</v>
      </c>
      <c r="O48" s="6">
        <f>SUMPRODUCT(--(Group="Grower"),Tbl_Responses[Q2: Cropped Area],Tbl_Responses[Cerals (wheat, barley, oats)])/100</f>
        <v>168254.86</v>
      </c>
      <c r="P48" s="4">
        <f>O48/SUM($O$4:$O$9)</f>
        <v>0.14485348912489496</v>
      </c>
      <c r="S48" t="s">
        <v>1379</v>
      </c>
      <c r="T48" s="4">
        <f>COUNTIFS(Tbl_Responses[[Variable Costs]:[Variable Costs]],T$3,Tbl_Responses[[Resp_Group]:[Resp_Group]],Grower)/COUNTIFS(Tbl_Responses[[Variable Costs]:[Variable Costs]],"&lt;&gt;"&amp;"",Tbl_Responses[[Resp_Group]:[Resp_Group]],Grower)</f>
        <v>0</v>
      </c>
      <c r="U48" s="4">
        <f>COUNTIFS(Tbl_Responses[[Variable Costs]:[Variable Costs]],U$3,Tbl_Responses[[Resp_Group]:[Resp_Group]],Grower)/COUNTIFS(Tbl_Responses[[Variable Costs]:[Variable Costs]],"&lt;&gt;"&amp;"",Tbl_Responses[[Resp_Group]:[Resp_Group]],Grower)</f>
        <v>4.0404040404040407E-2</v>
      </c>
      <c r="V48" s="4">
        <f>COUNTIFS(Tbl_Responses[[Variable Costs]:[Variable Costs]],V$3,Tbl_Responses[[Resp_Group]:[Resp_Group]],Grower)/COUNTIFS(Tbl_Responses[[Variable Costs]:[Variable Costs]],"&lt;&gt;"&amp;"",Tbl_Responses[[Resp_Group]:[Resp_Group]],Grower)</f>
        <v>0.1111111111111111</v>
      </c>
      <c r="W48" s="4">
        <f>COUNTIFS(Tbl_Responses[[Variable Costs]:[Variable Costs]],W$3,Tbl_Responses[[Resp_Group]:[Resp_Group]],Grower)/COUNTIFS(Tbl_Responses[[Variable Costs]:[Variable Costs]],"&lt;&gt;"&amp;"",Tbl_Responses[[Resp_Group]:[Resp_Group]],Grower)</f>
        <v>0.24242424242424243</v>
      </c>
      <c r="X48" s="4">
        <f>COUNTIFS(Tbl_Responses[[Variable Costs]:[Variable Costs]],X$3,Tbl_Responses[[Resp_Group]:[Resp_Group]],Grower)/COUNTIFS(Tbl_Responses[[Variable Costs]:[Variable Costs]],"&lt;&gt;"&amp;"",Tbl_Responses[[Resp_Group]:[Resp_Group]],Grower)</f>
        <v>0.24242424242424243</v>
      </c>
      <c r="Y48" s="4">
        <f>COUNTIFS(Tbl_Responses[[Variable Costs]:[Variable Costs]],Y$3,Tbl_Responses[[Resp_Group]:[Resp_Group]],Grower)/COUNTIFS(Tbl_Responses[[Variable Costs]:[Variable Costs]],"&lt;&gt;"&amp;"",Tbl_Responses[[Resp_Group]:[Resp_Group]],Grower)</f>
        <v>0.16161616161616163</v>
      </c>
      <c r="Z48" s="4">
        <f>COUNTIFS(Tbl_Responses[[Variable Costs]:[Variable Costs]],Z$3,Tbl_Responses[[Resp_Group]:[Resp_Group]],Grower)/COUNTIFS(Tbl_Responses[[Variable Costs]:[Variable Costs]],"&lt;&gt;"&amp;"",Tbl_Responses[[Resp_Group]:[Resp_Group]],Grower)</f>
        <v>7.0707070707070704E-2</v>
      </c>
      <c r="AA48" s="4">
        <f>COUNTIFS(Tbl_Responses[[Variable Costs]:[Variable Costs]],AA$3,Tbl_Responses[[Resp_Group]:[Resp_Group]],Grower)/COUNTIFS(Tbl_Responses[[Variable Costs]:[Variable Costs]],"&lt;&gt;"&amp;"",Tbl_Responses[[Resp_Group]:[Resp_Group]],Grower)</f>
        <v>0</v>
      </c>
      <c r="AB48" s="4">
        <f>COUNTIFS(Tbl_Responses[[Variable Costs]:[Variable Costs]],AB$3,Tbl_Responses[[Resp_Group]:[Resp_Group]],Grower)/COUNTIFS(Tbl_Responses[[Variable Costs]:[Variable Costs]],"&lt;&gt;"&amp;"",Tbl_Responses[[Resp_Group]:[Resp_Group]],Grower)</f>
        <v>4.0404040404040407E-2</v>
      </c>
      <c r="AG48" t="s">
        <v>1379</v>
      </c>
      <c r="AH48" s="4">
        <f>COUNTIFS(Tbl_Responses[[Def_Nutrient_ID]:[Def_Nutrient_ID]],"*N*",Tbl_Responses[[Resp_Group]:[Resp_Group]],Grower)/COUNTIFS(Tbl_Responses[[Def_Nutrient_ID]:[Def_Nutrient_ID]],"&lt;&gt;"&amp;"",Tbl_Responses[[Resp_Group]:[Resp_Group]],Grower)</f>
        <v>0.88659793814432986</v>
      </c>
      <c r="AI48" s="4">
        <f>COUNTIFS(Tbl_Responses[[Def_Nutrient_ID]:[Def_Nutrient_ID]],"*P*",Tbl_Responses[[Resp_Group]:[Resp_Group]],Grower)/COUNTIFS(Tbl_Responses[[Def_Nutrient_ID]:[Def_Nutrient_ID]],"&lt;&gt;"&amp;"",Tbl_Responses[[Resp_Group]:[Resp_Group]],Grower)</f>
        <v>0.64948453608247425</v>
      </c>
      <c r="AJ48" s="4">
        <f>COUNTIFS(Tbl_Responses[[Def_Nutrient_ID]:[Def_Nutrient_ID]],"*K*",Tbl_Responses[[Resp_Group]:[Resp_Group]],Grower)/COUNTIFS(Tbl_Responses[[Def_Nutrient_ID]:[Def_Nutrient_ID]],"&lt;&gt;"&amp;"",Tbl_Responses[[Resp_Group]:[Resp_Group]],Grower)</f>
        <v>6.1855670103092786E-2</v>
      </c>
      <c r="AK48" s="4">
        <f>COUNTIFS(Tbl_Responses[[Def_Nutrient_ID]:[Def_Nutrient_ID]],"*S*",Tbl_Responses[[Resp_Group]:[Resp_Group]],Grower)/COUNTIFS(Tbl_Responses[[Def_Nutrient_ID]:[Def_Nutrient_ID]],"&lt;&gt;"&amp;"",Tbl_Responses[[Resp_Group]:[Resp_Group]],Grower)</f>
        <v>0.19587628865979381</v>
      </c>
      <c r="AL48" s="4">
        <f>COUNTIFS(Tbl_Responses[[Def_Nutrient_ID]:[Def_Nutrient_ID]],"*Zn*",Tbl_Responses[[Resp_Group]:[Resp_Group]],Grower)/COUNTIFS(Tbl_Responses[[Def_Nutrient_ID]:[Def_Nutrient_ID]],"&lt;&gt;"&amp;"",Tbl_Responses[[Resp_Group]:[Resp_Group]],Grower)</f>
        <v>0.23711340206185566</v>
      </c>
      <c r="AM48" s="4">
        <f>COUNTIFS(Tbl_Responses[[Def_Nutrient_ID]:[Def_Nutrient_ID]],"*Mn*",Tbl_Responses[[Resp_Group]:[Resp_Group]],Grower)/COUNTIFS(Tbl_Responses[[Def_Nutrient_ID]:[Def_Nutrient_ID]],"&lt;&gt;"&amp;"",Tbl_Responses[[Resp_Group]:[Resp_Group]],Grower)</f>
        <v>6.1855670103092786E-2</v>
      </c>
      <c r="AN48" s="4">
        <f>COUNTIFS(Tbl_Responses[[Def_Nutrient_ID]:[Def_Nutrient_ID]],"*Mg*",Tbl_Responses[[Resp_Group]:[Resp_Group]],Grower)/COUNTIFS(Tbl_Responses[[Def_Nutrient_ID]:[Def_Nutrient_ID]],"&lt;&gt;"&amp;"",Tbl_Responses[[Resp_Group]:[Resp_Group]],Grower)</f>
        <v>0</v>
      </c>
      <c r="AO48" s="4">
        <f>COUNTIFS(Tbl_Responses[[Def_Nutrient_ID]:[Def_Nutrient_ID]],"*Cu*",Tbl_Responses[[Resp_Group]:[Resp_Group]],Grower)/COUNTIFS(Tbl_Responses[[Def_Nutrient_ID]:[Def_Nutrient_ID]],"&lt;&gt;"&amp;"",Tbl_Responses[[Resp_Group]:[Resp_Group]],Grower)</f>
        <v>8.247422680412371E-2</v>
      </c>
      <c r="AP48" s="4">
        <f>COUNTIFS(Tbl_Responses[[Def_Nutrient_ID]:[Def_Nutrient_ID]],"*B*",Tbl_Responses[[Resp_Group]:[Resp_Group]],Grower)/COUNTIFS(Tbl_Responses[[Def_Nutrient_ID]:[Def_Nutrient_ID]],"&lt;&gt;"&amp;"",Tbl_Responses[[Resp_Group]:[Resp_Group]],Grower)</f>
        <v>1.0309278350515464E-2</v>
      </c>
      <c r="AQ48" s="4">
        <f>COUNTIFS(Tbl_Responses[[Def_Nutrient_ID]:[Def_Nutrient_ID]],"*Ca*",Tbl_Responses[[Resp_Group]:[Resp_Group]],Grower)/COUNTIFS(Tbl_Responses[[Def_Nutrient_ID]:[Def_Nutrient_ID]],"&lt;&gt;"&amp;"",Tbl_Responses[[Resp_Group]:[Resp_Group]],Grower)</f>
        <v>0</v>
      </c>
      <c r="AR48" s="4">
        <f>COUNTIFS(Tbl_Responses[[Def_Nutrient_ID]:[Def_Nutrient_ID]],"*pH*",Tbl_Responses[[Resp_Group]:[Resp_Group]],Grower)/COUNTIFS(Tbl_Responses[[Def_Nutrient_ID]:[Def_Nutrient_ID]],"&lt;&gt;"&amp;"",Tbl_Responses[[Resp_Group]:[Resp_Group]],Grower)</f>
        <v>0.14432989690721648</v>
      </c>
      <c r="AS48" s="4">
        <f>COUNTIFS(Tbl_Responses[[Def_Nutrient_ID]:[Def_Nutrient_ID]],"*T*",Tbl_Responses[[Resp_Group]:[Resp_Group]],Grower)/COUNTIFS(Tbl_Responses[[Def_Nutrient_ID]:[Def_Nutrient_ID]],"&lt;&gt;"&amp;"",Tbl_Responses[[Resp_Group]:[Resp_Group]],Grower)</f>
        <v>6.1855670103092786E-2</v>
      </c>
      <c r="AV48" t="s">
        <v>1379</v>
      </c>
      <c r="AW48" s="4">
        <f>COUNTIFS(Tbl_Responses[[Q6: Do you do/recommend soil and/or plant testing?]:[Q6: Do you do/recommend soil and/or plant testing?]],"Yes",Tbl_Responses[[Resp_Group]:[Resp_Group]],Grower)/COUNTIFS(Tbl_Responses[[Q6: Do you do/recommend soil and/or plant testing?]:[Q6: Do you do/recommend soil and/or plant testing?]],"&lt;&gt;"&amp;"",Tbl_Responses[[Resp_Group]:[Resp_Group]],Grower)</f>
        <v>0.60606060606060608</v>
      </c>
      <c r="AX48" s="4">
        <f>COUNTIFS(Tbl_Responses[[Q6: Do you do/recommend soil and/or plant testing?]:[Q6: Do you do/recommend soil and/or plant testing?]],"No",Tbl_Responses[[Resp_Group]:[Resp_Group]],Grower)/COUNTIFS(Tbl_Responses[[Q6: Do you do/recommend soil and/or plant testing?]:[Q6: Do you do/recommend soil and/or plant testing?]],"&lt;&gt;"&amp;"",Tbl_Responses[[Resp_Group]:[Resp_Group]],Grower)</f>
        <v>0.39393939393939392</v>
      </c>
      <c r="AY48" s="3">
        <f>COUNTIFS(Tbl_Responses[[Q6: Do you do/recommend soil and/or plant testing?]:[Q6: Do you do/recommend soil and/or plant testing?]],"&gt;""",Tbl_Responses[[Resp_Group]:[Resp_Group]],Grower)</f>
        <v>99</v>
      </c>
      <c r="BA48" s="43" t="s">
        <v>1499</v>
      </c>
      <c r="BB48" s="44">
        <f>COUNTIFS(Tbl_Responses[Q7: Who makes the nurtient decisions on your farm (grower only)],$BA48,Tbl_Responses[[Resp_Group]:[Resp_Group]],Grower)</f>
        <v>14</v>
      </c>
      <c r="BC48" s="51">
        <f>COUNTIFS(Tbl_Responses[Q7: Who makes the nurtient decisions on your farm (grower only)],$BA48,Tbl_Responses[[Resp_Group]:[Resp_Group]],Grower)/COUNTIFS(Tbl_Responses[Q7: Who makes the nurtient decisions on your farm (grower only)],"&gt;""",Tbl_Responses[[Resp_Group]:[Resp_Group]],Grower)</f>
        <v>0.24561403508771928</v>
      </c>
      <c r="BD48" s="44" t="s">
        <v>2502</v>
      </c>
      <c r="BE48" s="44">
        <f>COUNTIFS(Tbl_Responses[Response6],$BD48,Tbl_Responses[[Resp_Group]:[Resp_Group]],Grower)</f>
        <v>0</v>
      </c>
      <c r="BF48" s="44">
        <f>COUNTIFS(Tbl_Responses[Response7],$BD48,Tbl_Responses[[Resp_Group]:[Resp_Group]],Grower)</f>
        <v>0</v>
      </c>
      <c r="BH48" t="s">
        <v>169</v>
      </c>
      <c r="BI48" s="3">
        <f>COUNTIFS(Tbl_Responses[Source_1_ID],$BH48,Tbl_Responses[[Resp_Group]:[Resp_Group]],Grower)+COUNTIFS(Tbl_Responses[Source_2_ID],$BH48,Tbl_Responses[[Resp_Group]:[Resp_Group]],Grower)+COUNTIFS(Tbl_Responses[Source_3_ID],$BH48,Tbl_Responses[[Resp_Group]:[Resp_Group]],Grower)</f>
        <v>29</v>
      </c>
      <c r="BJ48" s="4">
        <f>Tbl_Q1120[[#This Row],[Q11 Response]]/SUM(Tbl_Q1120[Q11 Response])</f>
        <v>0.2013888888888889</v>
      </c>
      <c r="BQ48" s="31">
        <v>0</v>
      </c>
      <c r="BR48" s="4">
        <f>COUNTIFS(Tbl_Responses[What % of your clients soil tested in 2018?],$BQ48,Tbl_Responses[[Resp_Group]:[Resp_Group]],Grower)/COUNTIFS(Tbl_Responses[What % of your clients soil tested in 2018?],"&gt;""",Tbl_Responses[[Resp_Group]:[Resp_Group]],Grower)</f>
        <v>0.08</v>
      </c>
      <c r="BS48" s="4">
        <f>COUNTIFS(Tbl_Responses[What % of your clients tested for N in 2018?],$BQ48,Tbl_Responses[[Resp_Group]:[Resp_Group]],Grower)/COUNTIFS(Tbl_Responses[What % of your clients tested for N in 2018?],"&gt;""",Tbl_Responses[[Resp_Group]:[Resp_Group]],Grower)</f>
        <v>0.10204081632653061</v>
      </c>
      <c r="BT48" s="4">
        <f>COUNTIFS(Tbl_Responses[What % of your clients tested for N to at least 60cm in 2018?],$BQ48,Tbl_Responses[[Resp_Group]:[Resp_Group]],Grower)/COUNTIFS(Tbl_Responses[What % of your clients tested for N to at least 60cm in 2018?],"&gt;""",Tbl_Responses[[Resp_Group]:[Resp_Group]],Grower)</f>
        <v>0.2857142857142857</v>
      </c>
      <c r="BU48" s="4">
        <f>COUNTIFS(Tbl_Responses[What % of your clients tested for P in 2018?],$BQ48,Tbl_Responses[[Resp_Group]:[Resp_Group]],Grower)/COUNTIFS(Tbl_Responses[What % of your clients tested for P in 2018?],"&gt;""",Tbl_Responses[[Resp_Group]:[Resp_Group]],Grower)</f>
        <v>0.125</v>
      </c>
      <c r="BX48" t="s">
        <v>178</v>
      </c>
      <c r="BY48" s="4">
        <f>(COUNTIFS(Tbl_Responses[Nitrogen 1 - Type of test],$BX48,Tbl_Responses[[Resp_Group]:[Resp_Group]],Grower)+COUNTIFS(Tbl_Responses[Nitrogen 2 - Type of test],$BX48,Tbl_Responses[[Resp_Group]:[Resp_Group]],Grower)+COUNTIFS(Tbl_Responses[Nitrogen 3 - Type of test],$BX48,Tbl_Responses[[Resp_Group]:[Resp_Group]],Grower))/(COUNTIFS(Tbl_Responses[Nitrogen 1 - Type of test],"&gt;""",Tbl_Responses[[Resp_Group]:[Resp_Group]],Grower)+COUNTIFS(Tbl_Responses[Nitrogen 2 - Type of test],"&gt;""",Tbl_Responses[[Resp_Group]:[Resp_Group]],Grower)+COUNTIFS(Tbl_Responses[Nitrogen 3 - Type of test],"&gt;""",Tbl_Responses[[Resp_Group]:[Resp_Group]],Grower))</f>
        <v>0.37333333333333335</v>
      </c>
      <c r="CB48" s="43" t="s">
        <v>177</v>
      </c>
      <c r="CC48" s="60">
        <f>(COUNTIFS(Tbl_Responses[Nitrogen 1 - Type of test],Tbl_14_sampling33[[#Headers],[Organic Carbon]],Tbl_Responses[Nitrogen 1 - How many representative samples per paddock],$CB48,Tbl_Responses[[Resp_Group]:[Resp_Group]],Grower)+COUNTIFS(Tbl_Responses[Nitrogen 2 - Type of test],Tbl_14_sampling33[[#Headers],[Organic Carbon]],Tbl_Responses[Nitrogen 2 - How many representative samples per paddock],$CB48,Tbl_Responses[[Resp_Group]:[Resp_Group]],Grower)+COUNTIFS(Tbl_Responses[Nitrogen 3 - Type of test],Tbl_14_sampling33[[#Headers],[Organic Carbon]],Tbl_Responses[Nitrogen 3 - How many representative samples per paddock],$CB48,Tbl_Responses[[Resp_Group]:[Resp_Group]],Grower))/(COUNTIFS(Tbl_Responses[Nitrogen 1 - Type of test],Tbl_14_sampling33[[#Headers],[Organic Carbon]],Tbl_Responses[Nitrogen 1 - How many representative samples per paddock],"&gt;""",Tbl_Responses[[Resp_Group]:[Resp_Group]],Grower)+COUNTIFS(Tbl_Responses[Nitrogen 2 - Type of test],Tbl_14_sampling33[[#Headers],[Organic Carbon]],Tbl_Responses[Nitrogen 2 - How many representative samples per paddock],"&gt;""",Tbl_Responses[[Resp_Group]:[Resp_Group]],Grower)+COUNTIFS(Tbl_Responses[Nitrogen 3 - Type of test],Tbl_14_sampling33[[#Headers],[Organic Carbon]],Tbl_Responses[Nitrogen 3 - How many representative samples per paddock],"&gt;""",Tbl_Responses[[Resp_Group]:[Resp_Group]],Grower))</f>
        <v>0.4</v>
      </c>
      <c r="CD48" s="60">
        <f>(COUNTIFS(Tbl_Responses[Nitrogen 1 - Type of test],Tbl_14_sampling33[[#Headers],[Mineral N (Nitrate/Ammonium)]],Tbl_Responses[Nitrogen 1 - How many representative samples per paddock],$CB48,Tbl_Responses[[Resp_Group]:[Resp_Group]],Grower)+COUNTIFS(Tbl_Responses[Nitrogen 2 - Type of test],Tbl_14_sampling33[[#Headers],[Mineral N (Nitrate/Ammonium)]],Tbl_Responses[Nitrogen 2 - How many representative samples per paddock],$CB48,Tbl_Responses[[Resp_Group]:[Resp_Group]],Grower)+COUNTIFS(Tbl_Responses[Nitrogen 3 - Type of test],Tbl_14_sampling33[[#Headers],[Mineral N (Nitrate/Ammonium)]],Tbl_Responses[Nitrogen 3 - How many representative samples per paddock],$CB48,Tbl_Responses[[Resp_Group]:[Resp_Group]],Grower))/(COUNTIFS(Tbl_Responses[Nitrogen 1 - Type of test],Tbl_14_sampling33[[#Headers],[Mineral N (Nitrate/Ammonium)]],Tbl_Responses[Nitrogen 1 - How many representative samples per paddock],"&gt;""",Tbl_Responses[[Resp_Group]:[Resp_Group]],Grower)+COUNTIFS(Tbl_Responses[Nitrogen 2 - Type of test],Tbl_14_sampling33[[#Headers],[Mineral N (Nitrate/Ammonium)]],Tbl_Responses[Nitrogen 2 - How many representative samples per paddock],"&gt;""",Tbl_Responses[[Resp_Group]:[Resp_Group]],Grower)+COUNTIFS(Tbl_Responses[Nitrogen 3 - Type of test],Tbl_14_sampling33[[#Headers],[Mineral N (Nitrate/Ammonium)]],Tbl_Responses[Nitrogen 3 - How many representative samples per paddock],"&gt;""",Tbl_Responses[[Resp_Group]:[Resp_Group]],Grower))</f>
        <v>0.26666666666666666</v>
      </c>
      <c r="CE48" s="60">
        <f>(COUNTIFS(Tbl_Responses[Nitrogen 1 - Type of test],Tbl_14_sampling33[[#Headers],[Total N]],Tbl_Responses[Nitrogen 1 - How many representative samples per paddock],$CB48,Tbl_Responses[[Resp_Group]:[Resp_Group]],Grower)+COUNTIFS(Tbl_Responses[Nitrogen 2 - Type of test],Tbl_14_sampling33[[#Headers],[Total N]],Tbl_Responses[Nitrogen 2 - How many representative samples per paddock],$CB48,Tbl_Responses[[Resp_Group]:[Resp_Group]],Grower)+COUNTIFS(Tbl_Responses[Nitrogen 3 - Type of test],Tbl_14_sampling33[[#Headers],[Total N]],Tbl_Responses[Nitrogen 3 - How many representative samples per paddock],$CB48,Tbl_Responses[[Resp_Group]:[Resp_Group]],Grower))/(COUNTIFS(Tbl_Responses[Nitrogen 1 - Type of test],Tbl_14_sampling33[[#Headers],[Total N]],Tbl_Responses[Nitrogen 1 - How many representative samples per paddock],"&gt;""",Tbl_Responses[[Resp_Group]:[Resp_Group]],Grower)+COUNTIFS(Tbl_Responses[Nitrogen 2 - Type of test],Tbl_14_sampling33[[#Headers],[Total N]],Tbl_Responses[Nitrogen 2 - How many representative samples per paddock],"&gt;""",Tbl_Responses[[Resp_Group]:[Resp_Group]],Grower)+COUNTIFS(Tbl_Responses[Nitrogen 3 - Type of test],Tbl_14_sampling33[[#Headers],[Total N]],Tbl_Responses[Nitrogen 3 - How many representative samples per paddock],"&gt;""",Tbl_Responses[[Resp_Group]:[Resp_Group]],Grower))</f>
        <v>0.4</v>
      </c>
      <c r="CF48" s="60">
        <f>(COUNTIFS(Tbl_Responses[Nitrogen 1 - How many representative samples per paddock],$CB48,Tbl_Responses[[Resp_Group]:[Resp_Group]],Grower)+COUNTIFS(Tbl_Responses[Nitrogen 2 - How many representative samples per paddock],$CB48,Tbl_Responses[[Resp_Group]:[Resp_Group]],Grower)+COUNTIFS(Tbl_Responses[Nitrogen 3 - How many representative samples per paddock],$CB48,Tbl_Responses[[Resp_Group]:[Resp_Group]],Grower))/(COUNTIFS(Tbl_Responses[Nitrogen 1 - How many representative samples per paddock],"&gt;""",Tbl_Responses[[Resp_Group]:[Resp_Group]],Grower)+COUNTIFS(Tbl_Responses[Nitrogen 2 - How many representative samples per paddock],"&gt;""",Tbl_Responses[[Resp_Group]:[Resp_Group]],Grower)+COUNTIFS(Tbl_Responses[Nitrogen 3 - How many representative samples per paddock],"&gt;""",Tbl_Responses[[Resp_Group]:[Resp_Group]],Grower))</f>
        <v>0.36</v>
      </c>
      <c r="CG48" s="72"/>
      <c r="CH48" s="72"/>
      <c r="CI48" s="80" t="s">
        <v>182</v>
      </c>
      <c r="CJ48" s="72">
        <f>(COUNTIFS(Tbl_Responses[Phosphorus 1 - Type of test],CI48,Tbl_Responses[[Resp_Group]:[Resp_Group]],Grower)+COUNTIFS(Tbl_Responses[Phosphorus 2 - Type of test],CI48,Tbl_Responses[[Resp_Group]:[Resp_Group]],Grower)+COUNTIFS(Tbl_Responses[Phosphorus 3 - Type of test],CI48,Tbl_Responses[[Resp_Group]:[Resp_Group]],Grower)+COUNTIFS(Tbl_Responses[Phosphorus 4 - Type of test],CI48,Tbl_Responses[[Resp_Group]:[Resp_Group]],Grower)+COUNTIFS(Tbl_Responses[Phosphorus 5 - Type of test],CI48,Tbl_Responses[[Resp_Group]:[Resp_Group]],Grower))/(COUNTIFS(Tbl_Responses[Phosphorus 1 - Type of test],"&gt;""",Tbl_Responses[[Resp_Group]:[Resp_Group]],Grower)+COUNTIFS(Tbl_Responses[Phosphorus 2 - Type of test],"&gt;""",Tbl_Responses[[Resp_Group]:[Resp_Group]],Grower)+COUNTIFS(Tbl_Responses[Phosphorus 3 - Type of test],"&gt;""",Tbl_Responses[[Resp_Group]:[Resp_Group]],Grower)+COUNTIFS(Tbl_Responses[Phosphorus 4 - Type of test],"&gt;""",Tbl_Responses[[Resp_Group]:[Resp_Group]],Grower)+COUNTIFS(Tbl_Responses[Phosphorus 5 - Type of test],"&gt;""",Tbl_Responses[[Resp_Group]:[Resp_Group]],Grower))</f>
        <v>0.49315068493150682</v>
      </c>
      <c r="CK48" s="72"/>
      <c r="CL48" s="72"/>
      <c r="CM48" s="74" t="s">
        <v>177</v>
      </c>
      <c r="CN48" s="66">
        <f>(COUNTIFS(Tbl_Responses[Phosphorus 1 - Type of test],Tbl_Q15_sampling34[[#Headers],[Colwell P]],Tbl_Responses[Phosphorus 1 - How many representative samples per paddock],$CM48,Tbl_Responses[[Resp_Group]:[Resp_Group]],Grower)+COUNTIFS(Tbl_Responses[Phosphorus 2 - Type of test],Tbl_Q15_sampling34[[#Headers],[Colwell P]],Tbl_Responses[Phosphorus 2 - How many representative samples per paddock],$CM48,Tbl_Responses[[Resp_Group]:[Resp_Group]],Grower)+COUNTIFS(Tbl_Responses[Phosphorus 3 - Type of test],Tbl_Q15_sampling34[[#Headers],[Colwell P]],Tbl_Responses[Phosphorus 3 - How many representative samples per paddock],$CM48,Tbl_Responses[[Resp_Group]:[Resp_Group]],Grower)+COUNTIFS(Tbl_Responses[Phosphorus 4 - Type of test],Tbl_Q15_sampling34[[#Headers],[Colwell P]],Tbl_Responses[Phosphorus 4 - How many representative samples per paddock],$CM48,Tbl_Responses[[Resp_Group]:[Resp_Group]],Grower)+COUNTIFS(Tbl_Responses[Phosphorus 5 - Type of test],Tbl_Q15_sampling34[[#Headers],[Colwell P]],Tbl_Responses[Phosphorus 5 - How many representative samples per paddock],$CM48,Tbl_Responses[[Resp_Group]:[Resp_Group]],Grower))/(COUNTIFS(Tbl_Responses[Phosphorus 1 - Type of test],Tbl_Q15_sampling34[[#Headers],[Colwell P]],Tbl_Responses[Phosphorus 1 - How many representative samples per paddock],"&gt;""",Tbl_Responses[[Resp_Group]:[Resp_Group]],Grower)+COUNTIFS(Tbl_Responses[Phosphorus 2 - Type of test],Tbl_Q15_sampling34[[#Headers],[Colwell P]],Tbl_Responses[Phosphorus 2 - How many representative samples per paddock],"&gt;""",Tbl_Responses[[Resp_Group]:[Resp_Group]],Grower)+COUNTIFS(Tbl_Responses[Phosphorus 3 - Type of test],Tbl_Q15_sampling34[[#Headers],[Colwell P]],Tbl_Responses[Phosphorus 3 - How many representative samples per paddock],"&gt;""",Tbl_Responses[[Resp_Group]:[Resp_Group]],Grower)+COUNTIFS(Tbl_Responses[Phosphorus 4 - Type of test],Tbl_Q15_sampling34[[#Headers],[Colwell P]],Tbl_Responses[Phosphorus 4 - How many representative samples per paddock],"&gt;""",Tbl_Responses[[Resp_Group]:[Resp_Group]],Grower)+COUNTIFS(Tbl_Responses[Phosphorus 5 - Type of test],Tbl_Q15_sampling34[[#Headers],[Colwell P]],Tbl_Responses[Phosphorus 5 - How many representative samples per paddock],"&gt;""",Tbl_Responses[[Resp_Group]:[Resp_Group]],Grower))</f>
        <v>0.45454545454545453</v>
      </c>
      <c r="CO48" s="60">
        <f>(COUNTIFS(Tbl_Responses[Phosphorus 1 - Type of test],Tbl_Q15_sampling34[[#Headers],[Olsen-Bray P]],Tbl_Responses[Phosphorus 1 - How many representative samples per paddock],$CM48,Tbl_Responses[[Resp_Group]:[Resp_Group]],Grower)+COUNTIFS(Tbl_Responses[Phosphorus 2 - Type of test],Tbl_Q15_sampling34[[#Headers],[Olsen-Bray P]],Tbl_Responses[Phosphorus 2 - How many representative samples per paddock],$CM48,Tbl_Responses[[Resp_Group]:[Resp_Group]],Grower)+COUNTIFS(Tbl_Responses[Phosphorus 3 - Type of test],Tbl_Q15_sampling34[[#Headers],[Olsen-Bray P]],Tbl_Responses[Phosphorus 3 - How many representative samples per paddock],$CM48,Tbl_Responses[[Resp_Group]:[Resp_Group]],Grower)+COUNTIFS(Tbl_Responses[Phosphorus 4 - Type of test],Tbl_Q15_sampling34[[#Headers],[Olsen-Bray P]],Tbl_Responses[Phosphorus 4 - How many representative samples per paddock],$CM48,Tbl_Responses[[Resp_Group]:[Resp_Group]],Grower)+COUNTIFS(Tbl_Responses[Phosphorus 5 - Type of test],Tbl_Q15_sampling34[[#Headers],[Olsen-Bray P]],Tbl_Responses[Phosphorus 5 - How many representative samples per paddock],$CM48,Tbl_Responses[[Resp_Group]:[Resp_Group]],Grower))/(COUNTIFS(Tbl_Responses[Phosphorus 1 - Type of test],Tbl_Q15_sampling34[[#Headers],[Olsen-Bray P]],Tbl_Responses[Phosphorus 1 - How many representative samples per paddock],"&gt;""",Tbl_Responses[[Resp_Group]:[Resp_Group]],Grower)+COUNTIFS(Tbl_Responses[Phosphorus 2 - Type of test],Tbl_Q15_sampling34[[#Headers],[Olsen-Bray P]],Tbl_Responses[Phosphorus 2 - How many representative samples per paddock],"&gt;""",Tbl_Responses[[Resp_Group]:[Resp_Group]],Grower)+COUNTIFS(Tbl_Responses[Phosphorus 3 - Type of test],Tbl_Q15_sampling34[[#Headers],[Olsen-Bray P]],Tbl_Responses[Phosphorus 3 - How many representative samples per paddock],"&gt;""",Tbl_Responses[[Resp_Group]:[Resp_Group]],Grower)+COUNTIFS(Tbl_Responses[Phosphorus 4 - Type of test],Tbl_Q15_sampling34[[#Headers],[Olsen-Bray P]],Tbl_Responses[Phosphorus 4 - How many representative samples per paddock],"&gt;""",Tbl_Responses[[Resp_Group]:[Resp_Group]],Grower)+COUNTIFS(Tbl_Responses[Phosphorus 5 - Type of test],Tbl_Q15_sampling34[[#Headers],[Olsen-Bray P]],Tbl_Responses[Phosphorus 5 - How many representative samples per paddock],"&gt;""",Tbl_Responses[[Resp_Group]:[Resp_Group]],Grower))</f>
        <v>0.5</v>
      </c>
      <c r="CP48" s="60">
        <f>(COUNTIFS(Tbl_Responses[Phosphorus 1 - Type of test],Tbl_Q15_sampling34[[#Headers],[PBI (Phosphorus Buffering Index)]],Tbl_Responses[Phosphorus 1 - How many representative samples per paddock],$CM48,Tbl_Responses[[Resp_Group]:[Resp_Group]],Grower)+COUNTIFS(Tbl_Responses[Phosphorus 2 - Type of test],Tbl_Q15_sampling34[[#Headers],[PBI (Phosphorus Buffering Index)]],Tbl_Responses[Phosphorus 2 - How many representative samples per paddock],$CM48,Tbl_Responses[[Resp_Group]:[Resp_Group]],Grower)+COUNTIFS(Tbl_Responses[Phosphorus 3 - Type of test],Tbl_Q15_sampling34[[#Headers],[PBI (Phosphorus Buffering Index)]],Tbl_Responses[Phosphorus 3 - How many representative samples per paddock],$CM48,Tbl_Responses[[Resp_Group]:[Resp_Group]],Grower)+COUNTIFS(Tbl_Responses[Phosphorus 4 - Type of test],Tbl_Q15_sampling34[[#Headers],[PBI (Phosphorus Buffering Index)]],Tbl_Responses[Phosphorus 4 - How many representative samples per paddock],$CM48,Tbl_Responses[[Resp_Group]:[Resp_Group]],Grower)+COUNTIFS(Tbl_Responses[Phosphorus 5 - Type of test],Tbl_Q15_sampling34[[#Headers],[PBI (Phosphorus Buffering Index)]],Tbl_Responses[Phosphorus 5 - How many representative samples per paddock],$CM48,Tbl_Responses[[Resp_Group]:[Resp_Group]],Grower))/(COUNTIFS(Tbl_Responses[Phosphorus 1 - Type of test],Tbl_Q15_sampling34[[#Headers],[PBI (Phosphorus Buffering Index)]],Tbl_Responses[Phosphorus 1 - How many representative samples per paddock],"&gt;""",Tbl_Responses[[Resp_Group]:[Resp_Group]],Grower)+COUNTIFS(Tbl_Responses[Phosphorus 2 - Type of test],Tbl_Q15_sampling34[[#Headers],[PBI (Phosphorus Buffering Index)]],Tbl_Responses[Phosphorus 2 - How many representative samples per paddock],"&gt;""",Tbl_Responses[[Resp_Group]:[Resp_Group]],Grower)+COUNTIFS(Tbl_Responses[Phosphorus 3 - Type of test],Tbl_Q15_sampling34[[#Headers],[PBI (Phosphorus Buffering Index)]],Tbl_Responses[Phosphorus 3 - How many representative samples per paddock],"&gt;""",Tbl_Responses[[Resp_Group]:[Resp_Group]],Grower)+COUNTIFS(Tbl_Responses[Phosphorus 4 - Type of test],Tbl_Q15_sampling34[[#Headers],[PBI (Phosphorus Buffering Index)]],Tbl_Responses[Phosphorus 4 - How many representative samples per paddock],"&gt;""",Tbl_Responses[[Resp_Group]:[Resp_Group]],Grower)+COUNTIFS(Tbl_Responses[Phosphorus 5 - Type of test],Tbl_Q15_sampling34[[#Headers],[PBI (Phosphorus Buffering Index)]],Tbl_Responses[Phosphorus 5 - How many representative samples per paddock],"&gt;""",Tbl_Responses[[Resp_Group]:[Resp_Group]],Grower))</f>
        <v>0.25</v>
      </c>
      <c r="CQ48" s="60">
        <f>(COUNTIFS(Tbl_Responses[Phosphorus 1 - Type of test],Tbl_Q15_sampling34[[#Headers],[DGT]],Tbl_Responses[Phosphorus 1 - How many representative samples per paddock],$CM48,Tbl_Responses[[Resp_Group]:[Resp_Group]],Grower)+COUNTIFS(Tbl_Responses[Phosphorus 2 - Type of test],Tbl_Q15_sampling34[[#Headers],[DGT]],Tbl_Responses[Phosphorus 2 - How many representative samples per paddock],$CM48,Tbl_Responses[[Resp_Group]:[Resp_Group]],Grower)+COUNTIFS(Tbl_Responses[Phosphorus 3 - Type of test],Tbl_Q15_sampling34[[#Headers],[DGT]],Tbl_Responses[Phosphorus 3 - How many representative samples per paddock],$CM48,Tbl_Responses[[Resp_Group]:[Resp_Group]],Grower)+COUNTIFS(Tbl_Responses[Phosphorus 4 - Type of test],Tbl_Q15_sampling34[[#Headers],[DGT]],Tbl_Responses[Phosphorus 4 - How many representative samples per paddock],$CM48,Tbl_Responses[[Resp_Group]:[Resp_Group]],Grower)+COUNTIFS(Tbl_Responses[Phosphorus 5 - Type of test],Tbl_Q15_sampling34[[#Headers],[DGT]],Tbl_Responses[Phosphorus 5 - How many representative samples per paddock],$CM48,Tbl_Responses[[Resp_Group]:[Resp_Group]],Grower))/(COUNTIFS(Tbl_Responses[Phosphorus 1 - Type of test],Tbl_Q15_sampling34[[#Headers],[DGT]],Tbl_Responses[Phosphorus 1 - How many representative samples per paddock],"&gt;""",Tbl_Responses[[Resp_Group]:[Resp_Group]],Grower)+COUNTIFS(Tbl_Responses[Phosphorus 2 - Type of test],Tbl_Q15_sampling34[[#Headers],[DGT]],Tbl_Responses[Phosphorus 2 - How many representative samples per paddock],"&gt;""",Tbl_Responses[[Resp_Group]:[Resp_Group]],Grower)+COUNTIFS(Tbl_Responses[Phosphorus 3 - Type of test],Tbl_Q15_sampling34[[#Headers],[DGT]],Tbl_Responses[Phosphorus 3 - How many representative samples per paddock],"&gt;""",Tbl_Responses[[Resp_Group]:[Resp_Group]],Grower)+COUNTIFS(Tbl_Responses[Phosphorus 4 - Type of test],Tbl_Q15_sampling34[[#Headers],[DGT]],Tbl_Responses[Phosphorus 4 - How many representative samples per paddock],"&gt;""",Tbl_Responses[[Resp_Group]:[Resp_Group]],Grower)+COUNTIFS(Tbl_Responses[Phosphorus 5 - Type of test],Tbl_Q15_sampling34[[#Headers],[DGT]],Tbl_Responses[Phosphorus 5 - How many representative samples per paddock],"&gt;""",Tbl_Responses[[Resp_Group]:[Resp_Group]],Grower))</f>
        <v>0.36363636363636365</v>
      </c>
      <c r="CR48" s="60">
        <f>(COUNTIFS(Tbl_Responses[Phosphorus 1 - Type of test],Tbl_Q15_sampling34[[#Headers],[Total P]],Tbl_Responses[Phosphorus 1 - How many representative samples per paddock],$CM48,Tbl_Responses[[Resp_Group]:[Resp_Group]],Grower)+COUNTIFS(Tbl_Responses[Phosphorus 2 - Type of test],Tbl_Q15_sampling34[[#Headers],[Total P]],Tbl_Responses[Phosphorus 2 - How many representative samples per paddock],$CM48,Tbl_Responses[[Resp_Group]:[Resp_Group]],Grower)+COUNTIFS(Tbl_Responses[Phosphorus 3 - Type of test],Tbl_Q15_sampling34[[#Headers],[Total P]],Tbl_Responses[Phosphorus 3 - How many representative samples per paddock],$CM48,Tbl_Responses[[Resp_Group]:[Resp_Group]],Grower)+COUNTIFS(Tbl_Responses[Phosphorus 4 - Type of test],Tbl_Q15_sampling34[[#Headers],[Total P]],Tbl_Responses[Phosphorus 4 - How many representative samples per paddock],$CM48,Tbl_Responses[[Resp_Group]:[Resp_Group]],Grower)+COUNTIFS(Tbl_Responses[Phosphorus 5 - Type of test],Tbl_Q15_sampling34[[#Headers],[Total P]],Tbl_Responses[Phosphorus 5 - How many representative samples per paddock],$CM48,Tbl_Responses[[Resp_Group]:[Resp_Group]],Grower))/(COUNTIFS(Tbl_Responses[Phosphorus 1 - Type of test],Tbl_Q15_sampling34[[#Headers],[Total P]],Tbl_Responses[Phosphorus 1 - How many representative samples per paddock],"&gt;""",Tbl_Responses[[Resp_Group]:[Resp_Group]],Grower)+COUNTIFS(Tbl_Responses[Phosphorus 2 - Type of test],Tbl_Q15_sampling34[[#Headers],[Total P]],Tbl_Responses[Phosphorus 2 - How many representative samples per paddock],"&gt;""",Tbl_Responses[[Resp_Group]:[Resp_Group]],Grower)+COUNTIFS(Tbl_Responses[Phosphorus 3 - Type of test],Tbl_Q15_sampling34[[#Headers],[Total P]],Tbl_Responses[Phosphorus 3 - How many representative samples per paddock],"&gt;""",Tbl_Responses[[Resp_Group]:[Resp_Group]],Grower)+COUNTIFS(Tbl_Responses[Phosphorus 4 - Type of test],Tbl_Q15_sampling34[[#Headers],[Total P]],Tbl_Responses[Phosphorus 4 - How many representative samples per paddock],"&gt;""",Tbl_Responses[[Resp_Group]:[Resp_Group]],Grower)+COUNTIFS(Tbl_Responses[Phosphorus 5 - Type of test],Tbl_Q15_sampling34[[#Headers],[Total P]],Tbl_Responses[Phosphorus 5 - How many representative samples per paddock],"&gt;""",Tbl_Responses[[Resp_Group]:[Resp_Group]],Grower))</f>
        <v>0.2857142857142857</v>
      </c>
      <c r="CS48" s="82">
        <f>(COUNTIFS(Tbl_Responses[Phosphorus 1 - How many representative samples per paddock],$CM48,Tbl_Responses[[Resp_Group]:[Resp_Group]],Grower)+COUNTIFS(Tbl_Responses[Phosphorus 2 - How many representative samples per paddock],$CM48,Tbl_Responses[[Resp_Group]:[Resp_Group]],Grower)+COUNTIFS(Tbl_Responses[Phosphorus 3 - How many representative samples per paddock],$CM48,Tbl_Responses[[Resp_Group]:[Resp_Group]],Grower)+COUNTIFS(Tbl_Responses[Phosphorus 4 - How many representative samples per paddock],$CM48,Tbl_Responses[[Resp_Group]:[Resp_Group]],Grower)+COUNTIFS(Tbl_Responses[Phosphorus 5 - How many representative samples per paddock],$CM48,Tbl_Responses[[Resp_Group]:[Resp_Group]],Grower))/(COUNTIFS(Tbl_Responses[Phosphorus 1 - How many representative samples per paddock],"&gt;""",Tbl_Responses[[Resp_Group]:[Resp_Group]],Grower)+COUNTIFS(Tbl_Responses[Phosphorus 2 - How many representative samples per paddock],"&gt;""",Tbl_Responses[[Resp_Group]:[Resp_Group]],Grower)+COUNTIFS(Tbl_Responses[Phosphorus 3 - How many representative samples per paddock],"&gt;""",Tbl_Responses[[Resp_Group]:[Resp_Group]],Grower)+COUNTIFS(Tbl_Responses[Phosphorus 4 - How many representative samples per paddock],"&gt;""",Tbl_Responses[[Resp_Group]:[Resp_Group]],Grower)+COUNTIFS(Tbl_Responses[Phosphorus 5 - How many representative samples per paddock],"&gt;""",Tbl_Responses[[Resp_Group]:[Resp_Group]],Grower))</f>
        <v>0.38461538461538464</v>
      </c>
      <c r="CT48" s="72"/>
      <c r="CU48" s="72"/>
      <c r="CV48" s="80" t="s">
        <v>184</v>
      </c>
      <c r="CW48" s="72">
        <f>(COUNTIFS(Tbl_Responses[Potassium 1 - Type of test],$CV48,Tbl_Responses[[Resp_Group]:[Resp_Group]],Grower)+COUNTIFS(Tbl_Responses[Potassium 2 - Type of test],$CV48,Tbl_Responses[[Resp_Group]:[Resp_Group]],Grower)+COUNTIFS(Tbl_Responses[Potassium 3 - Type of test],$CV48,Tbl_Responses[[Resp_Group]:[Resp_Group]],Grower))/(COUNTIFS(Tbl_Responses[Potassium 1 - Type of test],"&gt;""",Tbl_Responses[[Resp_Group]:[Resp_Group]],Grower)+COUNTIFS(Tbl_Responses[Potassium 2 - Type of test],"&gt;""",Tbl_Responses[[Resp_Group]:[Resp_Group]],Grower)+COUNTIFS(Tbl_Responses[Potassium 3 - Type of test],"&gt;""",Tbl_Responses[[Resp_Group]:[Resp_Group]],Grower))</f>
        <v>0.70833333333333337</v>
      </c>
      <c r="CX48" s="72"/>
      <c r="CY48" s="72"/>
      <c r="CZ48" s="74" t="s">
        <v>177</v>
      </c>
      <c r="DA48" s="66">
        <f>(COUNTIFS(Tbl_Responses[Potassium 1 - Type of test],Tbl_Q16_sampling35[[#Headers],[Colwell K]],Tbl_Responses[Potassium 1 - How many representative samples per paddock],$CZ48,Tbl_Responses[[Resp_Group]:[Resp_Group]],Grower)+COUNTIFS(Tbl_Responses[Potassium 2 - Type of test],Tbl_Q16_sampling35[[#Headers],[Colwell K]],Tbl_Responses[Potassium 2 - How many representative samples per paddock],$CZ48,Tbl_Responses[[Resp_Group]:[Resp_Group]],Grower)+COUNTIFS(Tbl_Responses[Potassium 3 - Type of test],Tbl_Q16_sampling35[[#Headers],[Colwell K]],Tbl_Responses[Potassium 3 - How many representative samples per paddock],$CZ48,Tbl_Responses[[Resp_Group]:[Resp_Group]],Grower))/(COUNTIFS(Tbl_Responses[Potassium 1 - Type of test],Tbl_Q16_sampling35[[#Headers],[Colwell K]],Tbl_Responses[Potassium 1 - How many representative samples per paddock],"&gt;""",Tbl_Responses[[Resp_Group]:[Resp_Group]],Grower)+COUNTIFS(Tbl_Responses[Potassium 2 - Type of test],Tbl_Q16_sampling35[[#Headers],[Colwell K]],Tbl_Responses[Potassium 2 - How many representative samples per paddock],"&gt;""",Tbl_Responses[[Resp_Group]:[Resp_Group]],Grower)+COUNTIFS(Tbl_Responses[Potassium 3 - Type of test],Tbl_Q16_sampling35[[#Headers],[Colwell K]],Tbl_Responses[Potassium 3 - How many representative samples per paddock],"&gt;""",Tbl_Responses[[Resp_Group]:[Resp_Group]],Grower))</f>
        <v>0.25</v>
      </c>
      <c r="DB48" s="60">
        <f>(COUNTIFS(Tbl_Responses[Potassium 1 - Type of test],Tbl_Q16_sampling35[[#Headers],[Exchangable Cations (Ca, Mg, K, Na)]],Tbl_Responses[Potassium 1 - How many representative samples per paddock],$CZ48,Tbl_Responses[[Resp_Group]:[Resp_Group]],Grower)+COUNTIFS(Tbl_Responses[Potassium 2 - Type of test],Tbl_Q16_sampling35[[#Headers],[Exchangable Cations (Ca, Mg, K, Na)]],Tbl_Responses[Potassium 2 - How many representative samples per paddock],$CZ48,Tbl_Responses[[Resp_Group]:[Resp_Group]],Grower)+COUNTIFS(Tbl_Responses[Potassium 3 - Type of test],Tbl_Q16_sampling35[[#Headers],[Exchangable Cations (Ca, Mg, K, Na)]],Tbl_Responses[Potassium 3 - How many representative samples per paddock],$CZ48,Tbl_Responses[[Resp_Group]:[Resp_Group]],Grower))/(COUNTIFS(Tbl_Responses[Potassium 1 - Type of test],Tbl_Q16_sampling35[[#Headers],[Exchangable Cations (Ca, Mg, K, Na)]],Tbl_Responses[Potassium 1 - How many representative samples per paddock],"&gt;""",Tbl_Responses[[Resp_Group]:[Resp_Group]],Grower)+COUNTIFS(Tbl_Responses[Potassium 2 - Type of test],Tbl_Q16_sampling35[[#Headers],[Exchangable Cations (Ca, Mg, K, Na)]],Tbl_Responses[Potassium 2 - How many representative samples per paddock],"&gt;""",Tbl_Responses[[Resp_Group]:[Resp_Group]],Grower)+COUNTIFS(Tbl_Responses[Potassium 3 - Type of test],Tbl_Q16_sampling35[[#Headers],[Exchangable Cations (Ca, Mg, K, Na)]],Tbl_Responses[Potassium 3 - How many representative samples per paddock],"&gt;""",Tbl_Responses[[Resp_Group]:[Resp_Group]],Grower))</f>
        <v>0.16666666666666666</v>
      </c>
      <c r="DC48" s="69">
        <f>(COUNTIFS(Tbl_Responses[Potassium 1 - How many representative samples per paddock],$CZ48,Tbl_Responses[[Resp_Group]:[Resp_Group]],Grower)+COUNTIFS(Tbl_Responses[Potassium 2 - How many representative samples per paddock],$CZ48,Tbl_Responses[[Resp_Group]:[Resp_Group]],Grower)+COUNTIFS(Tbl_Responses[Potassium 3 - How many representative samples per paddock],$CZ48,Tbl_Responses[[Resp_Group]:[Resp_Group]],Grower))/(COUNTIFS(Tbl_Responses[Potassium 1 - How many representative samples per paddock],"&gt;""",Tbl_Responses[[Resp_Group]:[Resp_Group]],Grower)+COUNTIFS(Tbl_Responses[Potassium 2 - How many representative samples per paddock],"&gt;""",Tbl_Responses[[Resp_Group]:[Resp_Group]],Grower)+COUNTIFS(Tbl_Responses[Potassium 3 - How many representative samples per paddock],"&gt;""",Tbl_Responses[[Resp_Group]:[Resp_Group]],Grower))</f>
        <v>0.21428571428571427</v>
      </c>
      <c r="DD48" s="72"/>
      <c r="DE48" s="72"/>
      <c r="DF48" s="80" t="s">
        <v>186</v>
      </c>
      <c r="DG48" s="72">
        <f>(COUNTIFS(Tbl_Responses[1 - Type of test],DF48,Tbl_Responses[[Resp_Group]:[Resp_Group]],Grower)+COUNTIFS(Tbl_Responses[2 - Type of test],DF48,Tbl_Responses[[Resp_Group]:[Resp_Group]],Grower)+COUNTIFS(Tbl_Responses[3 - Type of test],DF48,Tbl_Responses[[Resp_Group]:[Resp_Group]],Grower)+COUNTIFS(Tbl_Responses[4 - Type of test],DF48,Tbl_Responses[[Resp_Group]:[Resp_Group]],Grower)+COUNTIFS(Tbl_Responses[5 - Type of test],DF48,Tbl_Responses[[Resp_Group]:[Resp_Group]],Grower))/(COUNTIFS(Tbl_Responses[1 - Type of test],"&gt;""",Tbl_Responses[[Resp_Group]:[Resp_Group]],Grower)+COUNTIFS(Tbl_Responses[2 - Type of test],"&gt;""",Tbl_Responses[[Resp_Group]:[Resp_Group]],Grower)+COUNTIFS(Tbl_Responses[3 - Type of test],"&gt;""",Tbl_Responses[[Resp_Group]:[Resp_Group]],Grower)+COUNTIFS(Tbl_Responses[4 - Type of test],"&gt;""",Tbl_Responses[[Resp_Group]:[Resp_Group]],Grower)+COUNTIFS(Tbl_Responses[5 - Type of test],"&gt;""",Tbl_Responses[[Resp_Group]:[Resp_Group]],Grower))</f>
        <v>0.25</v>
      </c>
      <c r="DH48" s="72"/>
      <c r="DI48" s="72"/>
      <c r="DJ48" s="74" t="s">
        <v>177</v>
      </c>
      <c r="DK48" s="66">
        <f>(COUNTIFS(Tbl_Responses[1 - Type of test],Tbl_Q17_sampling36[[#Headers],[pH]],Tbl_Responses[1 - How many cores per paddock],$DJ48,Tbl_Responses[[Resp_Group]:[Resp_Group]],Grower)+COUNTIFS(Tbl_Responses[2 - Type of test],Tbl_Q17_sampling36[[#Headers],[pH]],Tbl_Responses[2 - How many cores per paddock],$DJ48,Tbl_Responses[[Resp_Group]:[Resp_Group]],Grower)+COUNTIFS(Tbl_Responses[3 - Type of test],Tbl_Q17_sampling36[[#Headers],[pH]],Tbl_Responses[3 - How many cores per paddock],$DJ48,Tbl_Responses[[Resp_Group]:[Resp_Group]],Grower)+COUNTIFS(Tbl_Responses[4 - Type of test],Tbl_Q17_sampling36[[#Headers],[pH]],Tbl_Responses[4 - How many cores per paddock],$DJ48,Tbl_Responses[[Resp_Group]:[Resp_Group]],Grower)+COUNTIFS(Tbl_Responses[5 - Type of test],Tbl_Q17_sampling36[[#Headers],[pH]],Tbl_Responses[5 - How many cores per paddock],$DJ48,Tbl_Responses[[Resp_Group]:[Resp_Group]],Grower)+COUNTIFS(Tbl_Responses[6 - Type of test],Tbl_Q17_sampling36[[#Headers],[pH]],Tbl_Responses[6 - How many cores per paddock],$DJ48,Tbl_Responses[[Resp_Group]:[Resp_Group]],Grower)+COUNTIFS(Tbl_Responses[7 - Type of test],Tbl_Q17_sampling36[[#Headers],[pH]],Tbl_Responses[7 - How many cores per paddock],$DJ48,Tbl_Responses[[Resp_Group]:[Resp_Group]],Grower)+COUNTIFS(Tbl_Responses[8 - Type of test],Tbl_Q17_sampling36[[#Headers],[pH]],Tbl_Responses[8 - How many cores per paddock],$DJ48,Tbl_Responses[[Resp_Group]:[Resp_Group]],Grower))/(COUNTIFS(Tbl_Responses[1 - Type of test],Tbl_Q17_sampling36[[#Headers],[pH]],Tbl_Responses[1 - How many cores per paddock],"&gt;""",Tbl_Responses[[Resp_Group]:[Resp_Group]],Grower)+COUNTIFS(Tbl_Responses[2 - Type of test],Tbl_Q17_sampling36[[#Headers],[pH]],Tbl_Responses[2 - How many cores per paddock],"&gt;""",Tbl_Responses[[Resp_Group]:[Resp_Group]],Grower)+COUNTIFS(Tbl_Responses[3 - Type of test],Tbl_Q17_sampling36[[#Headers],[pH]],Tbl_Responses[3 - How many cores per paddock],"&gt;""",Tbl_Responses[[Resp_Group]:[Resp_Group]],Grower)+COUNTIFS(Tbl_Responses[4 - Type of test],Tbl_Q17_sampling36[[#Headers],[pH]],Tbl_Responses[4 - How many cores per paddock],"&gt;""",Tbl_Responses[[Resp_Group]:[Resp_Group]],Grower)+COUNTIFS(Tbl_Responses[5 - Type of test],Tbl_Q17_sampling36[[#Headers],[pH]],Tbl_Responses[5 - How many cores per paddock],"&gt;""",Tbl_Responses[[Resp_Group]:[Resp_Group]],Grower)+COUNTIFS(Tbl_Responses[6 - Type of test],Tbl_Q17_sampling36[[#Headers],[pH]],Tbl_Responses[6 - How many cores per paddock],"&gt;""",Tbl_Responses[[Resp_Group]:[Resp_Group]],Grower)+COUNTIFS(Tbl_Responses[7 - Type of test],Tbl_Q17_sampling36[[#Headers],[pH]],Tbl_Responses[7 - How many cores per paddock],"&gt;""",Tbl_Responses[[Resp_Group]:[Resp_Group]],Grower)+COUNTIFS(Tbl_Responses[8 - Type of test],Tbl_Q17_sampling36[[#Headers],[pH]],Tbl_Responses[8 - How many cores per paddock],"&gt;""",Tbl_Responses[[Resp_Group]:[Resp_Group]],Grower))</f>
        <v>0.41666666666666669</v>
      </c>
      <c r="DL48" s="60">
        <f>(COUNTIFS(Tbl_Responses[1 - Type of test],Tbl_Q17_sampling36[[#Headers],[Trace elements (DTPA) Cu, Zn, Mg, Fe]],Tbl_Responses[1 - How many cores per paddock],$DJ48,Tbl_Responses[[Resp_Group]:[Resp_Group]],Grower)+COUNTIFS(Tbl_Responses[2 - Type of test],Tbl_Q17_sampling36[[#Headers],[Trace elements (DTPA) Cu, Zn, Mg, Fe]],Tbl_Responses[2 - How many cores per paddock],$DJ48,Tbl_Responses[[Resp_Group]:[Resp_Group]],Grower)+COUNTIFS(Tbl_Responses[3 - Type of test],Tbl_Q17_sampling36[[#Headers],[Trace elements (DTPA) Cu, Zn, Mg, Fe]],Tbl_Responses[3 - How many cores per paddock],$DJ48,Tbl_Responses[[Resp_Group]:[Resp_Group]],Grower)+COUNTIFS(Tbl_Responses[4 - Type of test],Tbl_Q17_sampling36[[#Headers],[Trace elements (DTPA) Cu, Zn, Mg, Fe]],Tbl_Responses[4 - How many cores per paddock],$DJ48,Tbl_Responses[[Resp_Group]:[Resp_Group]],Grower)+COUNTIFS(Tbl_Responses[5 - Type of test],Tbl_Q17_sampling36[[#Headers],[Trace elements (DTPA) Cu, Zn, Mg, Fe]],Tbl_Responses[5 - How many cores per paddock],$DJ48,Tbl_Responses[[Resp_Group]:[Resp_Group]],Grower)+COUNTIFS(Tbl_Responses[6 - Type of test],Tbl_Q17_sampling36[[#Headers],[Trace elements (DTPA) Cu, Zn, Mg, Fe]],Tbl_Responses[6 - How many cores per paddock],$DJ48,Tbl_Responses[[Resp_Group]:[Resp_Group]],Grower)+COUNTIFS(Tbl_Responses[7 - Type of test],Tbl_Q17_sampling36[[#Headers],[Trace elements (DTPA) Cu, Zn, Mg, Fe]],Tbl_Responses[7 - How many cores per paddock],$DJ48,Tbl_Responses[[Resp_Group]:[Resp_Group]],Grower)+COUNTIFS(Tbl_Responses[8 - Type of test],Tbl_Q17_sampling36[[#Headers],[Trace elements (DTPA) Cu, Zn, Mg, Fe]],Tbl_Responses[8 - How many cores per paddock],$DJ48,Tbl_Responses[[Resp_Group]:[Resp_Group]],Grower))/(COUNTIFS(Tbl_Responses[1 - Type of test],Tbl_Q17_sampling36[[#Headers],[Trace elements (DTPA) Cu, Zn, Mg, Fe]],Tbl_Responses[1 - How many cores per paddock],"&gt;""",Tbl_Responses[[Resp_Group]:[Resp_Group]],Grower)+COUNTIFS(Tbl_Responses[2 - Type of test],Tbl_Q17_sampling36[[#Headers],[Trace elements (DTPA) Cu, Zn, Mg, Fe]],Tbl_Responses[2 - How many cores per paddock],"&gt;""",Tbl_Responses[[Resp_Group]:[Resp_Group]],Grower)+COUNTIFS(Tbl_Responses[3 - Type of test],Tbl_Q17_sampling36[[#Headers],[Trace elements (DTPA) Cu, Zn, Mg, Fe]],Tbl_Responses[3 - How many cores per paddock],"&gt;""",Tbl_Responses[[Resp_Group]:[Resp_Group]],Grower)+COUNTIFS(Tbl_Responses[4 - Type of test],Tbl_Q17_sampling36[[#Headers],[Trace elements (DTPA) Cu, Zn, Mg, Fe]],Tbl_Responses[4 - How many cores per paddock],"&gt;""",Tbl_Responses[[Resp_Group]:[Resp_Group]],Grower)+COUNTIFS(Tbl_Responses[5 - Type of test],Tbl_Q17_sampling36[[#Headers],[Trace elements (DTPA) Cu, Zn, Mg, Fe]],Tbl_Responses[5 - How many cores per paddock],"&gt;""",Tbl_Responses[[Resp_Group]:[Resp_Group]],Grower)+COUNTIFS(Tbl_Responses[6 - Type of test],Tbl_Q17_sampling36[[#Headers],[Trace elements (DTPA) Cu, Zn, Mg, Fe]],Tbl_Responses[6 - How many cores per paddock],"&gt;""",Tbl_Responses[[Resp_Group]:[Resp_Group]],Grower)+COUNTIFS(Tbl_Responses[7 - Type of test],Tbl_Q17_sampling36[[#Headers],[Trace elements (DTPA) Cu, Zn, Mg, Fe]],Tbl_Responses[7 - How many cores per paddock],"&gt;""",Tbl_Responses[[Resp_Group]:[Resp_Group]],Grower)+COUNTIFS(Tbl_Responses[8 - Type of test],Tbl_Q17_sampling36[[#Headers],[Trace elements (DTPA) Cu, Zn, Mg, Fe]],Tbl_Responses[8 - How many cores per paddock],"&gt;""",Tbl_Responses[[Resp_Group]:[Resp_Group]],Grower))</f>
        <v>0.53846153846153844</v>
      </c>
      <c r="DM48" s="60">
        <f>(COUNTIFS(Tbl_Responses[1 - Type of test],Tbl_Q17_sampling36[[#Headers],[Trace elements (EDTA) Cu, Zn, Mg, Fe]],Tbl_Responses[1 - How many cores per paddock],$DJ48,Tbl_Responses[[Resp_Group]:[Resp_Group]],Grower)+COUNTIFS(Tbl_Responses[2 - Type of test],Tbl_Q17_sampling36[[#Headers],[Trace elements (EDTA) Cu, Zn, Mg, Fe]],Tbl_Responses[2 - How many cores per paddock],$DJ48,Tbl_Responses[[Resp_Group]:[Resp_Group]],Grower)+COUNTIFS(Tbl_Responses[3 - Type of test],Tbl_Q17_sampling36[[#Headers],[Trace elements (EDTA) Cu, Zn, Mg, Fe]],Tbl_Responses[3 - How many cores per paddock],$DJ48,Tbl_Responses[[Resp_Group]:[Resp_Group]],Grower)+COUNTIFS(Tbl_Responses[4 - Type of test],Tbl_Q17_sampling36[[#Headers],[Trace elements (EDTA) Cu, Zn, Mg, Fe]],Tbl_Responses[4 - How many cores per paddock],$DJ48,Tbl_Responses[[Resp_Group]:[Resp_Group]],Grower)+COUNTIFS(Tbl_Responses[5 - Type of test],Tbl_Q17_sampling36[[#Headers],[Trace elements (EDTA) Cu, Zn, Mg, Fe]],Tbl_Responses[5 - How many cores per paddock],$DJ48,Tbl_Responses[[Resp_Group]:[Resp_Group]],Grower)+COUNTIFS(Tbl_Responses[6 - Type of test],Tbl_Q17_sampling36[[#Headers],[Trace elements (EDTA) Cu, Zn, Mg, Fe]],Tbl_Responses[6 - How many cores per paddock],$DJ48,Tbl_Responses[[Resp_Group]:[Resp_Group]],Grower)+COUNTIFS(Tbl_Responses[7 - Type of test],Tbl_Q17_sampling36[[#Headers],[Trace elements (EDTA) Cu, Zn, Mg, Fe]],Tbl_Responses[7 - How many cores per paddock],$DJ48,Tbl_Responses[[Resp_Group]:[Resp_Group]],Grower)+COUNTIFS(Tbl_Responses[8 - Type of test],Tbl_Q17_sampling36[[#Headers],[Trace elements (EDTA) Cu, Zn, Mg, Fe]],Tbl_Responses[8 - How many cores per paddock],$DJ48,Tbl_Responses[[Resp_Group]:[Resp_Group]],Grower))/(COUNTIFS(Tbl_Responses[1 - Type of test],Tbl_Q17_sampling36[[#Headers],[Trace elements (EDTA) Cu, Zn, Mg, Fe]],Tbl_Responses[1 - How many cores per paddock],"&gt;""",Tbl_Responses[[Resp_Group]:[Resp_Group]],Grower)+COUNTIFS(Tbl_Responses[2 - Type of test],Tbl_Q17_sampling36[[#Headers],[Trace elements (EDTA) Cu, Zn, Mg, Fe]],Tbl_Responses[2 - How many cores per paddock],"&gt;""",Tbl_Responses[[Resp_Group]:[Resp_Group]],Grower)+COUNTIFS(Tbl_Responses[3 - Type of test],Tbl_Q17_sampling36[[#Headers],[Trace elements (EDTA) Cu, Zn, Mg, Fe]],Tbl_Responses[3 - How many cores per paddock],"&gt;""",Tbl_Responses[[Resp_Group]:[Resp_Group]],Grower)+COUNTIFS(Tbl_Responses[4 - Type of test],Tbl_Q17_sampling36[[#Headers],[Trace elements (EDTA) Cu, Zn, Mg, Fe]],Tbl_Responses[4 - How many cores per paddock],"&gt;""",Tbl_Responses[[Resp_Group]:[Resp_Group]],Grower)+COUNTIFS(Tbl_Responses[5 - Type of test],Tbl_Q17_sampling36[[#Headers],[Trace elements (EDTA) Cu, Zn, Mg, Fe]],Tbl_Responses[5 - How many cores per paddock],"&gt;""",Tbl_Responses[[Resp_Group]:[Resp_Group]],Grower)+COUNTIFS(Tbl_Responses[6 - Type of test],Tbl_Q17_sampling36[[#Headers],[Trace elements (EDTA) Cu, Zn, Mg, Fe]],Tbl_Responses[6 - How many cores per paddock],"&gt;""",Tbl_Responses[[Resp_Group]:[Resp_Group]],Grower)+COUNTIFS(Tbl_Responses[7 - Type of test],Tbl_Q17_sampling36[[#Headers],[Trace elements (EDTA) Cu, Zn, Mg, Fe]],Tbl_Responses[7 - How many cores per paddock],"&gt;""",Tbl_Responses[[Resp_Group]:[Resp_Group]],Grower)+COUNTIFS(Tbl_Responses[8 - Type of test],Tbl_Q17_sampling36[[#Headers],[Trace elements (EDTA) Cu, Zn, Mg, Fe]],Tbl_Responses[8 - How many cores per paddock],"&gt;""",Tbl_Responses[[Resp_Group]:[Resp_Group]],Grower))</f>
        <v>1</v>
      </c>
      <c r="DN48" s="60">
        <f>(COUNTIFS(Tbl_Responses[1 - Type of test],Tbl_Q17_sampling36[[#Headers],[Exchangable cations - Ca, Mg, Na, K]],Tbl_Responses[1 - How many cores per paddock],$DJ48,Tbl_Responses[[Resp_Group]:[Resp_Group]],Grower)+COUNTIFS(Tbl_Responses[2 - Type of test],Tbl_Q17_sampling36[[#Headers],[Exchangable cations - Ca, Mg, Na, K]],Tbl_Responses[2 - How many cores per paddock],$DJ48,Tbl_Responses[[Resp_Group]:[Resp_Group]],Grower)+COUNTIFS(Tbl_Responses[3 - Type of test],Tbl_Q17_sampling36[[#Headers],[Exchangable cations - Ca, Mg, Na, K]],Tbl_Responses[3 - How many cores per paddock],$DJ48,Tbl_Responses[[Resp_Group]:[Resp_Group]],Grower)+COUNTIFS(Tbl_Responses[4 - Type of test],Tbl_Q17_sampling36[[#Headers],[Exchangable cations - Ca, Mg, Na, K]],Tbl_Responses[4 - How many cores per paddock],$DJ48,Tbl_Responses[[Resp_Group]:[Resp_Group]],Grower)+COUNTIFS(Tbl_Responses[5 - Type of test],Tbl_Q17_sampling36[[#Headers],[Exchangable cations - Ca, Mg, Na, K]],Tbl_Responses[5 - How many cores per paddock],$DJ48,Tbl_Responses[[Resp_Group]:[Resp_Group]],Grower)+COUNTIFS(Tbl_Responses[6 - Type of test],Tbl_Q17_sampling36[[#Headers],[Exchangable cations - Ca, Mg, Na, K]],Tbl_Responses[6 - How many cores per paddock],$DJ48,Tbl_Responses[[Resp_Group]:[Resp_Group]],Grower)+COUNTIFS(Tbl_Responses[7 - Type of test],Tbl_Q17_sampling36[[#Headers],[Exchangable cations - Ca, Mg, Na, K]],Tbl_Responses[7 - How many cores per paddock],$DJ48,Tbl_Responses[[Resp_Group]:[Resp_Group]],Grower)+COUNTIFS(Tbl_Responses[8 - Type of test],Tbl_Q17_sampling36[[#Headers],[Exchangable cations - Ca, Mg, Na, K]],Tbl_Responses[8 - How many cores per paddock],$DJ48,Tbl_Responses[[Resp_Group]:[Resp_Group]],Grower))/(COUNTIFS(Tbl_Responses[1 - Type of test],Tbl_Q17_sampling36[[#Headers],[Exchangable cations - Ca, Mg, Na, K]],Tbl_Responses[1 - How many cores per paddock],"&gt;""",Tbl_Responses[[Resp_Group]:[Resp_Group]],Grower)+COUNTIFS(Tbl_Responses[2 - Type of test],Tbl_Q17_sampling36[[#Headers],[Exchangable cations - Ca, Mg, Na, K]],Tbl_Responses[2 - How many cores per paddock],"&gt;""",Tbl_Responses[[Resp_Group]:[Resp_Group]],Grower)+COUNTIFS(Tbl_Responses[3 - Type of test],Tbl_Q17_sampling36[[#Headers],[Exchangable cations - Ca, Mg, Na, K]],Tbl_Responses[3 - How many cores per paddock],"&gt;""",Tbl_Responses[[Resp_Group]:[Resp_Group]],Grower)+COUNTIFS(Tbl_Responses[4 - Type of test],Tbl_Q17_sampling36[[#Headers],[Exchangable cations - Ca, Mg, Na, K]],Tbl_Responses[4 - How many cores per paddock],"&gt;""",Tbl_Responses[[Resp_Group]:[Resp_Group]],Grower)+COUNTIFS(Tbl_Responses[5 - Type of test],Tbl_Q17_sampling36[[#Headers],[Exchangable cations - Ca, Mg, Na, K]],Tbl_Responses[5 - How many cores per paddock],"&gt;""",Tbl_Responses[[Resp_Group]:[Resp_Group]],Grower)+COUNTIFS(Tbl_Responses[6 - Type of test],Tbl_Q17_sampling36[[#Headers],[Exchangable cations - Ca, Mg, Na, K]],Tbl_Responses[6 - How many cores per paddock],"&gt;""",Tbl_Responses[[Resp_Group]:[Resp_Group]],Grower)+COUNTIFS(Tbl_Responses[7 - Type of test],Tbl_Q17_sampling36[[#Headers],[Exchangable cations - Ca, Mg, Na, K]],Tbl_Responses[7 - How many cores per paddock],"&gt;""",Tbl_Responses[[Resp_Group]:[Resp_Group]],Grower)+COUNTIFS(Tbl_Responses[8 - Type of test],Tbl_Q17_sampling36[[#Headers],[Exchangable cations - Ca, Mg, Na, K]],Tbl_Responses[8 - How many cores per paddock],"&gt;""",Tbl_Responses[[Resp_Group]:[Resp_Group]],Grower))</f>
        <v>0.25</v>
      </c>
      <c r="DO48" s="60">
        <f>(COUNTIFS(Tbl_Responses[1 - Type of test],Tbl_Q17_sampling36[[#Headers],[Texture]],Tbl_Responses[1 - How many cores per paddock],$DJ48,Tbl_Responses[[Resp_Group]:[Resp_Group]],Grower)+COUNTIFS(Tbl_Responses[2 - Type of test],Tbl_Q17_sampling36[[#Headers],[Texture]],Tbl_Responses[2 - How many cores per paddock],$DJ48,Tbl_Responses[[Resp_Group]:[Resp_Group]],Grower)+COUNTIFS(Tbl_Responses[3 - Type of test],Tbl_Q17_sampling36[[#Headers],[Texture]],Tbl_Responses[3 - How many cores per paddock],$DJ48,Tbl_Responses[[Resp_Group]:[Resp_Group]],Grower)+COUNTIFS(Tbl_Responses[4 - Type of test],Tbl_Q17_sampling36[[#Headers],[Texture]],Tbl_Responses[4 - How many cores per paddock],$DJ48,Tbl_Responses[[Resp_Group]:[Resp_Group]],Grower)+COUNTIFS(Tbl_Responses[5 - Type of test],Tbl_Q17_sampling36[[#Headers],[Texture]],Tbl_Responses[5 - How many cores per paddock],$DJ48,Tbl_Responses[[Resp_Group]:[Resp_Group]],Grower)+COUNTIFS(Tbl_Responses[6 - Type of test],Tbl_Q17_sampling36[[#Headers],[Texture]],Tbl_Responses[6 - How many cores per paddock],$DJ48,Tbl_Responses[[Resp_Group]:[Resp_Group]],Grower)+COUNTIFS(Tbl_Responses[7 - Type of test],Tbl_Q17_sampling36[[#Headers],[Texture]],Tbl_Responses[7 - How many cores per paddock],$DJ48,Tbl_Responses[[Resp_Group]:[Resp_Group]],Grower)+COUNTIFS(Tbl_Responses[8 - Type of test],Tbl_Q17_sampling36[[#Headers],[Texture]],Tbl_Responses[8 - How many cores per paddock],$DJ48,Tbl_Responses[[Resp_Group]:[Resp_Group]],Grower))/(COUNTIFS(Tbl_Responses[1 - Type of test],Tbl_Q17_sampling36[[#Headers],[Texture]],Tbl_Responses[1 - How many cores per paddock],"&gt;""",Tbl_Responses[[Resp_Group]:[Resp_Group]],Grower)+COUNTIFS(Tbl_Responses[2 - Type of test],Tbl_Q17_sampling36[[#Headers],[Texture]],Tbl_Responses[2 - How many cores per paddock],"&gt;""",Tbl_Responses[[Resp_Group]:[Resp_Group]],Grower)+COUNTIFS(Tbl_Responses[3 - Type of test],Tbl_Q17_sampling36[[#Headers],[Texture]],Tbl_Responses[3 - How many cores per paddock],"&gt;""",Tbl_Responses[[Resp_Group]:[Resp_Group]],Grower)+COUNTIFS(Tbl_Responses[4 - Type of test],Tbl_Q17_sampling36[[#Headers],[Texture]],Tbl_Responses[4 - How many cores per paddock],"&gt;""",Tbl_Responses[[Resp_Group]:[Resp_Group]],Grower)+COUNTIFS(Tbl_Responses[5 - Type of test],Tbl_Q17_sampling36[[#Headers],[Texture]],Tbl_Responses[5 - How many cores per paddock],"&gt;""",Tbl_Responses[[Resp_Group]:[Resp_Group]],Grower)+COUNTIFS(Tbl_Responses[6 - Type of test],Tbl_Q17_sampling36[[#Headers],[Texture]],Tbl_Responses[6 - How many cores per paddock],"&gt;""",Tbl_Responses[[Resp_Group]:[Resp_Group]],Grower)+COUNTIFS(Tbl_Responses[7 - Type of test],Tbl_Q17_sampling36[[#Headers],[Texture]],Tbl_Responses[7 - How many cores per paddock],"&gt;""",Tbl_Responses[[Resp_Group]:[Resp_Group]],Grower)+COUNTIFS(Tbl_Responses[8 - Type of test],Tbl_Q17_sampling36[[#Headers],[Texture]],Tbl_Responses[8 - How many cores per paddock],"&gt;""",Tbl_Responses[[Resp_Group]:[Resp_Group]],Grower))</f>
        <v>0.16666666666666666</v>
      </c>
      <c r="DP48" s="60">
        <f>(COUNTIFS(Tbl_Responses[1 - Type of test],Tbl_Q17_sampling36[[#Headers],[Aluminium (CaCl2)]],Tbl_Responses[1 - How many cores per paddock],$DJ48,Tbl_Responses[[Resp_Group]:[Resp_Group]],Grower)+COUNTIFS(Tbl_Responses[2 - Type of test],Tbl_Q17_sampling36[[#Headers],[Aluminium (CaCl2)]],Tbl_Responses[2 - How many cores per paddock],$DJ48,Tbl_Responses[[Resp_Group]:[Resp_Group]],Grower)+COUNTIFS(Tbl_Responses[3 - Type of test],Tbl_Q17_sampling36[[#Headers],[Aluminium (CaCl2)]],Tbl_Responses[3 - How many cores per paddock],$DJ48,Tbl_Responses[[Resp_Group]:[Resp_Group]],Grower)+COUNTIFS(Tbl_Responses[4 - Type of test],Tbl_Q17_sampling36[[#Headers],[Aluminium (CaCl2)]],Tbl_Responses[4 - How many cores per paddock],$DJ48,Tbl_Responses[[Resp_Group]:[Resp_Group]],Grower)+COUNTIFS(Tbl_Responses[5 - Type of test],Tbl_Q17_sampling36[[#Headers],[Aluminium (CaCl2)]],Tbl_Responses[5 - How many cores per paddock],$DJ48,Tbl_Responses[[Resp_Group]:[Resp_Group]],Grower)+COUNTIFS(Tbl_Responses[6 - Type of test],Tbl_Q17_sampling36[[#Headers],[Aluminium (CaCl2)]],Tbl_Responses[6 - How many cores per paddock],$DJ48,Tbl_Responses[[Resp_Group]:[Resp_Group]],Grower)+COUNTIFS(Tbl_Responses[7 - Type of test],Tbl_Q17_sampling36[[#Headers],[Aluminium (CaCl2)]],Tbl_Responses[7 - How many cores per paddock],$DJ48,Tbl_Responses[[Resp_Group]:[Resp_Group]],Grower)+COUNTIFS(Tbl_Responses[8 - Type of test],Tbl_Q17_sampling36[[#Headers],[Aluminium (CaCl2)]],Tbl_Responses[8 - How many cores per paddock],$DJ48,Tbl_Responses[[Resp_Group]:[Resp_Group]],Grower))/(COUNTIFS(Tbl_Responses[1 - Type of test],Tbl_Q17_sampling36[[#Headers],[Aluminium (CaCl2)]],Tbl_Responses[1 - How many cores per paddock],"&gt;""",Tbl_Responses[[Resp_Group]:[Resp_Group]],Grower)+COUNTIFS(Tbl_Responses[2 - Type of test],Tbl_Q17_sampling36[[#Headers],[Aluminium (CaCl2)]],Tbl_Responses[2 - How many cores per paddock],"&gt;""",Tbl_Responses[[Resp_Group]:[Resp_Group]],Grower)+COUNTIFS(Tbl_Responses[3 - Type of test],Tbl_Q17_sampling36[[#Headers],[Aluminium (CaCl2)]],Tbl_Responses[3 - How many cores per paddock],"&gt;""",Tbl_Responses[[Resp_Group]:[Resp_Group]],Grower)+COUNTIFS(Tbl_Responses[4 - Type of test],Tbl_Q17_sampling36[[#Headers],[Aluminium (CaCl2)]],Tbl_Responses[4 - How many cores per paddock],"&gt;""",Tbl_Responses[[Resp_Group]:[Resp_Group]],Grower)+COUNTIFS(Tbl_Responses[5 - Type of test],Tbl_Q17_sampling36[[#Headers],[Aluminium (CaCl2)]],Tbl_Responses[5 - How many cores per paddock],"&gt;""",Tbl_Responses[[Resp_Group]:[Resp_Group]],Grower)+COUNTIFS(Tbl_Responses[6 - Type of test],Tbl_Q17_sampling36[[#Headers],[Aluminium (CaCl2)]],Tbl_Responses[6 - How many cores per paddock],"&gt;""",Tbl_Responses[[Resp_Group]:[Resp_Group]],Grower)+COUNTIFS(Tbl_Responses[7 - Type of test],Tbl_Q17_sampling36[[#Headers],[Aluminium (CaCl2)]],Tbl_Responses[7 - How many cores per paddock],"&gt;""",Tbl_Responses[[Resp_Group]:[Resp_Group]],Grower)+COUNTIFS(Tbl_Responses[8 - Type of test],Tbl_Q17_sampling36[[#Headers],[Aluminium (CaCl2)]],Tbl_Responses[8 - How many cores per paddock],"&gt;""",Tbl_Responses[[Resp_Group]:[Resp_Group]],Grower))</f>
        <v>0.25</v>
      </c>
      <c r="DQ48" s="60">
        <f>(COUNTIFS(Tbl_Responses[1 - Type of test],Tbl_Q17_sampling36[[#Headers],[Chloride]],Tbl_Responses[1 - How many cores per paddock],$DJ48,Tbl_Responses[[Resp_Group]:[Resp_Group]],Grower)+COUNTIFS(Tbl_Responses[2 - Type of test],Tbl_Q17_sampling36[[#Headers],[Chloride]],Tbl_Responses[2 - How many cores per paddock],$DJ48,Tbl_Responses[[Resp_Group]:[Resp_Group]],Grower)+COUNTIFS(Tbl_Responses[3 - Type of test],Tbl_Q17_sampling36[[#Headers],[Chloride]],Tbl_Responses[3 - How many cores per paddock],$DJ48,Tbl_Responses[[Resp_Group]:[Resp_Group]],Grower)+COUNTIFS(Tbl_Responses[4 - Type of test],Tbl_Q17_sampling36[[#Headers],[Chloride]],Tbl_Responses[4 - How many cores per paddock],$DJ48,Tbl_Responses[[Resp_Group]:[Resp_Group]],Grower)+COUNTIFS(Tbl_Responses[5 - Type of test],Tbl_Q17_sampling36[[#Headers],[Chloride]],Tbl_Responses[5 - How many cores per paddock],$DJ48,Tbl_Responses[[Resp_Group]:[Resp_Group]],Grower)+COUNTIFS(Tbl_Responses[6 - Type of test],Tbl_Q17_sampling36[[#Headers],[Chloride]],Tbl_Responses[6 - How many cores per paddock],$DJ48,Tbl_Responses[[Resp_Group]:[Resp_Group]],Grower)+COUNTIFS(Tbl_Responses[7 - Type of test],Tbl_Q17_sampling36[[#Headers],[Chloride]],Tbl_Responses[7 - How many cores per paddock],$DJ48,Tbl_Responses[[Resp_Group]:[Resp_Group]],Grower)+COUNTIFS(Tbl_Responses[8 - Type of test],Tbl_Q17_sampling36[[#Headers],[Chloride]],Tbl_Responses[8 - How many cores per paddock],$DJ48,Tbl_Responses[[Resp_Group]:[Resp_Group]],Grower))/(COUNTIFS(Tbl_Responses[1 - Type of test],Tbl_Q17_sampling36[[#Headers],[Chloride]],Tbl_Responses[1 - How many cores per paddock],"&gt;""",Tbl_Responses[[Resp_Group]:[Resp_Group]],Grower)+COUNTIFS(Tbl_Responses[2 - Type of test],Tbl_Q17_sampling36[[#Headers],[Chloride]],Tbl_Responses[2 - How many cores per paddock],"&gt;""",Tbl_Responses[[Resp_Group]:[Resp_Group]],Grower)+COUNTIFS(Tbl_Responses[3 - Type of test],Tbl_Q17_sampling36[[#Headers],[Chloride]],Tbl_Responses[3 - How many cores per paddock],"&gt;""",Tbl_Responses[[Resp_Group]:[Resp_Group]],Grower)+COUNTIFS(Tbl_Responses[4 - Type of test],Tbl_Q17_sampling36[[#Headers],[Chloride]],Tbl_Responses[4 - How many cores per paddock],"&gt;""",Tbl_Responses[[Resp_Group]:[Resp_Group]],Grower)+COUNTIFS(Tbl_Responses[5 - Type of test],Tbl_Q17_sampling36[[#Headers],[Chloride]],Tbl_Responses[5 - How many cores per paddock],"&gt;""",Tbl_Responses[[Resp_Group]:[Resp_Group]],Grower)+COUNTIFS(Tbl_Responses[6 - Type of test],Tbl_Q17_sampling36[[#Headers],[Chloride]],Tbl_Responses[6 - How many cores per paddock],"&gt;""",Tbl_Responses[[Resp_Group]:[Resp_Group]],Grower)+COUNTIFS(Tbl_Responses[7 - Type of test],Tbl_Q17_sampling36[[#Headers],[Chloride]],Tbl_Responses[7 - How many cores per paddock],"&gt;""",Tbl_Responses[[Resp_Group]:[Resp_Group]],Grower)+COUNTIFS(Tbl_Responses[8 - Type of test],Tbl_Q17_sampling36[[#Headers],[Chloride]],Tbl_Responses[8 - How many cores per paddock],"&gt;""",Tbl_Responses[[Resp_Group]:[Resp_Group]],Grower))</f>
        <v>0.33333333333333331</v>
      </c>
      <c r="DR48" s="60">
        <f>(COUNTIFS(Tbl_Responses[1 - Type of test],Tbl_Q17_sampling36[[#Headers],[Boron]],Tbl_Responses[1 - How many cores per paddock],$DJ48,Tbl_Responses[[Resp_Group]:[Resp_Group]],Grower)+COUNTIFS(Tbl_Responses[2 - Type of test],Tbl_Q17_sampling36[[#Headers],[Boron]],Tbl_Responses[2 - How many cores per paddock],$DJ48,Tbl_Responses[[Resp_Group]:[Resp_Group]],Grower)+COUNTIFS(Tbl_Responses[3 - Type of test],Tbl_Q17_sampling36[[#Headers],[Boron]],Tbl_Responses[3 - How many cores per paddock],$DJ48,Tbl_Responses[[Resp_Group]:[Resp_Group]],Grower)+COUNTIFS(Tbl_Responses[4 - Type of test],Tbl_Q17_sampling36[[#Headers],[Boron]],Tbl_Responses[4 - How many cores per paddock],$DJ48,Tbl_Responses[[Resp_Group]:[Resp_Group]],Grower)+COUNTIFS(Tbl_Responses[5 - Type of test],Tbl_Q17_sampling36[[#Headers],[Boron]],Tbl_Responses[5 - How many cores per paddock],$DJ48,Tbl_Responses[[Resp_Group]:[Resp_Group]],Grower)+COUNTIFS(Tbl_Responses[6 - Type of test],Tbl_Q17_sampling36[[#Headers],[Boron]],Tbl_Responses[6 - How many cores per paddock],$DJ48,Tbl_Responses[[Resp_Group]:[Resp_Group]],Grower)+COUNTIFS(Tbl_Responses[7 - Type of test],Tbl_Q17_sampling36[[#Headers],[Boron]],Tbl_Responses[7 - How many cores per paddock],$DJ48,Tbl_Responses[[Resp_Group]:[Resp_Group]],Grower)+COUNTIFS(Tbl_Responses[8 - Type of test],Tbl_Q17_sampling36[[#Headers],[Boron]],Tbl_Responses[8 - How many cores per paddock],$DJ48,Tbl_Responses[[Resp_Group]:[Resp_Group]],Grower))/(COUNTIFS(Tbl_Responses[1 - Type of test],Tbl_Q17_sampling36[[#Headers],[Boron]],Tbl_Responses[1 - How many cores per paddock],"&gt;""",Tbl_Responses[[Resp_Group]:[Resp_Group]],Grower)+COUNTIFS(Tbl_Responses[2 - Type of test],Tbl_Q17_sampling36[[#Headers],[Boron]],Tbl_Responses[2 - How many cores per paddock],"&gt;""",Tbl_Responses[[Resp_Group]:[Resp_Group]],Grower)+COUNTIFS(Tbl_Responses[3 - Type of test],Tbl_Q17_sampling36[[#Headers],[Boron]],Tbl_Responses[3 - How many cores per paddock],"&gt;""",Tbl_Responses[[Resp_Group]:[Resp_Group]],Grower)+COUNTIFS(Tbl_Responses[4 - Type of test],Tbl_Q17_sampling36[[#Headers],[Boron]],Tbl_Responses[4 - How many cores per paddock],"&gt;""",Tbl_Responses[[Resp_Group]:[Resp_Group]],Grower)+COUNTIFS(Tbl_Responses[5 - Type of test],Tbl_Q17_sampling36[[#Headers],[Boron]],Tbl_Responses[5 - How many cores per paddock],"&gt;""",Tbl_Responses[[Resp_Group]:[Resp_Group]],Grower)+COUNTIFS(Tbl_Responses[6 - Type of test],Tbl_Q17_sampling36[[#Headers],[Boron]],Tbl_Responses[6 - How many cores per paddock],"&gt;""",Tbl_Responses[[Resp_Group]:[Resp_Group]],Grower)+COUNTIFS(Tbl_Responses[7 - Type of test],Tbl_Q17_sampling36[[#Headers],[Boron]],Tbl_Responses[7 - How many cores per paddock],"&gt;""",Tbl_Responses[[Resp_Group]:[Resp_Group]],Grower)+COUNTIFS(Tbl_Responses[8 - Type of test],Tbl_Q17_sampling36[[#Headers],[Boron]],Tbl_Responses[8 - How many cores per paddock],"&gt;""",Tbl_Responses[[Resp_Group]:[Resp_Group]],Grower))</f>
        <v>0.42857142857142855</v>
      </c>
      <c r="DS48" s="60">
        <f>(COUNTIFS(Tbl_Responses[1 - Type of test],Tbl_Q17_sampling36[[#Headers],[Sulfur (KCl40)]],Tbl_Responses[1 - How many cores per paddock],$DJ48,Tbl_Responses[[Resp_Group]:[Resp_Group]],Grower)+COUNTIFS(Tbl_Responses[2 - Type of test],Tbl_Q17_sampling36[[#Headers],[Sulfur (KCl40)]],Tbl_Responses[2 - How many cores per paddock],$DJ48,Tbl_Responses[[Resp_Group]:[Resp_Group]],Grower)+COUNTIFS(Tbl_Responses[3 - Type of test],Tbl_Q17_sampling36[[#Headers],[Sulfur (KCl40)]],Tbl_Responses[3 - How many cores per paddock],$DJ48,Tbl_Responses[[Resp_Group]:[Resp_Group]],Grower)+COUNTIFS(Tbl_Responses[4 - Type of test],Tbl_Q17_sampling36[[#Headers],[Sulfur (KCl40)]],Tbl_Responses[4 - How many cores per paddock],$DJ48,Tbl_Responses[[Resp_Group]:[Resp_Group]],Grower)+COUNTIFS(Tbl_Responses[5 - Type of test],Tbl_Q17_sampling36[[#Headers],[Sulfur (KCl40)]],Tbl_Responses[5 - How many cores per paddock],$DJ48,Tbl_Responses[[Resp_Group]:[Resp_Group]],Grower)+COUNTIFS(Tbl_Responses[6 - Type of test],Tbl_Q17_sampling36[[#Headers],[Sulfur (KCl40)]],Tbl_Responses[6 - How many cores per paddock],$DJ48,Tbl_Responses[[Resp_Group]:[Resp_Group]],Grower)+COUNTIFS(Tbl_Responses[7 - Type of test],Tbl_Q17_sampling36[[#Headers],[Sulfur (KCl40)]],Tbl_Responses[7 - How many cores per paddock],$DJ48,Tbl_Responses[[Resp_Group]:[Resp_Group]],Grower)+COUNTIFS(Tbl_Responses[8 - Type of test],Tbl_Q17_sampling36[[#Headers],[Sulfur (KCl40)]],Tbl_Responses[8 - How many cores per paddock],$DJ48,Tbl_Responses[[Resp_Group]:[Resp_Group]],Grower))/(COUNTIFS(Tbl_Responses[1 - Type of test],Tbl_Q17_sampling36[[#Headers],[Sulfur (KCl40)]],Tbl_Responses[1 - How many cores per paddock],"&gt;""",Tbl_Responses[[Resp_Group]:[Resp_Group]],Grower)+COUNTIFS(Tbl_Responses[2 - Type of test],Tbl_Q17_sampling36[[#Headers],[Sulfur (KCl40)]],Tbl_Responses[2 - How many cores per paddock],"&gt;""",Tbl_Responses[[Resp_Group]:[Resp_Group]],Grower)+COUNTIFS(Tbl_Responses[3 - Type of test],Tbl_Q17_sampling36[[#Headers],[Sulfur (KCl40)]],Tbl_Responses[3 - How many cores per paddock],"&gt;""",Tbl_Responses[[Resp_Group]:[Resp_Group]],Grower)+COUNTIFS(Tbl_Responses[4 - Type of test],Tbl_Q17_sampling36[[#Headers],[Sulfur (KCl40)]],Tbl_Responses[4 - How many cores per paddock],"&gt;""",Tbl_Responses[[Resp_Group]:[Resp_Group]],Grower)+COUNTIFS(Tbl_Responses[5 - Type of test],Tbl_Q17_sampling36[[#Headers],[Sulfur (KCl40)]],Tbl_Responses[5 - How many cores per paddock],"&gt;""",Tbl_Responses[[Resp_Group]:[Resp_Group]],Grower)+COUNTIFS(Tbl_Responses[6 - Type of test],Tbl_Q17_sampling36[[#Headers],[Sulfur (KCl40)]],Tbl_Responses[6 - How many cores per paddock],"&gt;""",Tbl_Responses[[Resp_Group]:[Resp_Group]],Grower)+COUNTIFS(Tbl_Responses[7 - Type of test],Tbl_Q17_sampling36[[#Headers],[Sulfur (KCl40)]],Tbl_Responses[7 - How many cores per paddock],"&gt;""",Tbl_Responses[[Resp_Group]:[Resp_Group]],Grower)+COUNTIFS(Tbl_Responses[8 - Type of test],Tbl_Q17_sampling36[[#Headers],[Sulfur (KCl40)]],Tbl_Responses[8 - How many cores per paddock],"&gt;""",Tbl_Responses[[Resp_Group]:[Resp_Group]],Grower))</f>
        <v>0.25</v>
      </c>
      <c r="DT48" s="60">
        <f>(COUNTIFS(Tbl_Responses[1 - Type of test],Tbl_Q17_sampling36[[#Headers],[Calcium carbonate %]],Tbl_Responses[1 - How many cores per paddock],$DJ48,Tbl_Responses[[Resp_Group]:[Resp_Group]],Grower)+COUNTIFS(Tbl_Responses[2 - Type of test],Tbl_Q17_sampling36[[#Headers],[Calcium carbonate %]],Tbl_Responses[2 - How many cores per paddock],$DJ48,Tbl_Responses[[Resp_Group]:[Resp_Group]],Grower)+COUNTIFS(Tbl_Responses[3 - Type of test],Tbl_Q17_sampling36[[#Headers],[Calcium carbonate %]],Tbl_Responses[3 - How many cores per paddock],$DJ48,Tbl_Responses[[Resp_Group]:[Resp_Group]],Grower)+COUNTIFS(Tbl_Responses[4 - Type of test],Tbl_Q17_sampling36[[#Headers],[Calcium carbonate %]],Tbl_Responses[4 - How many cores per paddock],$DJ48,Tbl_Responses[[Resp_Group]:[Resp_Group]],Grower)+COUNTIFS(Tbl_Responses[5 - Type of test],Tbl_Q17_sampling36[[#Headers],[Calcium carbonate %]],Tbl_Responses[5 - How many cores per paddock],$DJ48,Tbl_Responses[[Resp_Group]:[Resp_Group]],Grower)+COUNTIFS(Tbl_Responses[6 - Type of test],Tbl_Q17_sampling36[[#Headers],[Calcium carbonate %]],Tbl_Responses[6 - How many cores per paddock],$DJ48,Tbl_Responses[[Resp_Group]:[Resp_Group]],Grower)+COUNTIFS(Tbl_Responses[7 - Type of test],Tbl_Q17_sampling36[[#Headers],[Calcium carbonate %]],Tbl_Responses[7 - How many cores per paddock],$DJ48,Tbl_Responses[[Resp_Group]:[Resp_Group]],Grower)+COUNTIFS(Tbl_Responses[8 - Type of test],Tbl_Q17_sampling36[[#Headers],[Calcium carbonate %]],Tbl_Responses[8 - How many cores per paddock],$DJ48,Tbl_Responses[[Resp_Group]:[Resp_Group]],Grower))/(COUNTIFS(Tbl_Responses[1 - Type of test],Tbl_Q17_sampling36[[#Headers],[Calcium carbonate %]],Tbl_Responses[1 - How many cores per paddock],"&gt;""",Tbl_Responses[[Resp_Group]:[Resp_Group]],Grower)+COUNTIFS(Tbl_Responses[2 - Type of test],Tbl_Q17_sampling36[[#Headers],[Calcium carbonate %]],Tbl_Responses[2 - How many cores per paddock],"&gt;""",Tbl_Responses[[Resp_Group]:[Resp_Group]],Grower)+COUNTIFS(Tbl_Responses[3 - Type of test],Tbl_Q17_sampling36[[#Headers],[Calcium carbonate %]],Tbl_Responses[3 - How many cores per paddock],"&gt;""",Tbl_Responses[[Resp_Group]:[Resp_Group]],Grower)+COUNTIFS(Tbl_Responses[4 - Type of test],Tbl_Q17_sampling36[[#Headers],[Calcium carbonate %]],Tbl_Responses[4 - How many cores per paddock],"&gt;""",Tbl_Responses[[Resp_Group]:[Resp_Group]],Grower)+COUNTIFS(Tbl_Responses[5 - Type of test],Tbl_Q17_sampling36[[#Headers],[Calcium carbonate %]],Tbl_Responses[5 - How many cores per paddock],"&gt;""",Tbl_Responses[[Resp_Group]:[Resp_Group]],Grower)+COUNTIFS(Tbl_Responses[6 - Type of test],Tbl_Q17_sampling36[[#Headers],[Calcium carbonate %]],Tbl_Responses[6 - How many cores per paddock],"&gt;""",Tbl_Responses[[Resp_Group]:[Resp_Group]],Grower)+COUNTIFS(Tbl_Responses[7 - Type of test],Tbl_Q17_sampling36[[#Headers],[Calcium carbonate %]],Tbl_Responses[7 - How many cores per paddock],"&gt;""",Tbl_Responses[[Resp_Group]:[Resp_Group]],Grower)+COUNTIFS(Tbl_Responses[8 - Type of test],Tbl_Q17_sampling36[[#Headers],[Calcium carbonate %]],Tbl_Responses[8 - How many cores per paddock],"&gt;""",Tbl_Responses[[Resp_Group]:[Resp_Group]],Grower))</f>
        <v>0.33333333333333331</v>
      </c>
      <c r="DU48" s="60">
        <f>(COUNTIFS(Tbl_Responses[1 - Type of test],Tbl_Q17_sampling36[[#Headers],[Sulfur (MCP)]],Tbl_Responses[1 - How many cores per paddock],$DJ48,Tbl_Responses[[Resp_Group]:[Resp_Group]],Grower)+COUNTIFS(Tbl_Responses[2 - Type of test],Tbl_Q17_sampling36[[#Headers],[Sulfur (MCP)]],Tbl_Responses[2 - How many cores per paddock],$DJ48,Tbl_Responses[[Resp_Group]:[Resp_Group]],Grower)+COUNTIFS(Tbl_Responses[3 - Type of test],Tbl_Q17_sampling36[[#Headers],[Sulfur (MCP)]],Tbl_Responses[3 - How many cores per paddock],$DJ48,Tbl_Responses[[Resp_Group]:[Resp_Group]],Grower)+COUNTIFS(Tbl_Responses[4 - Type of test],Tbl_Q17_sampling36[[#Headers],[Sulfur (MCP)]],Tbl_Responses[4 - How many cores per paddock],$DJ48,Tbl_Responses[[Resp_Group]:[Resp_Group]],Grower)+COUNTIFS(Tbl_Responses[5 - Type of test],Tbl_Q17_sampling36[[#Headers],[Sulfur (MCP)]],Tbl_Responses[5 - How many cores per paddock],$DJ48,Tbl_Responses[[Resp_Group]:[Resp_Group]],Grower)+COUNTIFS(Tbl_Responses[6 - Type of test],Tbl_Q17_sampling36[[#Headers],[Sulfur (MCP)]],Tbl_Responses[6 - How many cores per paddock],$DJ48,Tbl_Responses[[Resp_Group]:[Resp_Group]],Grower)+COUNTIFS(Tbl_Responses[7 - Type of test],Tbl_Q17_sampling36[[#Headers],[Sulfur (MCP)]],Tbl_Responses[7 - How many cores per paddock],$DJ48,Tbl_Responses[[Resp_Group]:[Resp_Group]],Grower)+COUNTIFS(Tbl_Responses[8 - Type of test],Tbl_Q17_sampling36[[#Headers],[Sulfur (MCP)]],Tbl_Responses[8 - How many cores per paddock],$DJ48,Tbl_Responses[[Resp_Group]:[Resp_Group]],Grower))/(COUNTIFS(Tbl_Responses[1 - Type of test],Tbl_Q17_sampling36[[#Headers],[Sulfur (MCP)]],Tbl_Responses[1 - How many cores per paddock],"&gt;""",Tbl_Responses[[Resp_Group]:[Resp_Group]],Grower)+COUNTIFS(Tbl_Responses[2 - Type of test],Tbl_Q17_sampling36[[#Headers],[Sulfur (MCP)]],Tbl_Responses[2 - How many cores per paddock],"&gt;""",Tbl_Responses[[Resp_Group]:[Resp_Group]],Grower)+COUNTIFS(Tbl_Responses[3 - Type of test],Tbl_Q17_sampling36[[#Headers],[Sulfur (MCP)]],Tbl_Responses[3 - How many cores per paddock],"&gt;""",Tbl_Responses[[Resp_Group]:[Resp_Group]],Grower)+COUNTIFS(Tbl_Responses[4 - Type of test],Tbl_Q17_sampling36[[#Headers],[Sulfur (MCP)]],Tbl_Responses[4 - How many cores per paddock],"&gt;""",Tbl_Responses[[Resp_Group]:[Resp_Group]],Grower)+COUNTIFS(Tbl_Responses[5 - Type of test],Tbl_Q17_sampling36[[#Headers],[Sulfur (MCP)]],Tbl_Responses[5 - How many cores per paddock],"&gt;""",Tbl_Responses[[Resp_Group]:[Resp_Group]],Grower)+COUNTIFS(Tbl_Responses[6 - Type of test],Tbl_Q17_sampling36[[#Headers],[Sulfur (MCP)]],Tbl_Responses[6 - How many cores per paddock],"&gt;""",Tbl_Responses[[Resp_Group]:[Resp_Group]],Grower)+COUNTIFS(Tbl_Responses[7 - Type of test],Tbl_Q17_sampling36[[#Headers],[Sulfur (MCP)]],Tbl_Responses[7 - How many cores per paddock],"&gt;""",Tbl_Responses[[Resp_Group]:[Resp_Group]],Grower)+COUNTIFS(Tbl_Responses[8 - Type of test],Tbl_Q17_sampling36[[#Headers],[Sulfur (MCP)]],Tbl_Responses[8 - How many cores per paddock],"&gt;""",Tbl_Responses[[Resp_Group]:[Resp_Group]],Grower))</f>
        <v>0.25</v>
      </c>
      <c r="DV48" s="82">
        <f>(COUNTIFS(Tbl_Responses[1 - How many cores per paddock],$DJ48,Tbl_Responses[[Resp_Group]:[Resp_Group]],Grower)+COUNTIFS(Tbl_Responses[2 - How many cores per paddock],$DJ48,Tbl_Responses[[Resp_Group]:[Resp_Group]],Grower)+COUNTIFS(Tbl_Responses[3 - How many cores per paddock],$DJ48,Tbl_Responses[[Resp_Group]:[Resp_Group]],Grower)+COUNTIFS(Tbl_Responses[4 - How many cores per paddock],$DJ48,Tbl_Responses[[Resp_Group]:[Resp_Group]],Grower)+COUNTIFS(Tbl_Responses[5 - How many cores per paddock],$DJ48,Tbl_Responses[[Resp_Group]:[Resp_Group]],Grower)+COUNTIFS(Tbl_Responses[6 - How many cores per paddock],$DJ48,Tbl_Responses[[Resp_Group]:[Resp_Group]],Grower)+COUNTIFS(Tbl_Responses[7 - How many cores per paddock],$DJ48,Tbl_Responses[[Resp_Group]:[Resp_Group]],Grower))/(COUNTIFS(Tbl_Responses[1 - How many cores per paddock],"&gt;""",Tbl_Responses[[Resp_Group]:[Resp_Group]],Grower)+COUNTIFS(Tbl_Responses[2 - How many cores per paddock],"&gt;""",Tbl_Responses[[Resp_Group]:[Resp_Group]],Grower)+COUNTIFS(Tbl_Responses[3 - How many cores per paddock],"&gt;""",Tbl_Responses[[Resp_Group]:[Resp_Group]],Grower)+COUNTIFS(Tbl_Responses[4 - How many cores per paddock],"&gt;""",Tbl_Responses[[Resp_Group]:[Resp_Group]],Grower)+COUNTIFS(Tbl_Responses[5 - How many cores per paddock],"&gt;""",Tbl_Responses[[Resp_Group]:[Resp_Group]],Grower)+COUNTIFS(Tbl_Responses[6 - How many cores per paddock],"&gt;""",Tbl_Responses[[Resp_Group]:[Resp_Group]],Grower)+COUNTIFS(Tbl_Responses[7 - How many cores per paddock],"&gt;""",Tbl_Responses[[Resp_Group]:[Resp_Group]],Grower))</f>
        <v>0.35820895522388058</v>
      </c>
      <c r="EC48" t="s">
        <v>110</v>
      </c>
      <c r="ED48" s="3">
        <f>COUNTIFS(Tbl_Responses[The cost of soil sampling],$EC48,Tbl_Responses[[Resp_Group]:[Resp_Group]],Grower)</f>
        <v>21</v>
      </c>
      <c r="EE48" s="4">
        <f>Tbl_1944[[#This Row],[No. Responses]]/SUM(Tbl_1944[No. Responses])</f>
        <v>0.2413793103448276</v>
      </c>
      <c r="EH48" t="s">
        <v>110</v>
      </c>
      <c r="EI48" s="3">
        <f>COUNTIFS(Tbl_Responses[The cost of soil samplingP],$EC48,Tbl_Responses[[Resp_Group]:[Resp_Group]],Grower)</f>
        <v>24</v>
      </c>
      <c r="EJ48" s="4">
        <f>Tbl_Q2045[[#This Row],[No. Responses]]/SUM(Tbl_Q2045[No. Responses])</f>
        <v>0.25</v>
      </c>
      <c r="EM48" t="s">
        <v>1413</v>
      </c>
      <c r="EN48" s="3">
        <f>COUNTIFS(Tbl_Responses[[My clients businesses would be more profitable if they did more soil testing than they do now]:[My clients businesses would be more profitable if they did more soil testing than they do now]],Tbl_Q2146[[#Headers],[Disagree]],Tbl_Responses[[Resp_Group]:[Resp_Group]],Grower)</f>
        <v>9</v>
      </c>
      <c r="EO48" s="3">
        <f>COUNTIFS(Tbl_Responses[[My clients businesses would be more profitable if they did more soil testing than they do now]:[My clients businesses would be more profitable if they did more soil testing than they do now]],Tbl_Q2146[[#Headers],[Neutral]],Tbl_Responses[[Resp_Group]:[Resp_Group]],Grower)</f>
        <v>15</v>
      </c>
      <c r="EP48" s="3">
        <f>COUNTIFS(Tbl_Responses[[My clients businesses would be more profitable if they did more soil testing than they do now]:[My clients businesses would be more profitable if they did more soil testing than they do now]],Tbl_Q2146[[#Headers],[Agree]],Tbl_Responses[[Resp_Group]:[Resp_Group]],Grower)</f>
        <v>24</v>
      </c>
      <c r="EQ48" s="3">
        <f>COUNTIFS(Tbl_Responses[[My clients businesses would be more profitable if they did more soil testing than they do now]:[My clients businesses would be more profitable if they did more soil testing than they do now]],Tbl_Q2146[[#Headers],[Strongly Agree]],Tbl_Responses[[Resp_Group]:[Resp_Group]],Grower)</f>
        <v>5</v>
      </c>
      <c r="ET48" s="31">
        <v>0</v>
      </c>
      <c r="EU48" s="3">
        <f>COUNTIFS(Tbl_Responses[Soil testing annual spend],$ET48,Tbl_Responses[[Resp_Group]:[Resp_Group]],Agronomist)</f>
        <v>0</v>
      </c>
      <c r="EV48" s="4">
        <f>Tbl_Q2248[[#This Row],[No. Respondants]]/SUM(Tbl_Q2248[No. Respondants])</f>
        <v>0</v>
      </c>
      <c r="EY48" t="s">
        <v>254</v>
      </c>
      <c r="EZ48" s="3">
        <f>COUNTIFS(Tbl_Responses[5 year change in testing],$EY48,Tbl_Responses[[Resp_Group]:[Resp_Group]],Grower)</f>
        <v>5</v>
      </c>
      <c r="FA48" s="4">
        <f>Tbl_Q2350[[#This Row],[No. Respondants]]/SUM(Tbl_Q2350[No. Respondants])</f>
        <v>9.2592592592592587E-2</v>
      </c>
      <c r="FD48" t="s">
        <v>1042</v>
      </c>
      <c r="FE48" s="3">
        <f>COUNTIFS(Tbl_Responses[5 year future testing plan],$FD48,Tbl_Responses[[Resp_Group]:[Resp_Group]],Grower)</f>
        <v>1</v>
      </c>
      <c r="FF48" s="4">
        <f>Tbl_Q2452[[#This Row],[No. Respondants]]/SUM(Tbl_Q2452[No. Respondants])</f>
        <v>1.8867924528301886E-2</v>
      </c>
      <c r="FN48" s="87" t="s">
        <v>122</v>
      </c>
      <c r="FO48" s="3">
        <f>COUNTIFS(Tbl_Responses[The cost of sampling_Plant],$FN48,Tbl_Responses[[Resp_Group]:[Resp_Group]],Grower)</f>
        <v>12</v>
      </c>
      <c r="FP48" s="4">
        <f>Tbl_Q2655[[#This Row],[No. Respondants]]/SUM(Tbl_Q2655[No. Respondants])</f>
        <v>0.24</v>
      </c>
      <c r="FS48" s="87" t="s">
        <v>2556</v>
      </c>
      <c r="FT48" s="88">
        <f>COUNTIFS(Tbl_Responses[[My clients businesses would be more profitable if they did more plant testing than they do now]:[My clients businesses would be more profitable if they did more plant testing than they do now]],Tbl_Q2758[[#Headers],[Disagree]],Tbl_Responses[[Resp_Group]:[Resp_Group]],Grower)</f>
        <v>1</v>
      </c>
      <c r="FU48" s="88">
        <f>COUNTIFS(Tbl_Responses[[My clients businesses would be more profitable if they did more plant testing than they do now]:[My clients businesses would be more profitable if they did more plant testing than they do now]],Tbl_Q2758[[#Headers],[Neutral]],Tbl_Responses[[Resp_Group]:[Resp_Group]],Grower)</f>
        <v>15</v>
      </c>
      <c r="FV48" s="88">
        <f>COUNTIFS(Tbl_Responses[[My clients businesses would be more profitable if they did more plant testing than they do now]:[My clients businesses would be more profitable if they did more plant testing than they do now]],Tbl_Q2758[[#Headers],[Agree]],Tbl_Responses[[Resp_Group]:[Resp_Group]],Grower)</f>
        <v>15</v>
      </c>
      <c r="FW48" s="88">
        <f>COUNTIFS(Tbl_Responses[[My clients businesses would be more profitable if they did more plant testing than they do now]:[My clients businesses would be more profitable if they did more plant testing than they do now]],Tbl_Q2758[[#Headers],[Strongly Agree]],Tbl_Responses[[Resp_Group]:[Resp_Group]],Grower)</f>
        <v>0</v>
      </c>
      <c r="FZ48" s="31">
        <v>0</v>
      </c>
      <c r="GA48" s="3">
        <f>COUNTIFS(Tbl_Responses[Average annual spend - Plant testing],$FZ48,Tbl_Responses[[Resp_Group]:[Resp_Group]],Grower)</f>
        <v>7</v>
      </c>
      <c r="GB48" s="4">
        <f>Tbl_Q2860[[#This Row],[No. Respondants]]/SUM(Tbl_Q2860[No. Respondants])</f>
        <v>0.23333333333333334</v>
      </c>
      <c r="GE48" t="s">
        <v>254</v>
      </c>
      <c r="GF48" s="3">
        <f>COUNTIFS(Tbl_Responses[5 years ago_Plant],$GE48,Tbl_Responses[[Resp_Group]:[Resp_Group]],Grower)</f>
        <v>1</v>
      </c>
      <c r="GG48" s="4">
        <f>Tbl_Q236163[[#This Row],[No. Respondants]]/SUM(Tbl_Q236163[No. Respondants])</f>
        <v>3.5714285714285712E-2</v>
      </c>
      <c r="GJ48" t="s">
        <v>1042</v>
      </c>
      <c r="GK48" s="3">
        <f>COUNTIFS(Tbl_Responses[5 years'' time_Plant],$GJ48,Tbl_Responses[[Resp_Group]:[Resp_Group]],Grower)</f>
        <v>0</v>
      </c>
      <c r="GL48" s="4">
        <f>Tbl_Q246264[[#This Row],[No. Respondants]]/SUM(Tbl_Q246264[No. Respondants])</f>
        <v>0</v>
      </c>
      <c r="GO48" t="s">
        <v>110</v>
      </c>
      <c r="GP48" s="3">
        <f>COUNTIFS(Tbl_Responses[The cost of soil sampling_PL],$GO48,Tbl_Responses[[Resp_Group]:[Resp_Group]],Grower)</f>
        <v>2</v>
      </c>
      <c r="GQ48" s="4">
        <f>Tbl_196567[[#This Row],[No. Responses]]/SUM(Tbl_196567[No. Responses])</f>
        <v>0.2857142857142857</v>
      </c>
      <c r="GT48" t="s">
        <v>110</v>
      </c>
      <c r="GU48" s="3">
        <f>COUNTIFS(Tbl_Responses[The cost of soil sampling_PLP],$GT48,Tbl_Responses[[Resp_Group]:[Resp_Group]],Grower)</f>
        <v>1</v>
      </c>
      <c r="GV48" s="4">
        <f>Tbl_19656668[[#This Row],[No. Responses]]/SUM(Tbl_19656668[No. Responses])</f>
        <v>0.25</v>
      </c>
      <c r="HA48" s="87" t="s">
        <v>150</v>
      </c>
      <c r="HB48" s="3">
        <f>COUNTIFS(Tbl_Responses[Rural newspapers],$HA48,Tbl_Responses[[Resp_Group]:[Resp_Group]],Grower)</f>
        <v>18</v>
      </c>
      <c r="HC48" s="4">
        <f>Tbl_infoSources70[[#This Row],[No. Responses]]/SUM(Tbl_infoSources70[No. Responses])</f>
        <v>6.25E-2</v>
      </c>
    </row>
    <row r="49" spans="1:211" x14ac:dyDescent="0.25">
      <c r="A49" t="s">
        <v>366</v>
      </c>
      <c r="B49" s="3">
        <f>COUNTIFS(Tbl_Responses[Q1: region],Results!$A49,Tbl_Responses[Resp_Group],Grower)</f>
        <v>22</v>
      </c>
      <c r="C49" s="4">
        <f>B49/SUM(Tbl_Q19[Respondants])</f>
        <v>0.22222222222222221</v>
      </c>
      <c r="D49" s="7">
        <f>AVERAGEIFS(Tbl_Responses[Q2: Cropped Area],Tbl_Responses[Q1: region],Tbl_Q19[[#This Row],[Region]],Tbl_Responses[[Resp_Group]:[Resp_Group]],Grower)</f>
        <v>1978.4545454545455</v>
      </c>
      <c r="F49">
        <v>1001</v>
      </c>
      <c r="G49">
        <v>5000</v>
      </c>
      <c r="H49" t="str">
        <f t="shared" ref="H49:H55" si="2">F49&amp;"-"&amp;G49</f>
        <v>1001-5000</v>
      </c>
      <c r="I49" s="3">
        <f>COUNTIFS(Tbl_Responses[Q2: Cropped Area],"&gt;"&amp;F49,Tbl_Responses[Q2: Cropped Area],"&lt;="&amp;G49,Tbl_Responses[Resp_Group],Grower)</f>
        <v>58</v>
      </c>
      <c r="J49" s="4">
        <f>I49/SUM(Tbl_Q210[Number])</f>
        <v>0.58585858585858586</v>
      </c>
      <c r="M49" t="s">
        <v>36</v>
      </c>
      <c r="N49" s="4">
        <f>AVERAGEIF(Tbl_Responses[Resp_Group],Grower,Tbl_Responses[Canola])/100</f>
        <v>9.818181818181819E-2</v>
      </c>
      <c r="O49" s="6">
        <f>SUMPRODUCT(--(Group="Grower"),Tbl_Responses[Q2: Cropped Area],Tbl_Responses[Canola])/100</f>
        <v>23287.96</v>
      </c>
      <c r="P49" s="4">
        <f t="shared" ref="P49:P53" si="3">O49/SUM($O$4:$O$9)</f>
        <v>2.0049003402344449E-2</v>
      </c>
      <c r="S49" t="s">
        <v>291</v>
      </c>
      <c r="T49" s="4">
        <f>COUNTIFS(Tbl_Responses[[Variable Costs]:[Variable Costs]],T$3,Tbl_Responses[[Q1: region]:[Q1: region]],$S49,Tbl_Responses[[Resp_Group]:[Resp_Group]],Grower)/COUNTIFS(Tbl_Responses[[Q1: region]:[Q1: region]],$S49,Tbl_Responses[[Resp_Group]:[Resp_Group]],Grower)</f>
        <v>0</v>
      </c>
      <c r="U49" s="4">
        <f>COUNTIFS(Tbl_Responses[[Variable Costs]:[Variable Costs]],U$3,Tbl_Responses[[Q1: region]:[Q1: region]],$S49,Tbl_Responses[[Resp_Group]:[Resp_Group]],Grower)/COUNTIFS(Tbl_Responses[[Q1: region]:[Q1: region]],$S49,Tbl_Responses[[Resp_Group]:[Resp_Group]],Grower)</f>
        <v>0</v>
      </c>
      <c r="V49" s="4">
        <f>COUNTIFS(Tbl_Responses[[Variable Costs]:[Variable Costs]],V$3,Tbl_Responses[[Q1: region]:[Q1: region]],$S49,Tbl_Responses[[Resp_Group]:[Resp_Group]],Grower)/COUNTIFS(Tbl_Responses[[Q1: region]:[Q1: region]],$S49,Tbl_Responses[[Resp_Group]:[Resp_Group]],Grower)</f>
        <v>0</v>
      </c>
      <c r="W49" s="4">
        <f>COUNTIFS(Tbl_Responses[[Variable Costs]:[Variable Costs]],W$3,Tbl_Responses[[Q1: region]:[Q1: region]],$S49,Tbl_Responses[[Resp_Group]:[Resp_Group]],Grower)/COUNTIFS(Tbl_Responses[[Q1: region]:[Q1: region]],$S49,Tbl_Responses[[Resp_Group]:[Resp_Group]],Grower)</f>
        <v>0</v>
      </c>
      <c r="X49" s="4">
        <f>COUNTIFS(Tbl_Responses[[Variable Costs]:[Variable Costs]],X$3,Tbl_Responses[[Q1: region]:[Q1: region]],$S49,Tbl_Responses[[Resp_Group]:[Resp_Group]],Grower)/COUNTIFS(Tbl_Responses[[Q1: region]:[Q1: region]],$S49,Tbl_Responses[[Resp_Group]:[Resp_Group]],Grower)</f>
        <v>0</v>
      </c>
      <c r="Y49" s="4">
        <f>COUNTIFS(Tbl_Responses[[Variable Costs]:[Variable Costs]],Y$3,Tbl_Responses[[Q1: region]:[Q1: region]],$S49,Tbl_Responses[[Resp_Group]:[Resp_Group]],Grower)/COUNTIFS(Tbl_Responses[[Q1: region]:[Q1: region]],$S49,Tbl_Responses[[Resp_Group]:[Resp_Group]],Grower)</f>
        <v>1</v>
      </c>
      <c r="Z49" s="4">
        <f>COUNTIFS(Tbl_Responses[[Variable Costs]:[Variable Costs]],Z$3,Tbl_Responses[[Q1: region]:[Q1: region]],$S49,Tbl_Responses[[Resp_Group]:[Resp_Group]],Grower)/COUNTIFS(Tbl_Responses[[Q1: region]:[Q1: region]],$S49,Tbl_Responses[[Resp_Group]:[Resp_Group]],Grower)</f>
        <v>0</v>
      </c>
      <c r="AA49" s="4">
        <f>COUNTIFS(Tbl_Responses[[Variable Costs]:[Variable Costs]],AA$3,Tbl_Responses[[Q1: region]:[Q1: region]],$S49,Tbl_Responses[[Resp_Group]:[Resp_Group]],Grower)/COUNTIFS(Tbl_Responses[[Q1: region]:[Q1: region]],$S49,Tbl_Responses[[Resp_Group]:[Resp_Group]],Grower)</f>
        <v>0</v>
      </c>
      <c r="AB49" s="4">
        <f>COUNTIFS(Tbl_Responses[[Variable Costs]:[Variable Costs]],AB$3,Tbl_Responses[[Q1: region]:[Q1: region]],$S49,Tbl_Responses[[Resp_Group]:[Resp_Group]],Grower)/COUNTIFS(Tbl_Responses[[Q1: region]:[Q1: region]],$S49,Tbl_Responses[[Resp_Group]:[Resp_Group]],Grower)</f>
        <v>0</v>
      </c>
      <c r="AG49" t="s">
        <v>291</v>
      </c>
      <c r="AH49" s="4">
        <f>COUNTIFS(Tbl_Responses[[Def_Nutrient_ID]:[Def_Nutrient_ID]],"*N*",Tbl_Responses[[Q1: region]:[Q1: region]],$AG49,Tbl_Responses[[Resp_Group]:[Resp_Group]],Grower)/COUNTIFS(Tbl_Responses[[Def_Nutrient_ID]:[Def_Nutrient_ID]],"&lt;&gt;"&amp;"",Tbl_Responses[[Q1: region]:[Q1: region]],$AG49,Tbl_Responses[[Resp_Group]:[Resp_Group]],Grower)</f>
        <v>1</v>
      </c>
      <c r="AI49" s="4">
        <f>COUNTIFS(Tbl_Responses[[Def_Nutrient_ID]:[Def_Nutrient_ID]],"*P*",Tbl_Responses[[Q1: region]:[Q1: region]],$AG49,Tbl_Responses[[Resp_Group]:[Resp_Group]],Grower)/COUNTIFS(Tbl_Responses[[Def_Nutrient_ID]:[Def_Nutrient_ID]],"&lt;&gt;"&amp;"",Tbl_Responses[[Q1: region]:[Q1: region]],$AG49,Tbl_Responses[[Resp_Group]:[Resp_Group]],Grower)</f>
        <v>1</v>
      </c>
      <c r="AJ49" s="4">
        <f>COUNTIFS(Tbl_Responses[[Def_Nutrient_ID]:[Def_Nutrient_ID]],"*K*",Tbl_Responses[[Q1: region]:[Q1: region]],$AG49,Tbl_Responses[[Resp_Group]:[Resp_Group]],Grower)/COUNTIFS(Tbl_Responses[[Def_Nutrient_ID]:[Def_Nutrient_ID]],"&lt;&gt;"&amp;"",Tbl_Responses[[Q1: region]:[Q1: region]],$AG49,Tbl_Responses[[Resp_Group]:[Resp_Group]],Grower)</f>
        <v>0</v>
      </c>
      <c r="AK49" s="4">
        <f>COUNTIFS(Tbl_Responses[[Def_Nutrient_ID]:[Def_Nutrient_ID]],"*S*",Tbl_Responses[[Q1: region]:[Q1: region]],$AG49,Tbl_Responses[[Resp_Group]:[Resp_Group]],Grower)/COUNTIFS(Tbl_Responses[[Def_Nutrient_ID]:[Def_Nutrient_ID]],"&lt;&gt;"&amp;"",Tbl_Responses[[Q1: region]:[Q1: region]],$AG49,Tbl_Responses[[Resp_Group]:[Resp_Group]],Grower)</f>
        <v>0</v>
      </c>
      <c r="AL49" s="4">
        <f>COUNTIFS(Tbl_Responses[[Def_Nutrient_ID]:[Def_Nutrient_ID]],"*Zn*",Tbl_Responses[[Q1: region]:[Q1: region]],$AG49,Tbl_Responses[[Resp_Group]:[Resp_Group]],Grower)/COUNTIFS(Tbl_Responses[[Def_Nutrient_ID]:[Def_Nutrient_ID]],"&lt;&gt;"&amp;"",Tbl_Responses[[Q1: region]:[Q1: region]],$AG49,Tbl_Responses[[Resp_Group]:[Resp_Group]],Grower)</f>
        <v>0.5</v>
      </c>
      <c r="AM49" s="4">
        <f>COUNTIFS(Tbl_Responses[[Def_Nutrient_ID]:[Def_Nutrient_ID]],"*Mn*",Tbl_Responses[[Q1: region]:[Q1: region]],$AG49,Tbl_Responses[[Resp_Group]:[Resp_Group]],Grower)/COUNTIFS(Tbl_Responses[[Def_Nutrient_ID]:[Def_Nutrient_ID]],"&lt;&gt;"&amp;"",Tbl_Responses[[Q1: region]:[Q1: region]],$AG49,Tbl_Responses[[Resp_Group]:[Resp_Group]],Grower)</f>
        <v>0.5</v>
      </c>
      <c r="AN49" s="4">
        <f>COUNTIFS(Tbl_Responses[[Def_Nutrient_ID]:[Def_Nutrient_ID]],"*Mg*",Tbl_Responses[[Q1: region]:[Q1: region]],$AG49,Tbl_Responses[[Resp_Group]:[Resp_Group]],Grower)/COUNTIFS(Tbl_Responses[[Def_Nutrient_ID]:[Def_Nutrient_ID]],"&lt;&gt;"&amp;"",Tbl_Responses[[Q1: region]:[Q1: region]],$AG49,Tbl_Responses[[Resp_Group]:[Resp_Group]],Grower)</f>
        <v>0</v>
      </c>
      <c r="AO49" s="4">
        <f>COUNTIFS(Tbl_Responses[[Def_Nutrient_ID]:[Def_Nutrient_ID]],"*Cu*",Tbl_Responses[[Q1: region]:[Q1: region]],$AG49,Tbl_Responses[[Resp_Group]:[Resp_Group]],Grower)/COUNTIFS(Tbl_Responses[[Def_Nutrient_ID]:[Def_Nutrient_ID]],"&lt;&gt;"&amp;"",Tbl_Responses[[Q1: region]:[Q1: region]],$AG49,Tbl_Responses[[Resp_Group]:[Resp_Group]],Grower)</f>
        <v>0.5</v>
      </c>
      <c r="AP49" s="4">
        <f>COUNTIFS(Tbl_Responses[[Def_Nutrient_ID]:[Def_Nutrient_ID]],"*B*",Tbl_Responses[[Q1: region]:[Q1: region]],$AG49,Tbl_Responses[[Resp_Group]:[Resp_Group]],Grower)/COUNTIFS(Tbl_Responses[[Def_Nutrient_ID]:[Def_Nutrient_ID]],"&lt;&gt;"&amp;"",Tbl_Responses[[Q1: region]:[Q1: region]],$AG49,Tbl_Responses[[Resp_Group]:[Resp_Group]],Grower)</f>
        <v>0</v>
      </c>
      <c r="AQ49" s="4">
        <f>COUNTIFS(Tbl_Responses[[Def_Nutrient_ID]:[Def_Nutrient_ID]],"*Ca*",Tbl_Responses[[Q1: region]:[Q1: region]],$AG49,Tbl_Responses[[Resp_Group]:[Resp_Group]],Grower)/COUNTIFS(Tbl_Responses[[Def_Nutrient_ID]:[Def_Nutrient_ID]],"&lt;&gt;"&amp;"",Tbl_Responses[[Q1: region]:[Q1: region]],$AG49,Tbl_Responses[[Resp_Group]:[Resp_Group]],Grower)</f>
        <v>0</v>
      </c>
      <c r="AR49" s="4">
        <f>COUNTIFS(Tbl_Responses[[Def_Nutrient_ID]:[Def_Nutrient_ID]],"*pH*",Tbl_Responses[[Q1: region]:[Q1: region]],$AG49,Tbl_Responses[[Resp_Group]:[Resp_Group]],Grower)/COUNTIFS(Tbl_Responses[[Def_Nutrient_ID]:[Def_Nutrient_ID]],"&lt;&gt;"&amp;"",Tbl_Responses[[Q1: region]:[Q1: region]],$AG49,Tbl_Responses[[Resp_Group]:[Resp_Group]],Grower)</f>
        <v>0</v>
      </c>
      <c r="AS49" s="4">
        <f>COUNTIFS(Tbl_Responses[[Def_Nutrient_ID]:[Def_Nutrient_ID]],"*T*",Tbl_Responses[[Q1: region]:[Q1: region]],$AG49,Tbl_Responses[[Resp_Group]:[Resp_Group]],Grower)/COUNTIFS(Tbl_Responses[[Def_Nutrient_ID]:[Def_Nutrient_ID]],"&lt;&gt;"&amp;"",Tbl_Responses[[Q1: region]:[Q1: region]],$AG49,Tbl_Responses[[Resp_Group]:[Resp_Group]],Grower)</f>
        <v>0</v>
      </c>
      <c r="AV49" t="s">
        <v>291</v>
      </c>
      <c r="AW49" s="4">
        <f>COUNTIFS(Tbl_Responses[[Q6: Do you do/recommend soil and/or plant testing?]:[Q6: Do you do/recommend soil and/or plant testing?]],"Yes",Tbl_Responses[[Q1: region]:[Q1: region]],$AV49,Tbl_Responses[[Resp_Group]:[Resp_Group]],Grower)/COUNTIFS(Tbl_Responses[[Q6: Do you do/recommend soil and/or plant testing?]:[Q6: Do you do/recommend soil and/or plant testing?]],"&lt;&gt;"&amp;"",Tbl_Responses[[Q1: region]:[Q1: region]],$AV49,Tbl_Responses[[Resp_Group]:[Resp_Group]],Grower)</f>
        <v>1</v>
      </c>
      <c r="AX49" s="4">
        <f>COUNTIFS(Tbl_Responses[[Q6: Do you do/recommend soil and/or plant testing?]:[Q6: Do you do/recommend soil and/or plant testing?]],"No",Tbl_Responses[[Q1: region]:[Q1: region]],$AV49,Tbl_Responses[[Resp_Group]:[Resp_Group]],Grower)/COUNTIFS(Tbl_Responses[[Q6: Do you do/recommend soil and/or plant testing?]:[Q6: Do you do/recommend soil and/or plant testing?]],"&lt;&gt;"&amp;"",Tbl_Responses[[Q1: region]:[Q1: region]],$AV49,Tbl_Responses[[Resp_Group]:[Resp_Group]],Grower)</f>
        <v>0</v>
      </c>
      <c r="AY49" s="3">
        <f>COUNTIFS(Tbl_Responses[[Q6: Do you do/recommend soil and/or plant testing?]:[Q6: Do you do/recommend soil and/or plant testing?]],"&gt;""",Tbl_Responses[[Q1: region]:[Q1: region]],$AV5,Tbl_Responses[[Resp_Group]:[Resp_Group]],Grower)</f>
        <v>2</v>
      </c>
      <c r="BA49" s="45" t="s">
        <v>1459</v>
      </c>
      <c r="BB49" s="46">
        <f>COUNTIFS(Tbl_Responses[Q7: Who makes the nurtient decisions on your farm (grower only)],$BA49,Tbl_Responses[[Resp_Group]:[Resp_Group]],Grower)</f>
        <v>4</v>
      </c>
      <c r="BC49" s="52">
        <f>COUNTIFS(Tbl_Responses[Q7: Who makes the nurtient decisions on your farm (grower only)],$BA49,Tbl_Responses[[Resp_Group]:[Resp_Group]],Grower)/COUNTIFS(Tbl_Responses[Q7: Who makes the nurtient decisions on your farm (grower only)],"&gt;""",Tbl_Responses[[Resp_Group]:[Resp_Group]],Grower)</f>
        <v>7.0175438596491224E-2</v>
      </c>
      <c r="BD49" s="50" t="s">
        <v>168</v>
      </c>
      <c r="BE49" s="46">
        <f>COUNTIFS(Tbl_Responses[Response6],$BD49,Tbl_Responses[[Resp_Group]:[Resp_Group]],Grower)</f>
        <v>12</v>
      </c>
      <c r="BF49" s="46">
        <f>COUNTIFS(Tbl_Responses[Response7],$BD49,Tbl_Responses[[Resp_Group]:[Resp_Group]],Grower)</f>
        <v>3</v>
      </c>
      <c r="BH49" t="s">
        <v>2438</v>
      </c>
      <c r="BI49" s="3">
        <f>COUNTIFS(Tbl_Responses[Source_1_ID],$BH49,Tbl_Responses[[Resp_Group]:[Resp_Group]],Grower)+COUNTIFS(Tbl_Responses[Source_2_ID],$BH49,Tbl_Responses[[Resp_Group]:[Resp_Group]],Grower)+COUNTIFS(Tbl_Responses[Source_3_ID],$BH49,Tbl_Responses[[Resp_Group]:[Resp_Group]],Grower)</f>
        <v>32</v>
      </c>
      <c r="BJ49" s="4">
        <f>Tbl_Q1120[[#This Row],[Q11 Response]]/SUM(Tbl_Q1120[Q11 Response])</f>
        <v>0.22222222222222221</v>
      </c>
      <c r="BQ49" s="37" t="s">
        <v>401</v>
      </c>
      <c r="BR49" s="4">
        <f>COUNTIFS(Tbl_Responses[What % of your clients soil tested in 2018?],$BQ49,Tbl_Responses[[Resp_Group]:[Resp_Group]],Grower)/COUNTIFS(Tbl_Responses[What % of your clients soil tested in 2018?],"&gt;""",Tbl_Responses[[Resp_Group]:[Resp_Group]],Grower)</f>
        <v>0.48</v>
      </c>
      <c r="BS49" s="4">
        <f>COUNTIFS(Tbl_Responses[What % of your clients tested for N in 2018?],$BQ49,Tbl_Responses[[Resp_Group]:[Resp_Group]],Grower)/COUNTIFS(Tbl_Responses[What % of your clients tested for N in 2018?],"&gt;""",Tbl_Responses[[Resp_Group]:[Resp_Group]],Grower)</f>
        <v>0.46938775510204084</v>
      </c>
      <c r="BT49" s="4">
        <f>COUNTIFS(Tbl_Responses[What % of your clients tested for N to at least 60cm in 2018?],$BQ49,Tbl_Responses[[Resp_Group]:[Resp_Group]],Grower)/COUNTIFS(Tbl_Responses[What % of your clients tested for N to at least 60cm in 2018?],"&gt;""",Tbl_Responses[[Resp_Group]:[Resp_Group]],Grower)</f>
        <v>0.54761904761904767</v>
      </c>
      <c r="BU49" s="4">
        <f>COUNTIFS(Tbl_Responses[What % of your clients tested for P in 2018?],$BQ49,Tbl_Responses[[Resp_Group]:[Resp_Group]],Grower)/COUNTIFS(Tbl_Responses[What % of your clients tested for P in 2018?],"&gt;""",Tbl_Responses[[Resp_Group]:[Resp_Group]],Grower)</f>
        <v>0.47916666666666669</v>
      </c>
      <c r="BX49" t="s">
        <v>176</v>
      </c>
      <c r="BY49" s="4">
        <f>(COUNTIFS(Tbl_Responses[Nitrogen 1 - Type of test],$BX49,Tbl_Responses[[Resp_Group]:[Resp_Group]],Grower)+COUNTIFS(Tbl_Responses[Nitrogen 2 - Type of test],$BX49,Tbl_Responses[[Resp_Group]:[Resp_Group]],Grower)+COUNTIFS(Tbl_Responses[Nitrogen 3 - Type of test],$BX49,Tbl_Responses[[Resp_Group]:[Resp_Group]],Grower))/(COUNTIFS(Tbl_Responses[Nitrogen 1 - Type of test],"&gt;""",Tbl_Responses[[Resp_Group]:[Resp_Group]],Grower)+COUNTIFS(Tbl_Responses[Nitrogen 2 - Type of test],"&gt;""",Tbl_Responses[[Resp_Group]:[Resp_Group]],Grower)+COUNTIFS(Tbl_Responses[Nitrogen 3 - Type of test],"&gt;""",Tbl_Responses[[Resp_Group]:[Resp_Group]],Grower))</f>
        <v>0.29333333333333333</v>
      </c>
      <c r="CB49" s="61" t="s">
        <v>223</v>
      </c>
      <c r="CC49" s="62">
        <f>(COUNTIFS(Tbl_Responses[Nitrogen 1 - Type of test],Tbl_14_sampling33[[#Headers],[Organic Carbon]],Tbl_Responses[Nitrogen 1 - How many representative samples per paddock],$CB49,Tbl_Responses[[Resp_Group]:[Resp_Group]],Grower)+COUNTIFS(Tbl_Responses[Nitrogen 2 - Type of test],Tbl_14_sampling33[[#Headers],[Organic Carbon]],Tbl_Responses[Nitrogen 2 - How many representative samples per paddock],$CB49,Tbl_Responses[[Resp_Group]:[Resp_Group]],Grower)+COUNTIFS(Tbl_Responses[Nitrogen 3 - Type of test],Tbl_14_sampling33[[#Headers],[Organic Carbon]],Tbl_Responses[Nitrogen 3 - How many representative samples per paddock],$CB49,Tbl_Responses[[Resp_Group]:[Resp_Group]],Grower))/(COUNTIFS(Tbl_Responses[Nitrogen 1 - Type of test],Tbl_14_sampling33[[#Headers],[Organic Carbon]],Tbl_Responses[Nitrogen 1 - How many representative samples per paddock],"&gt;""",Tbl_Responses[[Resp_Group]:[Resp_Group]],Grower)+COUNTIFS(Tbl_Responses[Nitrogen 2 - Type of test],Tbl_14_sampling33[[#Headers],[Organic Carbon]],Tbl_Responses[Nitrogen 2 - How many representative samples per paddock],"&gt;""",Tbl_Responses[[Resp_Group]:[Resp_Group]],Grower)+COUNTIFS(Tbl_Responses[Nitrogen 3 - Type of test],Tbl_14_sampling33[[#Headers],[Organic Carbon]],Tbl_Responses[Nitrogen 3 - How many representative samples per paddock],"&gt;""",Tbl_Responses[[Resp_Group]:[Resp_Group]],Grower))</f>
        <v>0.33333333333333331</v>
      </c>
      <c r="CD49" s="62">
        <f>(COUNTIFS(Tbl_Responses[Nitrogen 1 - Type of test],Tbl_14_sampling33[[#Headers],[Mineral N (Nitrate/Ammonium)]],Tbl_Responses[Nitrogen 1 - How many representative samples per paddock],$CB49,Tbl_Responses[[Resp_Group]:[Resp_Group]],Grower)+COUNTIFS(Tbl_Responses[Nitrogen 2 - Type of test],Tbl_14_sampling33[[#Headers],[Mineral N (Nitrate/Ammonium)]],Tbl_Responses[Nitrogen 2 - How many representative samples per paddock],$CB49,Tbl_Responses[[Resp_Group]:[Resp_Group]],Grower)+COUNTIFS(Tbl_Responses[Nitrogen 3 - Type of test],Tbl_14_sampling33[[#Headers],[Mineral N (Nitrate/Ammonium)]],Tbl_Responses[Nitrogen 3 - How many representative samples per paddock],$CB49,Tbl_Responses[[Resp_Group]:[Resp_Group]],Grower))/(COUNTIFS(Tbl_Responses[Nitrogen 1 - Type of test],Tbl_14_sampling33[[#Headers],[Mineral N (Nitrate/Ammonium)]],Tbl_Responses[Nitrogen 1 - How many representative samples per paddock],"&gt;""",Tbl_Responses[[Resp_Group]:[Resp_Group]],Grower)+COUNTIFS(Tbl_Responses[Nitrogen 2 - Type of test],Tbl_14_sampling33[[#Headers],[Mineral N (Nitrate/Ammonium)]],Tbl_Responses[Nitrogen 2 - How many representative samples per paddock],"&gt;""",Tbl_Responses[[Resp_Group]:[Resp_Group]],Grower)+COUNTIFS(Tbl_Responses[Nitrogen 3 - Type of test],Tbl_14_sampling33[[#Headers],[Mineral N (Nitrate/Ammonium)]],Tbl_Responses[Nitrogen 3 - How many representative samples per paddock],"&gt;""",Tbl_Responses[[Resp_Group]:[Resp_Group]],Grower))</f>
        <v>0.33333333333333331</v>
      </c>
      <c r="CE49" s="62">
        <f>(COUNTIFS(Tbl_Responses[Nitrogen 1 - Type of test],Tbl_14_sampling33[[#Headers],[Total N]],Tbl_Responses[Nitrogen 1 - How many representative samples per paddock],$CB49,Tbl_Responses[[Resp_Group]:[Resp_Group]],Grower)+COUNTIFS(Tbl_Responses[Nitrogen 2 - Type of test],Tbl_14_sampling33[[#Headers],[Total N]],Tbl_Responses[Nitrogen 2 - How many representative samples per paddock],$CB49,Tbl_Responses[[Resp_Group]:[Resp_Group]],Grower)+COUNTIFS(Tbl_Responses[Nitrogen 3 - Type of test],Tbl_14_sampling33[[#Headers],[Total N]],Tbl_Responses[Nitrogen 3 - How many representative samples per paddock],$CB49,Tbl_Responses[[Resp_Group]:[Resp_Group]],Grower))/(COUNTIFS(Tbl_Responses[Nitrogen 1 - Type of test],Tbl_14_sampling33[[#Headers],[Total N]],Tbl_Responses[Nitrogen 1 - How many representative samples per paddock],"&gt;""",Tbl_Responses[[Resp_Group]:[Resp_Group]],Grower)+COUNTIFS(Tbl_Responses[Nitrogen 2 - Type of test],Tbl_14_sampling33[[#Headers],[Total N]],Tbl_Responses[Nitrogen 2 - How many representative samples per paddock],"&gt;""",Tbl_Responses[[Resp_Group]:[Resp_Group]],Grower)+COUNTIFS(Tbl_Responses[Nitrogen 3 - Type of test],Tbl_14_sampling33[[#Headers],[Total N]],Tbl_Responses[Nitrogen 3 - How many representative samples per paddock],"&gt;""",Tbl_Responses[[Resp_Group]:[Resp_Group]],Grower))</f>
        <v>0.4</v>
      </c>
      <c r="CF49" s="62">
        <f>(COUNTIFS(Tbl_Responses[Nitrogen 1 - How many representative samples per paddock],$CB49,Tbl_Responses[[Resp_Group]:[Resp_Group]],Grower)+COUNTIFS(Tbl_Responses[Nitrogen 2 - How many representative samples per paddock],$CB49,Tbl_Responses[[Resp_Group]:[Resp_Group]],Grower)+COUNTIFS(Tbl_Responses[Nitrogen 3 - How many representative samples per paddock],$CB49,Tbl_Responses[[Resp_Group]:[Resp_Group]],Grower))/(COUNTIFS(Tbl_Responses[Nitrogen 1 - How many representative samples per paddock],"&gt;""",Tbl_Responses[[Resp_Group]:[Resp_Group]],Grower)+COUNTIFS(Tbl_Responses[Nitrogen 2 - How many representative samples per paddock],"&gt;""",Tbl_Responses[[Resp_Group]:[Resp_Group]],Grower)+COUNTIFS(Tbl_Responses[Nitrogen 3 - How many representative samples per paddock],"&gt;""",Tbl_Responses[[Resp_Group]:[Resp_Group]],Grower))</f>
        <v>0.36</v>
      </c>
      <c r="CG49" s="72"/>
      <c r="CH49" s="72"/>
      <c r="CI49" s="80" t="s">
        <v>181</v>
      </c>
      <c r="CJ49" s="72">
        <f>(COUNTIFS(Tbl_Responses[Phosphorus 1 - Type of test],CI49,Tbl_Responses[[Resp_Group]:[Resp_Group]],Grower)+COUNTIFS(Tbl_Responses[Phosphorus 2 - Type of test],CI49,Tbl_Responses[[Resp_Group]:[Resp_Group]],Grower)+COUNTIFS(Tbl_Responses[Phosphorus 3 - Type of test],CI49,Tbl_Responses[[Resp_Group]:[Resp_Group]],Grower)+COUNTIFS(Tbl_Responses[Phosphorus 4 - Type of test],CI49,Tbl_Responses[[Resp_Group]:[Resp_Group]],Grower)+COUNTIFS(Tbl_Responses[Phosphorus 5 - Type of test],CI49,Tbl_Responses[[Resp_Group]:[Resp_Group]],Grower))/(COUNTIFS(Tbl_Responses[Phosphorus 1 - Type of test],"&gt;""",Tbl_Responses[[Resp_Group]:[Resp_Group]],Grower)+COUNTIFS(Tbl_Responses[Phosphorus 2 - Type of test],"&gt;""",Tbl_Responses[[Resp_Group]:[Resp_Group]],Grower)+COUNTIFS(Tbl_Responses[Phosphorus 3 - Type of test],"&gt;""",Tbl_Responses[[Resp_Group]:[Resp_Group]],Grower)+COUNTIFS(Tbl_Responses[Phosphorus 4 - Type of test],"&gt;""",Tbl_Responses[[Resp_Group]:[Resp_Group]],Grower)+COUNTIFS(Tbl_Responses[Phosphorus 5 - Type of test],"&gt;""",Tbl_Responses[[Resp_Group]:[Resp_Group]],Grower))</f>
        <v>5.4794520547945202E-2</v>
      </c>
      <c r="CK49" s="72"/>
      <c r="CL49" s="72"/>
      <c r="CM49" s="75" t="s">
        <v>223</v>
      </c>
      <c r="CN49" s="67">
        <f>(COUNTIFS(Tbl_Responses[Phosphorus 1 - Type of test],Tbl_Q15_sampling34[[#Headers],[Colwell P]],Tbl_Responses[Phosphorus 1 - How many representative samples per paddock],$CM49,Tbl_Responses[[Resp_Group]:[Resp_Group]],Grower)+COUNTIFS(Tbl_Responses[Phosphorus 2 - Type of test],Tbl_Q15_sampling34[[#Headers],[Colwell P]],Tbl_Responses[Phosphorus 2 - How many representative samples per paddock],$CM49,Tbl_Responses[[Resp_Group]:[Resp_Group]],Grower)+COUNTIFS(Tbl_Responses[Phosphorus 3 - Type of test],Tbl_Q15_sampling34[[#Headers],[Colwell P]],Tbl_Responses[Phosphorus 3 - How many representative samples per paddock],$CM49,Tbl_Responses[[Resp_Group]:[Resp_Group]],Grower)+COUNTIFS(Tbl_Responses[Phosphorus 4 - Type of test],Tbl_Q15_sampling34[[#Headers],[Colwell P]],Tbl_Responses[Phosphorus 4 - How many representative samples per paddock],$CM49,Tbl_Responses[[Resp_Group]:[Resp_Group]],Grower)+COUNTIFS(Tbl_Responses[Phosphorus 5 - Type of test],Tbl_Q15_sampling34[[#Headers],[Colwell P]],Tbl_Responses[Phosphorus 5 - How many representative samples per paddock],$CM49,Tbl_Responses[[Resp_Group]:[Resp_Group]],Grower))/(COUNTIFS(Tbl_Responses[Phosphorus 1 - Type of test],Tbl_Q15_sampling34[[#Headers],[Colwell P]],Tbl_Responses[Phosphorus 1 - How many representative samples per paddock],"&gt;""",Tbl_Responses[[Resp_Group]:[Resp_Group]],Grower)+COUNTIFS(Tbl_Responses[Phosphorus 2 - Type of test],Tbl_Q15_sampling34[[#Headers],[Colwell P]],Tbl_Responses[Phosphorus 2 - How many representative samples per paddock],"&gt;""",Tbl_Responses[[Resp_Group]:[Resp_Group]],Grower)+COUNTIFS(Tbl_Responses[Phosphorus 3 - Type of test],Tbl_Q15_sampling34[[#Headers],[Colwell P]],Tbl_Responses[Phosphorus 3 - How many representative samples per paddock],"&gt;""",Tbl_Responses[[Resp_Group]:[Resp_Group]],Grower)+COUNTIFS(Tbl_Responses[Phosphorus 4 - Type of test],Tbl_Q15_sampling34[[#Headers],[Colwell P]],Tbl_Responses[Phosphorus 4 - How many representative samples per paddock],"&gt;""",Tbl_Responses[[Resp_Group]:[Resp_Group]],Grower)+COUNTIFS(Tbl_Responses[Phosphorus 5 - Type of test],Tbl_Q15_sampling34[[#Headers],[Colwell P]],Tbl_Responses[Phosphorus 5 - How many representative samples per paddock],"&gt;""",Tbl_Responses[[Resp_Group]:[Resp_Group]],Grower))</f>
        <v>0.22727272727272727</v>
      </c>
      <c r="CO49" s="62">
        <f>(COUNTIFS(Tbl_Responses[Phosphorus 1 - Type of test],Tbl_Q15_sampling34[[#Headers],[Olsen-Bray P]],Tbl_Responses[Phosphorus 1 - How many representative samples per paddock],$CM49,Tbl_Responses[[Resp_Group]:[Resp_Group]],Grower)+COUNTIFS(Tbl_Responses[Phosphorus 2 - Type of test],Tbl_Q15_sampling34[[#Headers],[Olsen-Bray P]],Tbl_Responses[Phosphorus 2 - How many representative samples per paddock],$CM49,Tbl_Responses[[Resp_Group]:[Resp_Group]],Grower)+COUNTIFS(Tbl_Responses[Phosphorus 3 - Type of test],Tbl_Q15_sampling34[[#Headers],[Olsen-Bray P]],Tbl_Responses[Phosphorus 3 - How many representative samples per paddock],$CM49,Tbl_Responses[[Resp_Group]:[Resp_Group]],Grower)+COUNTIFS(Tbl_Responses[Phosphorus 4 - Type of test],Tbl_Q15_sampling34[[#Headers],[Olsen-Bray P]],Tbl_Responses[Phosphorus 4 - How many representative samples per paddock],$CM49,Tbl_Responses[[Resp_Group]:[Resp_Group]],Grower)+COUNTIFS(Tbl_Responses[Phosphorus 5 - Type of test],Tbl_Q15_sampling34[[#Headers],[Olsen-Bray P]],Tbl_Responses[Phosphorus 5 - How many representative samples per paddock],$CM49,Tbl_Responses[[Resp_Group]:[Resp_Group]],Grower))/(COUNTIFS(Tbl_Responses[Phosphorus 1 - Type of test],Tbl_Q15_sampling34[[#Headers],[Olsen-Bray P]],Tbl_Responses[Phosphorus 1 - How many representative samples per paddock],"&gt;""",Tbl_Responses[[Resp_Group]:[Resp_Group]],Grower)+COUNTIFS(Tbl_Responses[Phosphorus 2 - Type of test],Tbl_Q15_sampling34[[#Headers],[Olsen-Bray P]],Tbl_Responses[Phosphorus 2 - How many representative samples per paddock],"&gt;""",Tbl_Responses[[Resp_Group]:[Resp_Group]],Grower)+COUNTIFS(Tbl_Responses[Phosphorus 3 - Type of test],Tbl_Q15_sampling34[[#Headers],[Olsen-Bray P]],Tbl_Responses[Phosphorus 3 - How many representative samples per paddock],"&gt;""",Tbl_Responses[[Resp_Group]:[Resp_Group]],Grower)+COUNTIFS(Tbl_Responses[Phosphorus 4 - Type of test],Tbl_Q15_sampling34[[#Headers],[Olsen-Bray P]],Tbl_Responses[Phosphorus 4 - How many representative samples per paddock],"&gt;""",Tbl_Responses[[Resp_Group]:[Resp_Group]],Grower)+COUNTIFS(Tbl_Responses[Phosphorus 5 - Type of test],Tbl_Q15_sampling34[[#Headers],[Olsen-Bray P]],Tbl_Responses[Phosphorus 5 - How many representative samples per paddock],"&gt;""",Tbl_Responses[[Resp_Group]:[Resp_Group]],Grower))</f>
        <v>0.25</v>
      </c>
      <c r="CP49" s="62">
        <f>(COUNTIFS(Tbl_Responses[Phosphorus 1 - Type of test],Tbl_Q15_sampling34[[#Headers],[PBI (Phosphorus Buffering Index)]],Tbl_Responses[Phosphorus 1 - How many representative samples per paddock],$CM49,Tbl_Responses[[Resp_Group]:[Resp_Group]],Grower)+COUNTIFS(Tbl_Responses[Phosphorus 2 - Type of test],Tbl_Q15_sampling34[[#Headers],[PBI (Phosphorus Buffering Index)]],Tbl_Responses[Phosphorus 2 - How many representative samples per paddock],$CM49,Tbl_Responses[[Resp_Group]:[Resp_Group]],Grower)+COUNTIFS(Tbl_Responses[Phosphorus 3 - Type of test],Tbl_Q15_sampling34[[#Headers],[PBI (Phosphorus Buffering Index)]],Tbl_Responses[Phosphorus 3 - How many representative samples per paddock],$CM49,Tbl_Responses[[Resp_Group]:[Resp_Group]],Grower)+COUNTIFS(Tbl_Responses[Phosphorus 4 - Type of test],Tbl_Q15_sampling34[[#Headers],[PBI (Phosphorus Buffering Index)]],Tbl_Responses[Phosphorus 4 - How many representative samples per paddock],$CM49,Tbl_Responses[[Resp_Group]:[Resp_Group]],Grower)+COUNTIFS(Tbl_Responses[Phosphorus 5 - Type of test],Tbl_Q15_sampling34[[#Headers],[PBI (Phosphorus Buffering Index)]],Tbl_Responses[Phosphorus 5 - How many representative samples per paddock],$CM49,Tbl_Responses[[Resp_Group]:[Resp_Group]],Grower))/(COUNTIFS(Tbl_Responses[Phosphorus 1 - Type of test],Tbl_Q15_sampling34[[#Headers],[PBI (Phosphorus Buffering Index)]],Tbl_Responses[Phosphorus 1 - How many representative samples per paddock],"&gt;""",Tbl_Responses[[Resp_Group]:[Resp_Group]],Grower)+COUNTIFS(Tbl_Responses[Phosphorus 2 - Type of test],Tbl_Q15_sampling34[[#Headers],[PBI (Phosphorus Buffering Index)]],Tbl_Responses[Phosphorus 2 - How many representative samples per paddock],"&gt;""",Tbl_Responses[[Resp_Group]:[Resp_Group]],Grower)+COUNTIFS(Tbl_Responses[Phosphorus 3 - Type of test],Tbl_Q15_sampling34[[#Headers],[PBI (Phosphorus Buffering Index)]],Tbl_Responses[Phosphorus 3 - How many representative samples per paddock],"&gt;""",Tbl_Responses[[Resp_Group]:[Resp_Group]],Grower)+COUNTIFS(Tbl_Responses[Phosphorus 4 - Type of test],Tbl_Q15_sampling34[[#Headers],[PBI (Phosphorus Buffering Index)]],Tbl_Responses[Phosphorus 4 - How many representative samples per paddock],"&gt;""",Tbl_Responses[[Resp_Group]:[Resp_Group]],Grower)+COUNTIFS(Tbl_Responses[Phosphorus 5 - Type of test],Tbl_Q15_sampling34[[#Headers],[PBI (Phosphorus Buffering Index)]],Tbl_Responses[Phosphorus 5 - How many representative samples per paddock],"&gt;""",Tbl_Responses[[Resp_Group]:[Resp_Group]],Grower))</f>
        <v>0.125</v>
      </c>
      <c r="CQ49" s="62">
        <f>(COUNTIFS(Tbl_Responses[Phosphorus 1 - Type of test],Tbl_Q15_sampling34[[#Headers],[DGT]],Tbl_Responses[Phosphorus 1 - How many representative samples per paddock],$CM49,Tbl_Responses[[Resp_Group]:[Resp_Group]],Grower)+COUNTIFS(Tbl_Responses[Phosphorus 2 - Type of test],Tbl_Q15_sampling34[[#Headers],[DGT]],Tbl_Responses[Phosphorus 2 - How many representative samples per paddock],$CM49,Tbl_Responses[[Resp_Group]:[Resp_Group]],Grower)+COUNTIFS(Tbl_Responses[Phosphorus 3 - Type of test],Tbl_Q15_sampling34[[#Headers],[DGT]],Tbl_Responses[Phosphorus 3 - How many representative samples per paddock],$CM49,Tbl_Responses[[Resp_Group]:[Resp_Group]],Grower)+COUNTIFS(Tbl_Responses[Phosphorus 4 - Type of test],Tbl_Q15_sampling34[[#Headers],[DGT]],Tbl_Responses[Phosphorus 4 - How many representative samples per paddock],$CM49,Tbl_Responses[[Resp_Group]:[Resp_Group]],Grower)+COUNTIFS(Tbl_Responses[Phosphorus 5 - Type of test],Tbl_Q15_sampling34[[#Headers],[DGT]],Tbl_Responses[Phosphorus 5 - How many representative samples per paddock],$CM49,Tbl_Responses[[Resp_Group]:[Resp_Group]],Grower))/(COUNTIFS(Tbl_Responses[Phosphorus 1 - Type of test],Tbl_Q15_sampling34[[#Headers],[DGT]],Tbl_Responses[Phosphorus 1 - How many representative samples per paddock],"&gt;""",Tbl_Responses[[Resp_Group]:[Resp_Group]],Grower)+COUNTIFS(Tbl_Responses[Phosphorus 2 - Type of test],Tbl_Q15_sampling34[[#Headers],[DGT]],Tbl_Responses[Phosphorus 2 - How many representative samples per paddock],"&gt;""",Tbl_Responses[[Resp_Group]:[Resp_Group]],Grower)+COUNTIFS(Tbl_Responses[Phosphorus 3 - Type of test],Tbl_Q15_sampling34[[#Headers],[DGT]],Tbl_Responses[Phosphorus 3 - How many representative samples per paddock],"&gt;""",Tbl_Responses[[Resp_Group]:[Resp_Group]],Grower)+COUNTIFS(Tbl_Responses[Phosphorus 4 - Type of test],Tbl_Q15_sampling34[[#Headers],[DGT]],Tbl_Responses[Phosphorus 4 - How many representative samples per paddock],"&gt;""",Tbl_Responses[[Resp_Group]:[Resp_Group]],Grower)+COUNTIFS(Tbl_Responses[Phosphorus 5 - Type of test],Tbl_Q15_sampling34[[#Headers],[DGT]],Tbl_Responses[Phosphorus 5 - How many representative samples per paddock],"&gt;""",Tbl_Responses[[Resp_Group]:[Resp_Group]],Grower))</f>
        <v>0.36363636363636365</v>
      </c>
      <c r="CR49" s="62">
        <f>(COUNTIFS(Tbl_Responses[Phosphorus 1 - Type of test],Tbl_Q15_sampling34[[#Headers],[Total P]],Tbl_Responses[Phosphorus 1 - How many representative samples per paddock],$CM49,Tbl_Responses[[Resp_Group]:[Resp_Group]],Grower)+COUNTIFS(Tbl_Responses[Phosphorus 2 - Type of test],Tbl_Q15_sampling34[[#Headers],[Total P]],Tbl_Responses[Phosphorus 2 - How many representative samples per paddock],$CM49,Tbl_Responses[[Resp_Group]:[Resp_Group]],Grower)+COUNTIFS(Tbl_Responses[Phosphorus 3 - Type of test],Tbl_Q15_sampling34[[#Headers],[Total P]],Tbl_Responses[Phosphorus 3 - How many representative samples per paddock],$CM49,Tbl_Responses[[Resp_Group]:[Resp_Group]],Grower)+COUNTIFS(Tbl_Responses[Phosphorus 4 - Type of test],Tbl_Q15_sampling34[[#Headers],[Total P]],Tbl_Responses[Phosphorus 4 - How many representative samples per paddock],$CM49,Tbl_Responses[[Resp_Group]:[Resp_Group]],Grower)+COUNTIFS(Tbl_Responses[Phosphorus 5 - Type of test],Tbl_Q15_sampling34[[#Headers],[Total P]],Tbl_Responses[Phosphorus 5 - How many representative samples per paddock],$CM49,Tbl_Responses[[Resp_Group]:[Resp_Group]],Grower))/(COUNTIFS(Tbl_Responses[Phosphorus 1 - Type of test],Tbl_Q15_sampling34[[#Headers],[Total P]],Tbl_Responses[Phosphorus 1 - How many representative samples per paddock],"&gt;""",Tbl_Responses[[Resp_Group]:[Resp_Group]],Grower)+COUNTIFS(Tbl_Responses[Phosphorus 2 - Type of test],Tbl_Q15_sampling34[[#Headers],[Total P]],Tbl_Responses[Phosphorus 2 - How many representative samples per paddock],"&gt;""",Tbl_Responses[[Resp_Group]:[Resp_Group]],Grower)+COUNTIFS(Tbl_Responses[Phosphorus 3 - Type of test],Tbl_Q15_sampling34[[#Headers],[Total P]],Tbl_Responses[Phosphorus 3 - How many representative samples per paddock],"&gt;""",Tbl_Responses[[Resp_Group]:[Resp_Group]],Grower)+COUNTIFS(Tbl_Responses[Phosphorus 4 - Type of test],Tbl_Q15_sampling34[[#Headers],[Total P]],Tbl_Responses[Phosphorus 4 - How many representative samples per paddock],"&gt;""",Tbl_Responses[[Resp_Group]:[Resp_Group]],Grower)+COUNTIFS(Tbl_Responses[Phosphorus 5 - Type of test],Tbl_Q15_sampling34[[#Headers],[Total P]],Tbl_Responses[Phosphorus 5 - How many representative samples per paddock],"&gt;""",Tbl_Responses[[Resp_Group]:[Resp_Group]],Grower))</f>
        <v>0.14285714285714285</v>
      </c>
      <c r="CS49" s="82">
        <f>(COUNTIFS(Tbl_Responses[Phosphorus 1 - How many representative samples per paddock],$CM49,Tbl_Responses[[Resp_Group]:[Resp_Group]],Grower)+COUNTIFS(Tbl_Responses[Phosphorus 2 - How many representative samples per paddock],$CM49,Tbl_Responses[[Resp_Group]:[Resp_Group]],Grower)+COUNTIFS(Tbl_Responses[Phosphorus 3 - How many representative samples per paddock],$CM49,Tbl_Responses[[Resp_Group]:[Resp_Group]],Grower)+COUNTIFS(Tbl_Responses[Phosphorus 4 - How many representative samples per paddock],$CM49,Tbl_Responses[[Resp_Group]:[Resp_Group]],Grower)+COUNTIFS(Tbl_Responses[Phosphorus 5 - How many representative samples per paddock],$CM49,Tbl_Responses[[Resp_Group]:[Resp_Group]],Grower))/(COUNTIFS(Tbl_Responses[Phosphorus 1 - How many representative samples per paddock],"&gt;""",Tbl_Responses[[Resp_Group]:[Resp_Group]],Grower)+COUNTIFS(Tbl_Responses[Phosphorus 2 - How many representative samples per paddock],"&gt;""",Tbl_Responses[[Resp_Group]:[Resp_Group]],Grower)+COUNTIFS(Tbl_Responses[Phosphorus 3 - How many representative samples per paddock],"&gt;""",Tbl_Responses[[Resp_Group]:[Resp_Group]],Grower)+COUNTIFS(Tbl_Responses[Phosphorus 4 - How many representative samples per paddock],"&gt;""",Tbl_Responses[[Resp_Group]:[Resp_Group]],Grower)+COUNTIFS(Tbl_Responses[Phosphorus 5 - How many representative samples per paddock],"&gt;""",Tbl_Responses[[Resp_Group]:[Resp_Group]],Grower))</f>
        <v>0.23076923076923078</v>
      </c>
      <c r="CT49" s="72"/>
      <c r="CU49" s="72"/>
      <c r="CV49" s="80" t="s">
        <v>185</v>
      </c>
      <c r="CW49" s="72">
        <f>(COUNTIFS(Tbl_Responses[Potassium 1 - Type of test],$CV49,Tbl_Responses[[Resp_Group]:[Resp_Group]],Grower)+COUNTIFS(Tbl_Responses[Potassium 2 - Type of test],$CV49,Tbl_Responses[[Resp_Group]:[Resp_Group]],Grower)+COUNTIFS(Tbl_Responses[Potassium 3 - Type of test],$CV49,Tbl_Responses[[Resp_Group]:[Resp_Group]],Grower))/(COUNTIFS(Tbl_Responses[Potassium 1 - Type of test],"&gt;""",Tbl_Responses[[Resp_Group]:[Resp_Group]],Grower)+COUNTIFS(Tbl_Responses[Potassium 2 - Type of test],"&gt;""",Tbl_Responses[[Resp_Group]:[Resp_Group]],Grower)+COUNTIFS(Tbl_Responses[Potassium 3 - Type of test],"&gt;""",Tbl_Responses[[Resp_Group]:[Resp_Group]],Grower))</f>
        <v>0.29166666666666669</v>
      </c>
      <c r="CX49" s="72"/>
      <c r="CY49" s="72"/>
      <c r="CZ49" s="75" t="s">
        <v>223</v>
      </c>
      <c r="DA49" s="67">
        <f>(COUNTIFS(Tbl_Responses[Potassium 1 - Type of test],Tbl_Q16_sampling35[[#Headers],[Colwell K]],Tbl_Responses[Potassium 1 - How many representative samples per paddock],$CZ49,Tbl_Responses[[Resp_Group]:[Resp_Group]],Grower)+COUNTIFS(Tbl_Responses[Potassium 2 - Type of test],Tbl_Q16_sampling35[[#Headers],[Colwell K]],Tbl_Responses[Potassium 2 - How many representative samples per paddock],$CZ49,Tbl_Responses[[Resp_Group]:[Resp_Group]],Grower)+COUNTIFS(Tbl_Responses[Potassium 3 - Type of test],Tbl_Q16_sampling35[[#Headers],[Colwell K]],Tbl_Responses[Potassium 3 - How many representative samples per paddock],$CZ49,Tbl_Responses[[Resp_Group]:[Resp_Group]],Grower))/(COUNTIFS(Tbl_Responses[Potassium 1 - Type of test],Tbl_Q16_sampling35[[#Headers],[Colwell K]],Tbl_Responses[Potassium 1 - How many representative samples per paddock],"&gt;""",Tbl_Responses[[Resp_Group]:[Resp_Group]],Grower)+COUNTIFS(Tbl_Responses[Potassium 2 - Type of test],Tbl_Q16_sampling35[[#Headers],[Colwell K]],Tbl_Responses[Potassium 2 - How many representative samples per paddock],"&gt;""",Tbl_Responses[[Resp_Group]:[Resp_Group]],Grower)+COUNTIFS(Tbl_Responses[Potassium 3 - Type of test],Tbl_Q16_sampling35[[#Headers],[Colwell K]],Tbl_Responses[Potassium 3 - How many representative samples per paddock],"&gt;""",Tbl_Responses[[Resp_Group]:[Resp_Group]],Grower))</f>
        <v>0.25</v>
      </c>
      <c r="DB49" s="62">
        <f>(COUNTIFS(Tbl_Responses[Potassium 1 - Type of test],Tbl_Q16_sampling35[[#Headers],[Exchangable Cations (Ca, Mg, K, Na)]],Tbl_Responses[Potassium 1 - How many representative samples per paddock],$CZ49,Tbl_Responses[[Resp_Group]:[Resp_Group]],Grower)+COUNTIFS(Tbl_Responses[Potassium 2 - Type of test],Tbl_Q16_sampling35[[#Headers],[Exchangable Cations (Ca, Mg, K, Na)]],Tbl_Responses[Potassium 2 - How many representative samples per paddock],$CZ49,Tbl_Responses[[Resp_Group]:[Resp_Group]],Grower)+COUNTIFS(Tbl_Responses[Potassium 3 - Type of test],Tbl_Q16_sampling35[[#Headers],[Exchangable Cations (Ca, Mg, K, Na)]],Tbl_Responses[Potassium 3 - How many representative samples per paddock],$CZ49,Tbl_Responses[[Resp_Group]:[Resp_Group]],Grower))/(COUNTIFS(Tbl_Responses[Potassium 1 - Type of test],Tbl_Q16_sampling35[[#Headers],[Exchangable Cations (Ca, Mg, K, Na)]],Tbl_Responses[Potassium 1 - How many representative samples per paddock],"&gt;""",Tbl_Responses[[Resp_Group]:[Resp_Group]],Grower)+COUNTIFS(Tbl_Responses[Potassium 2 - Type of test],Tbl_Q16_sampling35[[#Headers],[Exchangable Cations (Ca, Mg, K, Na)]],Tbl_Responses[Potassium 2 - How many representative samples per paddock],"&gt;""",Tbl_Responses[[Resp_Group]:[Resp_Group]],Grower)+COUNTIFS(Tbl_Responses[Potassium 3 - Type of test],Tbl_Q16_sampling35[[#Headers],[Exchangable Cations (Ca, Mg, K, Na)]],Tbl_Responses[Potassium 3 - How many representative samples per paddock],"&gt;""",Tbl_Responses[[Resp_Group]:[Resp_Group]],Grower))</f>
        <v>0</v>
      </c>
      <c r="DC49" s="70">
        <f>(COUNTIFS(Tbl_Responses[Potassium 1 - How many representative samples per paddock],$CZ49,Tbl_Responses[[Resp_Group]:[Resp_Group]],Grower)+COUNTIFS(Tbl_Responses[Potassium 2 - How many representative samples per paddock],$CZ49,Tbl_Responses[[Resp_Group]:[Resp_Group]],Grower)+COUNTIFS(Tbl_Responses[Potassium 3 - How many representative samples per paddock],$CZ49,Tbl_Responses[[Resp_Group]:[Resp_Group]],Grower))/(COUNTIFS(Tbl_Responses[Potassium 1 - How many representative samples per paddock],"&gt;""",Tbl_Responses[[Resp_Group]:[Resp_Group]],Grower)+COUNTIFS(Tbl_Responses[Potassium 2 - How many representative samples per paddock],"&gt;""",Tbl_Responses[[Resp_Group]:[Resp_Group]],Grower)+COUNTIFS(Tbl_Responses[Potassium 3 - How many representative samples per paddock],"&gt;""",Tbl_Responses[[Resp_Group]:[Resp_Group]],Grower))</f>
        <v>0.14285714285714285</v>
      </c>
      <c r="DD49" s="72"/>
      <c r="DE49" s="72"/>
      <c r="DF49" s="80" t="s">
        <v>191</v>
      </c>
      <c r="DG49" s="72">
        <f>(COUNTIFS(Tbl_Responses[1 - Type of test],DF49,Tbl_Responses[[Resp_Group]:[Resp_Group]],Grower)+COUNTIFS(Tbl_Responses[2 - Type of test],DF49,Tbl_Responses[[Resp_Group]:[Resp_Group]],Grower)+COUNTIFS(Tbl_Responses[3 - Type of test],DF49,Tbl_Responses[[Resp_Group]:[Resp_Group]],Grower)+COUNTIFS(Tbl_Responses[4 - Type of test],DF49,Tbl_Responses[[Resp_Group]:[Resp_Group]],Grower)+COUNTIFS(Tbl_Responses[5 - Type of test],DF49,Tbl_Responses[[Resp_Group]:[Resp_Group]],Grower))/(COUNTIFS(Tbl_Responses[1 - Type of test],"&gt;""",Tbl_Responses[[Resp_Group]:[Resp_Group]],Grower)+COUNTIFS(Tbl_Responses[2 - Type of test],"&gt;""",Tbl_Responses[[Resp_Group]:[Resp_Group]],Grower)+COUNTIFS(Tbl_Responses[3 - Type of test],"&gt;""",Tbl_Responses[[Resp_Group]:[Resp_Group]],Grower)+COUNTIFS(Tbl_Responses[4 - Type of test],"&gt;""",Tbl_Responses[[Resp_Group]:[Resp_Group]],Grower)+COUNTIFS(Tbl_Responses[5 - Type of test],"&gt;""",Tbl_Responses[[Resp_Group]:[Resp_Group]],Grower))</f>
        <v>0.21739130434782608</v>
      </c>
      <c r="DH49" s="72"/>
      <c r="DI49" s="72"/>
      <c r="DJ49" s="75" t="s">
        <v>223</v>
      </c>
      <c r="DK49" s="67">
        <f>(COUNTIFS(Tbl_Responses[1 - Type of test],Tbl_Q17_sampling36[[#Headers],[pH]],Tbl_Responses[1 - How many cores per paddock],$DJ49,Tbl_Responses[[Resp_Group]:[Resp_Group]],Grower)+COUNTIFS(Tbl_Responses[2 - Type of test],Tbl_Q17_sampling36[[#Headers],[pH]],Tbl_Responses[2 - How many cores per paddock],$DJ49,Tbl_Responses[[Resp_Group]:[Resp_Group]],Grower)+COUNTIFS(Tbl_Responses[3 - Type of test],Tbl_Q17_sampling36[[#Headers],[pH]],Tbl_Responses[3 - How many cores per paddock],$DJ49,Tbl_Responses[[Resp_Group]:[Resp_Group]],Grower)+COUNTIFS(Tbl_Responses[4 - Type of test],Tbl_Q17_sampling36[[#Headers],[pH]],Tbl_Responses[4 - How many cores per paddock],$DJ49,Tbl_Responses[[Resp_Group]:[Resp_Group]],Grower)+COUNTIFS(Tbl_Responses[5 - Type of test],Tbl_Q17_sampling36[[#Headers],[pH]],Tbl_Responses[5 - How many cores per paddock],$DJ49,Tbl_Responses[[Resp_Group]:[Resp_Group]],Grower)+COUNTIFS(Tbl_Responses[6 - Type of test],Tbl_Q17_sampling36[[#Headers],[pH]],Tbl_Responses[6 - How many cores per paddock],$DJ49,Tbl_Responses[[Resp_Group]:[Resp_Group]],Grower)+COUNTIFS(Tbl_Responses[7 - Type of test],Tbl_Q17_sampling36[[#Headers],[pH]],Tbl_Responses[7 - How many cores per paddock],$DJ49,Tbl_Responses[[Resp_Group]:[Resp_Group]],Grower)+COUNTIFS(Tbl_Responses[8 - Type of test],Tbl_Q17_sampling36[[#Headers],[pH]],Tbl_Responses[8 - How many cores per paddock],$DJ49,Tbl_Responses[[Resp_Group]:[Resp_Group]],Grower))/(COUNTIFS(Tbl_Responses[1 - Type of test],Tbl_Q17_sampling36[[#Headers],[pH]],Tbl_Responses[1 - How many cores per paddock],"&gt;""",Tbl_Responses[[Resp_Group]:[Resp_Group]],Grower)+COUNTIFS(Tbl_Responses[2 - Type of test],Tbl_Q17_sampling36[[#Headers],[pH]],Tbl_Responses[2 - How many cores per paddock],"&gt;""",Tbl_Responses[[Resp_Group]:[Resp_Group]],Grower)+COUNTIFS(Tbl_Responses[3 - Type of test],Tbl_Q17_sampling36[[#Headers],[pH]],Tbl_Responses[3 - How many cores per paddock],"&gt;""",Tbl_Responses[[Resp_Group]:[Resp_Group]],Grower)+COUNTIFS(Tbl_Responses[4 - Type of test],Tbl_Q17_sampling36[[#Headers],[pH]],Tbl_Responses[4 - How many cores per paddock],"&gt;""",Tbl_Responses[[Resp_Group]:[Resp_Group]],Grower)+COUNTIFS(Tbl_Responses[5 - Type of test],Tbl_Q17_sampling36[[#Headers],[pH]],Tbl_Responses[5 - How many cores per paddock],"&gt;""",Tbl_Responses[[Resp_Group]:[Resp_Group]],Grower)+COUNTIFS(Tbl_Responses[6 - Type of test],Tbl_Q17_sampling36[[#Headers],[pH]],Tbl_Responses[6 - How many cores per paddock],"&gt;""",Tbl_Responses[[Resp_Group]:[Resp_Group]],Grower)+COUNTIFS(Tbl_Responses[7 - Type of test],Tbl_Q17_sampling36[[#Headers],[pH]],Tbl_Responses[7 - How many cores per paddock],"&gt;""",Tbl_Responses[[Resp_Group]:[Resp_Group]],Grower)+COUNTIFS(Tbl_Responses[8 - Type of test],Tbl_Q17_sampling36[[#Headers],[pH]],Tbl_Responses[8 - How many cores per paddock],"&gt;""",Tbl_Responses[[Resp_Group]:[Resp_Group]],Grower))</f>
        <v>0</v>
      </c>
      <c r="DL49" s="62">
        <f>(COUNTIFS(Tbl_Responses[1 - Type of test],Tbl_Q17_sampling36[[#Headers],[Trace elements (DTPA) Cu, Zn, Mg, Fe]],Tbl_Responses[1 - How many cores per paddock],$DJ49,Tbl_Responses[[Resp_Group]:[Resp_Group]],Grower)+COUNTIFS(Tbl_Responses[2 - Type of test],Tbl_Q17_sampling36[[#Headers],[Trace elements (DTPA) Cu, Zn, Mg, Fe]],Tbl_Responses[2 - How many cores per paddock],$DJ49,Tbl_Responses[[Resp_Group]:[Resp_Group]],Grower)+COUNTIFS(Tbl_Responses[3 - Type of test],Tbl_Q17_sampling36[[#Headers],[Trace elements (DTPA) Cu, Zn, Mg, Fe]],Tbl_Responses[3 - How many cores per paddock],$DJ49,Tbl_Responses[[Resp_Group]:[Resp_Group]],Grower)+COUNTIFS(Tbl_Responses[4 - Type of test],Tbl_Q17_sampling36[[#Headers],[Trace elements (DTPA) Cu, Zn, Mg, Fe]],Tbl_Responses[4 - How many cores per paddock],$DJ49,Tbl_Responses[[Resp_Group]:[Resp_Group]],Grower)+COUNTIFS(Tbl_Responses[5 - Type of test],Tbl_Q17_sampling36[[#Headers],[Trace elements (DTPA) Cu, Zn, Mg, Fe]],Tbl_Responses[5 - How many cores per paddock],$DJ49,Tbl_Responses[[Resp_Group]:[Resp_Group]],Grower)+COUNTIFS(Tbl_Responses[6 - Type of test],Tbl_Q17_sampling36[[#Headers],[Trace elements (DTPA) Cu, Zn, Mg, Fe]],Tbl_Responses[6 - How many cores per paddock],$DJ49,Tbl_Responses[[Resp_Group]:[Resp_Group]],Grower)+COUNTIFS(Tbl_Responses[7 - Type of test],Tbl_Q17_sampling36[[#Headers],[Trace elements (DTPA) Cu, Zn, Mg, Fe]],Tbl_Responses[7 - How many cores per paddock],$DJ49,Tbl_Responses[[Resp_Group]:[Resp_Group]],Grower)+COUNTIFS(Tbl_Responses[8 - Type of test],Tbl_Q17_sampling36[[#Headers],[Trace elements (DTPA) Cu, Zn, Mg, Fe]],Tbl_Responses[8 - How many cores per paddock],$DJ49,Tbl_Responses[[Resp_Group]:[Resp_Group]],Grower))/(COUNTIFS(Tbl_Responses[1 - Type of test],Tbl_Q17_sampling36[[#Headers],[Trace elements (DTPA) Cu, Zn, Mg, Fe]],Tbl_Responses[1 - How many cores per paddock],"&gt;""",Tbl_Responses[[Resp_Group]:[Resp_Group]],Grower)+COUNTIFS(Tbl_Responses[2 - Type of test],Tbl_Q17_sampling36[[#Headers],[Trace elements (DTPA) Cu, Zn, Mg, Fe]],Tbl_Responses[2 - How many cores per paddock],"&gt;""",Tbl_Responses[[Resp_Group]:[Resp_Group]],Grower)+COUNTIFS(Tbl_Responses[3 - Type of test],Tbl_Q17_sampling36[[#Headers],[Trace elements (DTPA) Cu, Zn, Mg, Fe]],Tbl_Responses[3 - How many cores per paddock],"&gt;""",Tbl_Responses[[Resp_Group]:[Resp_Group]],Grower)+COUNTIFS(Tbl_Responses[4 - Type of test],Tbl_Q17_sampling36[[#Headers],[Trace elements (DTPA) Cu, Zn, Mg, Fe]],Tbl_Responses[4 - How many cores per paddock],"&gt;""",Tbl_Responses[[Resp_Group]:[Resp_Group]],Grower)+COUNTIFS(Tbl_Responses[5 - Type of test],Tbl_Q17_sampling36[[#Headers],[Trace elements (DTPA) Cu, Zn, Mg, Fe]],Tbl_Responses[5 - How many cores per paddock],"&gt;""",Tbl_Responses[[Resp_Group]:[Resp_Group]],Grower)+COUNTIFS(Tbl_Responses[6 - Type of test],Tbl_Q17_sampling36[[#Headers],[Trace elements (DTPA) Cu, Zn, Mg, Fe]],Tbl_Responses[6 - How many cores per paddock],"&gt;""",Tbl_Responses[[Resp_Group]:[Resp_Group]],Grower)+COUNTIFS(Tbl_Responses[7 - Type of test],Tbl_Q17_sampling36[[#Headers],[Trace elements (DTPA) Cu, Zn, Mg, Fe]],Tbl_Responses[7 - How many cores per paddock],"&gt;""",Tbl_Responses[[Resp_Group]:[Resp_Group]],Grower)+COUNTIFS(Tbl_Responses[8 - Type of test],Tbl_Q17_sampling36[[#Headers],[Trace elements (DTPA) Cu, Zn, Mg, Fe]],Tbl_Responses[8 - How many cores per paddock],"&gt;""",Tbl_Responses[[Resp_Group]:[Resp_Group]],Grower))</f>
        <v>0</v>
      </c>
      <c r="DM49" s="62">
        <f>(COUNTIFS(Tbl_Responses[1 - Type of test],Tbl_Q17_sampling36[[#Headers],[Trace elements (EDTA) Cu, Zn, Mg, Fe]],Tbl_Responses[1 - How many cores per paddock],$DJ49,Tbl_Responses[[Resp_Group]:[Resp_Group]],Grower)+COUNTIFS(Tbl_Responses[2 - Type of test],Tbl_Q17_sampling36[[#Headers],[Trace elements (EDTA) Cu, Zn, Mg, Fe]],Tbl_Responses[2 - How many cores per paddock],$DJ49,Tbl_Responses[[Resp_Group]:[Resp_Group]],Grower)+COUNTIFS(Tbl_Responses[3 - Type of test],Tbl_Q17_sampling36[[#Headers],[Trace elements (EDTA) Cu, Zn, Mg, Fe]],Tbl_Responses[3 - How many cores per paddock],$DJ49,Tbl_Responses[[Resp_Group]:[Resp_Group]],Grower)+COUNTIFS(Tbl_Responses[4 - Type of test],Tbl_Q17_sampling36[[#Headers],[Trace elements (EDTA) Cu, Zn, Mg, Fe]],Tbl_Responses[4 - How many cores per paddock],$DJ49,Tbl_Responses[[Resp_Group]:[Resp_Group]],Grower)+COUNTIFS(Tbl_Responses[5 - Type of test],Tbl_Q17_sampling36[[#Headers],[Trace elements (EDTA) Cu, Zn, Mg, Fe]],Tbl_Responses[5 - How many cores per paddock],$DJ49,Tbl_Responses[[Resp_Group]:[Resp_Group]],Grower)+COUNTIFS(Tbl_Responses[6 - Type of test],Tbl_Q17_sampling36[[#Headers],[Trace elements (EDTA) Cu, Zn, Mg, Fe]],Tbl_Responses[6 - How many cores per paddock],$DJ49,Tbl_Responses[[Resp_Group]:[Resp_Group]],Grower)+COUNTIFS(Tbl_Responses[7 - Type of test],Tbl_Q17_sampling36[[#Headers],[Trace elements (EDTA) Cu, Zn, Mg, Fe]],Tbl_Responses[7 - How many cores per paddock],$DJ49,Tbl_Responses[[Resp_Group]:[Resp_Group]],Grower)+COUNTIFS(Tbl_Responses[8 - Type of test],Tbl_Q17_sampling36[[#Headers],[Trace elements (EDTA) Cu, Zn, Mg, Fe]],Tbl_Responses[8 - How many cores per paddock],$DJ49,Tbl_Responses[[Resp_Group]:[Resp_Group]],Grower))/(COUNTIFS(Tbl_Responses[1 - Type of test],Tbl_Q17_sampling36[[#Headers],[Trace elements (EDTA) Cu, Zn, Mg, Fe]],Tbl_Responses[1 - How many cores per paddock],"&gt;""",Tbl_Responses[[Resp_Group]:[Resp_Group]],Grower)+COUNTIFS(Tbl_Responses[2 - Type of test],Tbl_Q17_sampling36[[#Headers],[Trace elements (EDTA) Cu, Zn, Mg, Fe]],Tbl_Responses[2 - How many cores per paddock],"&gt;""",Tbl_Responses[[Resp_Group]:[Resp_Group]],Grower)+COUNTIFS(Tbl_Responses[3 - Type of test],Tbl_Q17_sampling36[[#Headers],[Trace elements (EDTA) Cu, Zn, Mg, Fe]],Tbl_Responses[3 - How many cores per paddock],"&gt;""",Tbl_Responses[[Resp_Group]:[Resp_Group]],Grower)+COUNTIFS(Tbl_Responses[4 - Type of test],Tbl_Q17_sampling36[[#Headers],[Trace elements (EDTA) Cu, Zn, Mg, Fe]],Tbl_Responses[4 - How many cores per paddock],"&gt;""",Tbl_Responses[[Resp_Group]:[Resp_Group]],Grower)+COUNTIFS(Tbl_Responses[5 - Type of test],Tbl_Q17_sampling36[[#Headers],[Trace elements (EDTA) Cu, Zn, Mg, Fe]],Tbl_Responses[5 - How many cores per paddock],"&gt;""",Tbl_Responses[[Resp_Group]:[Resp_Group]],Grower)+COUNTIFS(Tbl_Responses[6 - Type of test],Tbl_Q17_sampling36[[#Headers],[Trace elements (EDTA) Cu, Zn, Mg, Fe]],Tbl_Responses[6 - How many cores per paddock],"&gt;""",Tbl_Responses[[Resp_Group]:[Resp_Group]],Grower)+COUNTIFS(Tbl_Responses[7 - Type of test],Tbl_Q17_sampling36[[#Headers],[Trace elements (EDTA) Cu, Zn, Mg, Fe]],Tbl_Responses[7 - How many cores per paddock],"&gt;""",Tbl_Responses[[Resp_Group]:[Resp_Group]],Grower)+COUNTIFS(Tbl_Responses[8 - Type of test],Tbl_Q17_sampling36[[#Headers],[Trace elements (EDTA) Cu, Zn, Mg, Fe]],Tbl_Responses[8 - How many cores per paddock],"&gt;""",Tbl_Responses[[Resp_Group]:[Resp_Group]],Grower))</f>
        <v>0</v>
      </c>
      <c r="DN49" s="62">
        <f>(COUNTIFS(Tbl_Responses[1 - Type of test],Tbl_Q17_sampling36[[#Headers],[Exchangable cations - Ca, Mg, Na, K]],Tbl_Responses[1 - How many cores per paddock],$DJ49,Tbl_Responses[[Resp_Group]:[Resp_Group]],Grower)+COUNTIFS(Tbl_Responses[2 - Type of test],Tbl_Q17_sampling36[[#Headers],[Exchangable cations - Ca, Mg, Na, K]],Tbl_Responses[2 - How many cores per paddock],$DJ49,Tbl_Responses[[Resp_Group]:[Resp_Group]],Grower)+COUNTIFS(Tbl_Responses[3 - Type of test],Tbl_Q17_sampling36[[#Headers],[Exchangable cations - Ca, Mg, Na, K]],Tbl_Responses[3 - How many cores per paddock],$DJ49,Tbl_Responses[[Resp_Group]:[Resp_Group]],Grower)+COUNTIFS(Tbl_Responses[4 - Type of test],Tbl_Q17_sampling36[[#Headers],[Exchangable cations - Ca, Mg, Na, K]],Tbl_Responses[4 - How many cores per paddock],$DJ49,Tbl_Responses[[Resp_Group]:[Resp_Group]],Grower)+COUNTIFS(Tbl_Responses[5 - Type of test],Tbl_Q17_sampling36[[#Headers],[Exchangable cations - Ca, Mg, Na, K]],Tbl_Responses[5 - How many cores per paddock],$DJ49,Tbl_Responses[[Resp_Group]:[Resp_Group]],Grower)+COUNTIFS(Tbl_Responses[6 - Type of test],Tbl_Q17_sampling36[[#Headers],[Exchangable cations - Ca, Mg, Na, K]],Tbl_Responses[6 - How many cores per paddock],$DJ49,Tbl_Responses[[Resp_Group]:[Resp_Group]],Grower)+COUNTIFS(Tbl_Responses[7 - Type of test],Tbl_Q17_sampling36[[#Headers],[Exchangable cations - Ca, Mg, Na, K]],Tbl_Responses[7 - How many cores per paddock],$DJ49,Tbl_Responses[[Resp_Group]:[Resp_Group]],Grower)+COUNTIFS(Tbl_Responses[8 - Type of test],Tbl_Q17_sampling36[[#Headers],[Exchangable cations - Ca, Mg, Na, K]],Tbl_Responses[8 - How many cores per paddock],$DJ49,Tbl_Responses[[Resp_Group]:[Resp_Group]],Grower))/(COUNTIFS(Tbl_Responses[1 - Type of test],Tbl_Q17_sampling36[[#Headers],[Exchangable cations - Ca, Mg, Na, K]],Tbl_Responses[1 - How many cores per paddock],"&gt;""",Tbl_Responses[[Resp_Group]:[Resp_Group]],Grower)+COUNTIFS(Tbl_Responses[2 - Type of test],Tbl_Q17_sampling36[[#Headers],[Exchangable cations - Ca, Mg, Na, K]],Tbl_Responses[2 - How many cores per paddock],"&gt;""",Tbl_Responses[[Resp_Group]:[Resp_Group]],Grower)+COUNTIFS(Tbl_Responses[3 - Type of test],Tbl_Q17_sampling36[[#Headers],[Exchangable cations - Ca, Mg, Na, K]],Tbl_Responses[3 - How many cores per paddock],"&gt;""",Tbl_Responses[[Resp_Group]:[Resp_Group]],Grower)+COUNTIFS(Tbl_Responses[4 - Type of test],Tbl_Q17_sampling36[[#Headers],[Exchangable cations - Ca, Mg, Na, K]],Tbl_Responses[4 - How many cores per paddock],"&gt;""",Tbl_Responses[[Resp_Group]:[Resp_Group]],Grower)+COUNTIFS(Tbl_Responses[5 - Type of test],Tbl_Q17_sampling36[[#Headers],[Exchangable cations - Ca, Mg, Na, K]],Tbl_Responses[5 - How many cores per paddock],"&gt;""",Tbl_Responses[[Resp_Group]:[Resp_Group]],Grower)+COUNTIFS(Tbl_Responses[6 - Type of test],Tbl_Q17_sampling36[[#Headers],[Exchangable cations - Ca, Mg, Na, K]],Tbl_Responses[6 - How many cores per paddock],"&gt;""",Tbl_Responses[[Resp_Group]:[Resp_Group]],Grower)+COUNTIFS(Tbl_Responses[7 - Type of test],Tbl_Q17_sampling36[[#Headers],[Exchangable cations - Ca, Mg, Na, K]],Tbl_Responses[7 - How many cores per paddock],"&gt;""",Tbl_Responses[[Resp_Group]:[Resp_Group]],Grower)+COUNTIFS(Tbl_Responses[8 - Type of test],Tbl_Q17_sampling36[[#Headers],[Exchangable cations - Ca, Mg, Na, K]],Tbl_Responses[8 - How many cores per paddock],"&gt;""",Tbl_Responses[[Resp_Group]:[Resp_Group]],Grower))</f>
        <v>0</v>
      </c>
      <c r="DO49" s="62">
        <f>(COUNTIFS(Tbl_Responses[1 - Type of test],Tbl_Q17_sampling36[[#Headers],[Texture]],Tbl_Responses[1 - How many cores per paddock],$DJ49,Tbl_Responses[[Resp_Group]:[Resp_Group]],Grower)+COUNTIFS(Tbl_Responses[2 - Type of test],Tbl_Q17_sampling36[[#Headers],[Texture]],Tbl_Responses[2 - How many cores per paddock],$DJ49,Tbl_Responses[[Resp_Group]:[Resp_Group]],Grower)+COUNTIFS(Tbl_Responses[3 - Type of test],Tbl_Q17_sampling36[[#Headers],[Texture]],Tbl_Responses[3 - How many cores per paddock],$DJ49,Tbl_Responses[[Resp_Group]:[Resp_Group]],Grower)+COUNTIFS(Tbl_Responses[4 - Type of test],Tbl_Q17_sampling36[[#Headers],[Texture]],Tbl_Responses[4 - How many cores per paddock],$DJ49,Tbl_Responses[[Resp_Group]:[Resp_Group]],Grower)+COUNTIFS(Tbl_Responses[5 - Type of test],Tbl_Q17_sampling36[[#Headers],[Texture]],Tbl_Responses[5 - How many cores per paddock],$DJ49,Tbl_Responses[[Resp_Group]:[Resp_Group]],Grower)+COUNTIFS(Tbl_Responses[6 - Type of test],Tbl_Q17_sampling36[[#Headers],[Texture]],Tbl_Responses[6 - How many cores per paddock],$DJ49,Tbl_Responses[[Resp_Group]:[Resp_Group]],Grower)+COUNTIFS(Tbl_Responses[7 - Type of test],Tbl_Q17_sampling36[[#Headers],[Texture]],Tbl_Responses[7 - How many cores per paddock],$DJ49,Tbl_Responses[[Resp_Group]:[Resp_Group]],Grower)+COUNTIFS(Tbl_Responses[8 - Type of test],Tbl_Q17_sampling36[[#Headers],[Texture]],Tbl_Responses[8 - How many cores per paddock],$DJ49,Tbl_Responses[[Resp_Group]:[Resp_Group]],Grower))/(COUNTIFS(Tbl_Responses[1 - Type of test],Tbl_Q17_sampling36[[#Headers],[Texture]],Tbl_Responses[1 - How many cores per paddock],"&gt;""",Tbl_Responses[[Resp_Group]:[Resp_Group]],Grower)+COUNTIFS(Tbl_Responses[2 - Type of test],Tbl_Q17_sampling36[[#Headers],[Texture]],Tbl_Responses[2 - How many cores per paddock],"&gt;""",Tbl_Responses[[Resp_Group]:[Resp_Group]],Grower)+COUNTIFS(Tbl_Responses[3 - Type of test],Tbl_Q17_sampling36[[#Headers],[Texture]],Tbl_Responses[3 - How many cores per paddock],"&gt;""",Tbl_Responses[[Resp_Group]:[Resp_Group]],Grower)+COUNTIFS(Tbl_Responses[4 - Type of test],Tbl_Q17_sampling36[[#Headers],[Texture]],Tbl_Responses[4 - How many cores per paddock],"&gt;""",Tbl_Responses[[Resp_Group]:[Resp_Group]],Grower)+COUNTIFS(Tbl_Responses[5 - Type of test],Tbl_Q17_sampling36[[#Headers],[Texture]],Tbl_Responses[5 - How many cores per paddock],"&gt;""",Tbl_Responses[[Resp_Group]:[Resp_Group]],Grower)+COUNTIFS(Tbl_Responses[6 - Type of test],Tbl_Q17_sampling36[[#Headers],[Texture]],Tbl_Responses[6 - How many cores per paddock],"&gt;""",Tbl_Responses[[Resp_Group]:[Resp_Group]],Grower)+COUNTIFS(Tbl_Responses[7 - Type of test],Tbl_Q17_sampling36[[#Headers],[Texture]],Tbl_Responses[7 - How many cores per paddock],"&gt;""",Tbl_Responses[[Resp_Group]:[Resp_Group]],Grower)+COUNTIFS(Tbl_Responses[8 - Type of test],Tbl_Q17_sampling36[[#Headers],[Texture]],Tbl_Responses[8 - How many cores per paddock],"&gt;""",Tbl_Responses[[Resp_Group]:[Resp_Group]],Grower))</f>
        <v>0.16666666666666666</v>
      </c>
      <c r="DP49" s="62">
        <f>(COUNTIFS(Tbl_Responses[1 - Type of test],Tbl_Q17_sampling36[[#Headers],[Aluminium (CaCl2)]],Tbl_Responses[1 - How many cores per paddock],$DJ49,Tbl_Responses[[Resp_Group]:[Resp_Group]],Grower)+COUNTIFS(Tbl_Responses[2 - Type of test],Tbl_Q17_sampling36[[#Headers],[Aluminium (CaCl2)]],Tbl_Responses[2 - How many cores per paddock],$DJ49,Tbl_Responses[[Resp_Group]:[Resp_Group]],Grower)+COUNTIFS(Tbl_Responses[3 - Type of test],Tbl_Q17_sampling36[[#Headers],[Aluminium (CaCl2)]],Tbl_Responses[3 - How many cores per paddock],$DJ49,Tbl_Responses[[Resp_Group]:[Resp_Group]],Grower)+COUNTIFS(Tbl_Responses[4 - Type of test],Tbl_Q17_sampling36[[#Headers],[Aluminium (CaCl2)]],Tbl_Responses[4 - How many cores per paddock],$DJ49,Tbl_Responses[[Resp_Group]:[Resp_Group]],Grower)+COUNTIFS(Tbl_Responses[5 - Type of test],Tbl_Q17_sampling36[[#Headers],[Aluminium (CaCl2)]],Tbl_Responses[5 - How many cores per paddock],$DJ49,Tbl_Responses[[Resp_Group]:[Resp_Group]],Grower)+COUNTIFS(Tbl_Responses[6 - Type of test],Tbl_Q17_sampling36[[#Headers],[Aluminium (CaCl2)]],Tbl_Responses[6 - How many cores per paddock],$DJ49,Tbl_Responses[[Resp_Group]:[Resp_Group]],Grower)+COUNTIFS(Tbl_Responses[7 - Type of test],Tbl_Q17_sampling36[[#Headers],[Aluminium (CaCl2)]],Tbl_Responses[7 - How many cores per paddock],$DJ49,Tbl_Responses[[Resp_Group]:[Resp_Group]],Grower)+COUNTIFS(Tbl_Responses[8 - Type of test],Tbl_Q17_sampling36[[#Headers],[Aluminium (CaCl2)]],Tbl_Responses[8 - How many cores per paddock],$DJ49,Tbl_Responses[[Resp_Group]:[Resp_Group]],Grower))/(COUNTIFS(Tbl_Responses[1 - Type of test],Tbl_Q17_sampling36[[#Headers],[Aluminium (CaCl2)]],Tbl_Responses[1 - How many cores per paddock],"&gt;""",Tbl_Responses[[Resp_Group]:[Resp_Group]],Grower)+COUNTIFS(Tbl_Responses[2 - Type of test],Tbl_Q17_sampling36[[#Headers],[Aluminium (CaCl2)]],Tbl_Responses[2 - How many cores per paddock],"&gt;""",Tbl_Responses[[Resp_Group]:[Resp_Group]],Grower)+COUNTIFS(Tbl_Responses[3 - Type of test],Tbl_Q17_sampling36[[#Headers],[Aluminium (CaCl2)]],Tbl_Responses[3 - How many cores per paddock],"&gt;""",Tbl_Responses[[Resp_Group]:[Resp_Group]],Grower)+COUNTIFS(Tbl_Responses[4 - Type of test],Tbl_Q17_sampling36[[#Headers],[Aluminium (CaCl2)]],Tbl_Responses[4 - How many cores per paddock],"&gt;""",Tbl_Responses[[Resp_Group]:[Resp_Group]],Grower)+COUNTIFS(Tbl_Responses[5 - Type of test],Tbl_Q17_sampling36[[#Headers],[Aluminium (CaCl2)]],Tbl_Responses[5 - How many cores per paddock],"&gt;""",Tbl_Responses[[Resp_Group]:[Resp_Group]],Grower)+COUNTIFS(Tbl_Responses[6 - Type of test],Tbl_Q17_sampling36[[#Headers],[Aluminium (CaCl2)]],Tbl_Responses[6 - How many cores per paddock],"&gt;""",Tbl_Responses[[Resp_Group]:[Resp_Group]],Grower)+COUNTIFS(Tbl_Responses[7 - Type of test],Tbl_Q17_sampling36[[#Headers],[Aluminium (CaCl2)]],Tbl_Responses[7 - How many cores per paddock],"&gt;""",Tbl_Responses[[Resp_Group]:[Resp_Group]],Grower)+COUNTIFS(Tbl_Responses[8 - Type of test],Tbl_Q17_sampling36[[#Headers],[Aluminium (CaCl2)]],Tbl_Responses[8 - How many cores per paddock],"&gt;""",Tbl_Responses[[Resp_Group]:[Resp_Group]],Grower))</f>
        <v>0</v>
      </c>
      <c r="DQ49" s="62">
        <f>(COUNTIFS(Tbl_Responses[1 - Type of test],Tbl_Q17_sampling36[[#Headers],[Chloride]],Tbl_Responses[1 - How many cores per paddock],$DJ49,Tbl_Responses[[Resp_Group]:[Resp_Group]],Grower)+COUNTIFS(Tbl_Responses[2 - Type of test],Tbl_Q17_sampling36[[#Headers],[Chloride]],Tbl_Responses[2 - How many cores per paddock],$DJ49,Tbl_Responses[[Resp_Group]:[Resp_Group]],Grower)+COUNTIFS(Tbl_Responses[3 - Type of test],Tbl_Q17_sampling36[[#Headers],[Chloride]],Tbl_Responses[3 - How many cores per paddock],$DJ49,Tbl_Responses[[Resp_Group]:[Resp_Group]],Grower)+COUNTIFS(Tbl_Responses[4 - Type of test],Tbl_Q17_sampling36[[#Headers],[Chloride]],Tbl_Responses[4 - How many cores per paddock],$DJ49,Tbl_Responses[[Resp_Group]:[Resp_Group]],Grower)+COUNTIFS(Tbl_Responses[5 - Type of test],Tbl_Q17_sampling36[[#Headers],[Chloride]],Tbl_Responses[5 - How many cores per paddock],$DJ49,Tbl_Responses[[Resp_Group]:[Resp_Group]],Grower)+COUNTIFS(Tbl_Responses[6 - Type of test],Tbl_Q17_sampling36[[#Headers],[Chloride]],Tbl_Responses[6 - How many cores per paddock],$DJ49,Tbl_Responses[[Resp_Group]:[Resp_Group]],Grower)+COUNTIFS(Tbl_Responses[7 - Type of test],Tbl_Q17_sampling36[[#Headers],[Chloride]],Tbl_Responses[7 - How many cores per paddock],$DJ49,Tbl_Responses[[Resp_Group]:[Resp_Group]],Grower)+COUNTIFS(Tbl_Responses[8 - Type of test],Tbl_Q17_sampling36[[#Headers],[Chloride]],Tbl_Responses[8 - How many cores per paddock],$DJ49,Tbl_Responses[[Resp_Group]:[Resp_Group]],Grower))/(COUNTIFS(Tbl_Responses[1 - Type of test],Tbl_Q17_sampling36[[#Headers],[Chloride]],Tbl_Responses[1 - How many cores per paddock],"&gt;""",Tbl_Responses[[Resp_Group]:[Resp_Group]],Grower)+COUNTIFS(Tbl_Responses[2 - Type of test],Tbl_Q17_sampling36[[#Headers],[Chloride]],Tbl_Responses[2 - How many cores per paddock],"&gt;""",Tbl_Responses[[Resp_Group]:[Resp_Group]],Grower)+COUNTIFS(Tbl_Responses[3 - Type of test],Tbl_Q17_sampling36[[#Headers],[Chloride]],Tbl_Responses[3 - How many cores per paddock],"&gt;""",Tbl_Responses[[Resp_Group]:[Resp_Group]],Grower)+COUNTIFS(Tbl_Responses[4 - Type of test],Tbl_Q17_sampling36[[#Headers],[Chloride]],Tbl_Responses[4 - How many cores per paddock],"&gt;""",Tbl_Responses[[Resp_Group]:[Resp_Group]],Grower)+COUNTIFS(Tbl_Responses[5 - Type of test],Tbl_Q17_sampling36[[#Headers],[Chloride]],Tbl_Responses[5 - How many cores per paddock],"&gt;""",Tbl_Responses[[Resp_Group]:[Resp_Group]],Grower)+COUNTIFS(Tbl_Responses[6 - Type of test],Tbl_Q17_sampling36[[#Headers],[Chloride]],Tbl_Responses[6 - How many cores per paddock],"&gt;""",Tbl_Responses[[Resp_Group]:[Resp_Group]],Grower)+COUNTIFS(Tbl_Responses[7 - Type of test],Tbl_Q17_sampling36[[#Headers],[Chloride]],Tbl_Responses[7 - How many cores per paddock],"&gt;""",Tbl_Responses[[Resp_Group]:[Resp_Group]],Grower)+COUNTIFS(Tbl_Responses[8 - Type of test],Tbl_Q17_sampling36[[#Headers],[Chloride]],Tbl_Responses[8 - How many cores per paddock],"&gt;""",Tbl_Responses[[Resp_Group]:[Resp_Group]],Grower))</f>
        <v>0</v>
      </c>
      <c r="DR49" s="62">
        <f>(COUNTIFS(Tbl_Responses[1 - Type of test],Tbl_Q17_sampling36[[#Headers],[Boron]],Tbl_Responses[1 - How many cores per paddock],$DJ49,Tbl_Responses[[Resp_Group]:[Resp_Group]],Grower)+COUNTIFS(Tbl_Responses[2 - Type of test],Tbl_Q17_sampling36[[#Headers],[Boron]],Tbl_Responses[2 - How many cores per paddock],$DJ49,Tbl_Responses[[Resp_Group]:[Resp_Group]],Grower)+COUNTIFS(Tbl_Responses[3 - Type of test],Tbl_Q17_sampling36[[#Headers],[Boron]],Tbl_Responses[3 - How many cores per paddock],$DJ49,Tbl_Responses[[Resp_Group]:[Resp_Group]],Grower)+COUNTIFS(Tbl_Responses[4 - Type of test],Tbl_Q17_sampling36[[#Headers],[Boron]],Tbl_Responses[4 - How many cores per paddock],$DJ49,Tbl_Responses[[Resp_Group]:[Resp_Group]],Grower)+COUNTIFS(Tbl_Responses[5 - Type of test],Tbl_Q17_sampling36[[#Headers],[Boron]],Tbl_Responses[5 - How many cores per paddock],$DJ49,Tbl_Responses[[Resp_Group]:[Resp_Group]],Grower)+COUNTIFS(Tbl_Responses[6 - Type of test],Tbl_Q17_sampling36[[#Headers],[Boron]],Tbl_Responses[6 - How many cores per paddock],$DJ49,Tbl_Responses[[Resp_Group]:[Resp_Group]],Grower)+COUNTIFS(Tbl_Responses[7 - Type of test],Tbl_Q17_sampling36[[#Headers],[Boron]],Tbl_Responses[7 - How many cores per paddock],$DJ49,Tbl_Responses[[Resp_Group]:[Resp_Group]],Grower)+COUNTIFS(Tbl_Responses[8 - Type of test],Tbl_Q17_sampling36[[#Headers],[Boron]],Tbl_Responses[8 - How many cores per paddock],$DJ49,Tbl_Responses[[Resp_Group]:[Resp_Group]],Grower))/(COUNTIFS(Tbl_Responses[1 - Type of test],Tbl_Q17_sampling36[[#Headers],[Boron]],Tbl_Responses[1 - How many cores per paddock],"&gt;""",Tbl_Responses[[Resp_Group]:[Resp_Group]],Grower)+COUNTIFS(Tbl_Responses[2 - Type of test],Tbl_Q17_sampling36[[#Headers],[Boron]],Tbl_Responses[2 - How many cores per paddock],"&gt;""",Tbl_Responses[[Resp_Group]:[Resp_Group]],Grower)+COUNTIFS(Tbl_Responses[3 - Type of test],Tbl_Q17_sampling36[[#Headers],[Boron]],Tbl_Responses[3 - How many cores per paddock],"&gt;""",Tbl_Responses[[Resp_Group]:[Resp_Group]],Grower)+COUNTIFS(Tbl_Responses[4 - Type of test],Tbl_Q17_sampling36[[#Headers],[Boron]],Tbl_Responses[4 - How many cores per paddock],"&gt;""",Tbl_Responses[[Resp_Group]:[Resp_Group]],Grower)+COUNTIFS(Tbl_Responses[5 - Type of test],Tbl_Q17_sampling36[[#Headers],[Boron]],Tbl_Responses[5 - How many cores per paddock],"&gt;""",Tbl_Responses[[Resp_Group]:[Resp_Group]],Grower)+COUNTIFS(Tbl_Responses[6 - Type of test],Tbl_Q17_sampling36[[#Headers],[Boron]],Tbl_Responses[6 - How many cores per paddock],"&gt;""",Tbl_Responses[[Resp_Group]:[Resp_Group]],Grower)+COUNTIFS(Tbl_Responses[7 - Type of test],Tbl_Q17_sampling36[[#Headers],[Boron]],Tbl_Responses[7 - How many cores per paddock],"&gt;""",Tbl_Responses[[Resp_Group]:[Resp_Group]],Grower)+COUNTIFS(Tbl_Responses[8 - Type of test],Tbl_Q17_sampling36[[#Headers],[Boron]],Tbl_Responses[8 - How many cores per paddock],"&gt;""",Tbl_Responses[[Resp_Group]:[Resp_Group]],Grower))</f>
        <v>0</v>
      </c>
      <c r="DS49" s="62">
        <f>(COUNTIFS(Tbl_Responses[1 - Type of test],Tbl_Q17_sampling36[[#Headers],[Sulfur (KCl40)]],Tbl_Responses[1 - How many cores per paddock],$DJ49,Tbl_Responses[[Resp_Group]:[Resp_Group]],Grower)+COUNTIFS(Tbl_Responses[2 - Type of test],Tbl_Q17_sampling36[[#Headers],[Sulfur (KCl40)]],Tbl_Responses[2 - How many cores per paddock],$DJ49,Tbl_Responses[[Resp_Group]:[Resp_Group]],Grower)+COUNTIFS(Tbl_Responses[3 - Type of test],Tbl_Q17_sampling36[[#Headers],[Sulfur (KCl40)]],Tbl_Responses[3 - How many cores per paddock],$DJ49,Tbl_Responses[[Resp_Group]:[Resp_Group]],Grower)+COUNTIFS(Tbl_Responses[4 - Type of test],Tbl_Q17_sampling36[[#Headers],[Sulfur (KCl40)]],Tbl_Responses[4 - How many cores per paddock],$DJ49,Tbl_Responses[[Resp_Group]:[Resp_Group]],Grower)+COUNTIFS(Tbl_Responses[5 - Type of test],Tbl_Q17_sampling36[[#Headers],[Sulfur (KCl40)]],Tbl_Responses[5 - How many cores per paddock],$DJ49,Tbl_Responses[[Resp_Group]:[Resp_Group]],Grower)+COUNTIFS(Tbl_Responses[6 - Type of test],Tbl_Q17_sampling36[[#Headers],[Sulfur (KCl40)]],Tbl_Responses[6 - How many cores per paddock],$DJ49,Tbl_Responses[[Resp_Group]:[Resp_Group]],Grower)+COUNTIFS(Tbl_Responses[7 - Type of test],Tbl_Q17_sampling36[[#Headers],[Sulfur (KCl40)]],Tbl_Responses[7 - How many cores per paddock],$DJ49,Tbl_Responses[[Resp_Group]:[Resp_Group]],Grower)+COUNTIFS(Tbl_Responses[8 - Type of test],Tbl_Q17_sampling36[[#Headers],[Sulfur (KCl40)]],Tbl_Responses[8 - How many cores per paddock],$DJ49,Tbl_Responses[[Resp_Group]:[Resp_Group]],Grower))/(COUNTIFS(Tbl_Responses[1 - Type of test],Tbl_Q17_sampling36[[#Headers],[Sulfur (KCl40)]],Tbl_Responses[1 - How many cores per paddock],"&gt;""",Tbl_Responses[[Resp_Group]:[Resp_Group]],Grower)+COUNTIFS(Tbl_Responses[2 - Type of test],Tbl_Q17_sampling36[[#Headers],[Sulfur (KCl40)]],Tbl_Responses[2 - How many cores per paddock],"&gt;""",Tbl_Responses[[Resp_Group]:[Resp_Group]],Grower)+COUNTIFS(Tbl_Responses[3 - Type of test],Tbl_Q17_sampling36[[#Headers],[Sulfur (KCl40)]],Tbl_Responses[3 - How many cores per paddock],"&gt;""",Tbl_Responses[[Resp_Group]:[Resp_Group]],Grower)+COUNTIFS(Tbl_Responses[4 - Type of test],Tbl_Q17_sampling36[[#Headers],[Sulfur (KCl40)]],Tbl_Responses[4 - How many cores per paddock],"&gt;""",Tbl_Responses[[Resp_Group]:[Resp_Group]],Grower)+COUNTIFS(Tbl_Responses[5 - Type of test],Tbl_Q17_sampling36[[#Headers],[Sulfur (KCl40)]],Tbl_Responses[5 - How many cores per paddock],"&gt;""",Tbl_Responses[[Resp_Group]:[Resp_Group]],Grower)+COUNTIFS(Tbl_Responses[6 - Type of test],Tbl_Q17_sampling36[[#Headers],[Sulfur (KCl40)]],Tbl_Responses[6 - How many cores per paddock],"&gt;""",Tbl_Responses[[Resp_Group]:[Resp_Group]],Grower)+COUNTIFS(Tbl_Responses[7 - Type of test],Tbl_Q17_sampling36[[#Headers],[Sulfur (KCl40)]],Tbl_Responses[7 - How many cores per paddock],"&gt;""",Tbl_Responses[[Resp_Group]:[Resp_Group]],Grower)+COUNTIFS(Tbl_Responses[8 - Type of test],Tbl_Q17_sampling36[[#Headers],[Sulfur (KCl40)]],Tbl_Responses[8 - How many cores per paddock],"&gt;""",Tbl_Responses[[Resp_Group]:[Resp_Group]],Grower))</f>
        <v>0.125</v>
      </c>
      <c r="DT49" s="62">
        <f>(COUNTIFS(Tbl_Responses[1 - Type of test],Tbl_Q17_sampling36[[#Headers],[Calcium carbonate %]],Tbl_Responses[1 - How many cores per paddock],$DJ49,Tbl_Responses[[Resp_Group]:[Resp_Group]],Grower)+COUNTIFS(Tbl_Responses[2 - Type of test],Tbl_Q17_sampling36[[#Headers],[Calcium carbonate %]],Tbl_Responses[2 - How many cores per paddock],$DJ49,Tbl_Responses[[Resp_Group]:[Resp_Group]],Grower)+COUNTIFS(Tbl_Responses[3 - Type of test],Tbl_Q17_sampling36[[#Headers],[Calcium carbonate %]],Tbl_Responses[3 - How many cores per paddock],$DJ49,Tbl_Responses[[Resp_Group]:[Resp_Group]],Grower)+COUNTIFS(Tbl_Responses[4 - Type of test],Tbl_Q17_sampling36[[#Headers],[Calcium carbonate %]],Tbl_Responses[4 - How many cores per paddock],$DJ49,Tbl_Responses[[Resp_Group]:[Resp_Group]],Grower)+COUNTIFS(Tbl_Responses[5 - Type of test],Tbl_Q17_sampling36[[#Headers],[Calcium carbonate %]],Tbl_Responses[5 - How many cores per paddock],$DJ49,Tbl_Responses[[Resp_Group]:[Resp_Group]],Grower)+COUNTIFS(Tbl_Responses[6 - Type of test],Tbl_Q17_sampling36[[#Headers],[Calcium carbonate %]],Tbl_Responses[6 - How many cores per paddock],$DJ49,Tbl_Responses[[Resp_Group]:[Resp_Group]],Grower)+COUNTIFS(Tbl_Responses[7 - Type of test],Tbl_Q17_sampling36[[#Headers],[Calcium carbonate %]],Tbl_Responses[7 - How many cores per paddock],$DJ49,Tbl_Responses[[Resp_Group]:[Resp_Group]],Grower)+COUNTIFS(Tbl_Responses[8 - Type of test],Tbl_Q17_sampling36[[#Headers],[Calcium carbonate %]],Tbl_Responses[8 - How many cores per paddock],$DJ49,Tbl_Responses[[Resp_Group]:[Resp_Group]],Grower))/(COUNTIFS(Tbl_Responses[1 - Type of test],Tbl_Q17_sampling36[[#Headers],[Calcium carbonate %]],Tbl_Responses[1 - How many cores per paddock],"&gt;""",Tbl_Responses[[Resp_Group]:[Resp_Group]],Grower)+COUNTIFS(Tbl_Responses[2 - Type of test],Tbl_Q17_sampling36[[#Headers],[Calcium carbonate %]],Tbl_Responses[2 - How many cores per paddock],"&gt;""",Tbl_Responses[[Resp_Group]:[Resp_Group]],Grower)+COUNTIFS(Tbl_Responses[3 - Type of test],Tbl_Q17_sampling36[[#Headers],[Calcium carbonate %]],Tbl_Responses[3 - How many cores per paddock],"&gt;""",Tbl_Responses[[Resp_Group]:[Resp_Group]],Grower)+COUNTIFS(Tbl_Responses[4 - Type of test],Tbl_Q17_sampling36[[#Headers],[Calcium carbonate %]],Tbl_Responses[4 - How many cores per paddock],"&gt;""",Tbl_Responses[[Resp_Group]:[Resp_Group]],Grower)+COUNTIFS(Tbl_Responses[5 - Type of test],Tbl_Q17_sampling36[[#Headers],[Calcium carbonate %]],Tbl_Responses[5 - How many cores per paddock],"&gt;""",Tbl_Responses[[Resp_Group]:[Resp_Group]],Grower)+COUNTIFS(Tbl_Responses[6 - Type of test],Tbl_Q17_sampling36[[#Headers],[Calcium carbonate %]],Tbl_Responses[6 - How many cores per paddock],"&gt;""",Tbl_Responses[[Resp_Group]:[Resp_Group]],Grower)+COUNTIFS(Tbl_Responses[7 - Type of test],Tbl_Q17_sampling36[[#Headers],[Calcium carbonate %]],Tbl_Responses[7 - How many cores per paddock],"&gt;""",Tbl_Responses[[Resp_Group]:[Resp_Group]],Grower)+COUNTIFS(Tbl_Responses[8 - Type of test],Tbl_Q17_sampling36[[#Headers],[Calcium carbonate %]],Tbl_Responses[8 - How many cores per paddock],"&gt;""",Tbl_Responses[[Resp_Group]:[Resp_Group]],Grower))</f>
        <v>0</v>
      </c>
      <c r="DU49" s="62">
        <f>(COUNTIFS(Tbl_Responses[1 - Type of test],Tbl_Q17_sampling36[[#Headers],[Sulfur (MCP)]],Tbl_Responses[1 - How many cores per paddock],$DJ49,Tbl_Responses[[Resp_Group]:[Resp_Group]],Grower)+COUNTIFS(Tbl_Responses[2 - Type of test],Tbl_Q17_sampling36[[#Headers],[Sulfur (MCP)]],Tbl_Responses[2 - How many cores per paddock],$DJ49,Tbl_Responses[[Resp_Group]:[Resp_Group]],Grower)+COUNTIFS(Tbl_Responses[3 - Type of test],Tbl_Q17_sampling36[[#Headers],[Sulfur (MCP)]],Tbl_Responses[3 - How many cores per paddock],$DJ49,Tbl_Responses[[Resp_Group]:[Resp_Group]],Grower)+COUNTIFS(Tbl_Responses[4 - Type of test],Tbl_Q17_sampling36[[#Headers],[Sulfur (MCP)]],Tbl_Responses[4 - How many cores per paddock],$DJ49,Tbl_Responses[[Resp_Group]:[Resp_Group]],Grower)+COUNTIFS(Tbl_Responses[5 - Type of test],Tbl_Q17_sampling36[[#Headers],[Sulfur (MCP)]],Tbl_Responses[5 - How many cores per paddock],$DJ49,Tbl_Responses[[Resp_Group]:[Resp_Group]],Grower)+COUNTIFS(Tbl_Responses[6 - Type of test],Tbl_Q17_sampling36[[#Headers],[Sulfur (MCP)]],Tbl_Responses[6 - How many cores per paddock],$DJ49,Tbl_Responses[[Resp_Group]:[Resp_Group]],Grower)+COUNTIFS(Tbl_Responses[7 - Type of test],Tbl_Q17_sampling36[[#Headers],[Sulfur (MCP)]],Tbl_Responses[7 - How many cores per paddock],$DJ49,Tbl_Responses[[Resp_Group]:[Resp_Group]],Grower)+COUNTIFS(Tbl_Responses[8 - Type of test],Tbl_Q17_sampling36[[#Headers],[Sulfur (MCP)]],Tbl_Responses[8 - How many cores per paddock],$DJ49,Tbl_Responses[[Resp_Group]:[Resp_Group]],Grower))/(COUNTIFS(Tbl_Responses[1 - Type of test],Tbl_Q17_sampling36[[#Headers],[Sulfur (MCP)]],Tbl_Responses[1 - How many cores per paddock],"&gt;""",Tbl_Responses[[Resp_Group]:[Resp_Group]],Grower)+COUNTIFS(Tbl_Responses[2 - Type of test],Tbl_Q17_sampling36[[#Headers],[Sulfur (MCP)]],Tbl_Responses[2 - How many cores per paddock],"&gt;""",Tbl_Responses[[Resp_Group]:[Resp_Group]],Grower)+COUNTIFS(Tbl_Responses[3 - Type of test],Tbl_Q17_sampling36[[#Headers],[Sulfur (MCP)]],Tbl_Responses[3 - How many cores per paddock],"&gt;""",Tbl_Responses[[Resp_Group]:[Resp_Group]],Grower)+COUNTIFS(Tbl_Responses[4 - Type of test],Tbl_Q17_sampling36[[#Headers],[Sulfur (MCP)]],Tbl_Responses[4 - How many cores per paddock],"&gt;""",Tbl_Responses[[Resp_Group]:[Resp_Group]],Grower)+COUNTIFS(Tbl_Responses[5 - Type of test],Tbl_Q17_sampling36[[#Headers],[Sulfur (MCP)]],Tbl_Responses[5 - How many cores per paddock],"&gt;""",Tbl_Responses[[Resp_Group]:[Resp_Group]],Grower)+COUNTIFS(Tbl_Responses[6 - Type of test],Tbl_Q17_sampling36[[#Headers],[Sulfur (MCP)]],Tbl_Responses[6 - How many cores per paddock],"&gt;""",Tbl_Responses[[Resp_Group]:[Resp_Group]],Grower)+COUNTIFS(Tbl_Responses[7 - Type of test],Tbl_Q17_sampling36[[#Headers],[Sulfur (MCP)]],Tbl_Responses[7 - How many cores per paddock],"&gt;""",Tbl_Responses[[Resp_Group]:[Resp_Group]],Grower)+COUNTIFS(Tbl_Responses[8 - Type of test],Tbl_Q17_sampling36[[#Headers],[Sulfur (MCP)]],Tbl_Responses[8 - How many cores per paddock],"&gt;""",Tbl_Responses[[Resp_Group]:[Resp_Group]],Grower))</f>
        <v>0.25</v>
      </c>
      <c r="DV49" s="82">
        <f>(COUNTIFS(Tbl_Responses[1 - How many cores per paddock],$DJ49,Tbl_Responses[[Resp_Group]:[Resp_Group]],Grower)+COUNTIFS(Tbl_Responses[2 - How many cores per paddock],$DJ49,Tbl_Responses[[Resp_Group]:[Resp_Group]],Grower)+COUNTIFS(Tbl_Responses[3 - How many cores per paddock],$DJ49,Tbl_Responses[[Resp_Group]:[Resp_Group]],Grower)+COUNTIFS(Tbl_Responses[4 - How many cores per paddock],$DJ49,Tbl_Responses[[Resp_Group]:[Resp_Group]],Grower)+COUNTIFS(Tbl_Responses[5 - How many cores per paddock],$DJ49,Tbl_Responses[[Resp_Group]:[Resp_Group]],Grower)+COUNTIFS(Tbl_Responses[6 - How many cores per paddock],$DJ49,Tbl_Responses[[Resp_Group]:[Resp_Group]],Grower)+COUNTIFS(Tbl_Responses[7 - How many cores per paddock],$DJ49,Tbl_Responses[[Resp_Group]:[Resp_Group]],Grower))/(COUNTIFS(Tbl_Responses[1 - How many cores per paddock],"&gt;""",Tbl_Responses[[Resp_Group]:[Resp_Group]],Grower)+COUNTIFS(Tbl_Responses[2 - How many cores per paddock],"&gt;""",Tbl_Responses[[Resp_Group]:[Resp_Group]],Grower)+COUNTIFS(Tbl_Responses[3 - How many cores per paddock],"&gt;""",Tbl_Responses[[Resp_Group]:[Resp_Group]],Grower)+COUNTIFS(Tbl_Responses[4 - How many cores per paddock],"&gt;""",Tbl_Responses[[Resp_Group]:[Resp_Group]],Grower)+COUNTIFS(Tbl_Responses[5 - How many cores per paddock],"&gt;""",Tbl_Responses[[Resp_Group]:[Resp_Group]],Grower)+COUNTIFS(Tbl_Responses[6 - How many cores per paddock],"&gt;""",Tbl_Responses[[Resp_Group]:[Resp_Group]],Grower)+COUNTIFS(Tbl_Responses[7 - How many cores per paddock],"&gt;""",Tbl_Responses[[Resp_Group]:[Resp_Group]],Grower))</f>
        <v>4.4776119402985072E-2</v>
      </c>
      <c r="EC49" t="s">
        <v>111</v>
      </c>
      <c r="ED49" s="3">
        <f>COUNTIFS(Tbl_Responses[The time required for soil sampling],$EC49,Tbl_Responses[[Resp_Group]:[Resp_Group]],Grower)</f>
        <v>26</v>
      </c>
      <c r="EE49" s="4">
        <f>Tbl_1944[[#This Row],[No. Responses]]/SUM(Tbl_1944[No. Responses])</f>
        <v>0.2988505747126437</v>
      </c>
      <c r="EH49" t="s">
        <v>111</v>
      </c>
      <c r="EI49" s="3">
        <f>COUNTIFS(Tbl_Responses[The time required for soil samplingP],$EC49,Tbl_Responses[[Resp_Group]:[Resp_Group]],Grower)</f>
        <v>27</v>
      </c>
      <c r="EJ49" s="4">
        <f>Tbl_Q2045[[#This Row],[No. Responses]]/SUM(Tbl_Q2045[No. Responses])</f>
        <v>0.28125</v>
      </c>
      <c r="EM49" t="s">
        <v>119</v>
      </c>
      <c r="EN49" s="3">
        <f>COUNTIFS(Tbl_Responses[[Uncertainty about how the season will turn out makes it hard to get value from soil testing results]:[Uncertainty about how the season will turn out makes it hard to get value from soil testing results]],Tbl_Q2146[[#Headers],[Disagree]],Tbl_Responses[[Resp_Group]:[Resp_Group]],Grower)</f>
        <v>29</v>
      </c>
      <c r="EO49" s="3">
        <f>COUNTIFS(Tbl_Responses[[Uncertainty about how the season will turn out makes it hard to get value from soil testing results]:[Uncertainty about how the season will turn out makes it hard to get value from soil testing results]],Tbl_Q2146[[#Headers],[Neutral]],Tbl_Responses[[Resp_Group]:[Resp_Group]],Grower)</f>
        <v>9</v>
      </c>
      <c r="EP49" s="3">
        <f>COUNTIFS(Tbl_Responses[[Uncertainty about how the season will turn out makes it hard to get value from soil testing results]:[Uncertainty about how the season will turn out makes it hard to get value from soil testing results]],Tbl_Q2146[[#Headers],[Agree]],Tbl_Responses[[Resp_Group]:[Resp_Group]],Grower)</f>
        <v>15</v>
      </c>
      <c r="EQ49" s="3">
        <f>COUNTIFS(Tbl_Responses[[Uncertainty about how the season will turn out makes it hard to get value from soil testing results]:[Uncertainty about how the season will turn out makes it hard to get value from soil testing results]],Tbl_Q2146[[#Headers],[Strongly Agree]],Tbl_Responses[[Resp_Group]:[Resp_Group]],Grower)</f>
        <v>1</v>
      </c>
      <c r="ET49" t="s">
        <v>201</v>
      </c>
      <c r="EU49" s="3">
        <f>COUNTIFS(Tbl_Responses[Soil testing annual spend],$ET49,Tbl_Responses[[Resp_Group]:[Resp_Group]],Agronomist)</f>
        <v>57</v>
      </c>
      <c r="EV49" s="4">
        <f>Tbl_Q2248[[#This Row],[No. Respondants]]/SUM(Tbl_Q2248[No. Respondants])</f>
        <v>0.91935483870967738</v>
      </c>
      <c r="EY49" t="s">
        <v>202</v>
      </c>
      <c r="EZ49" s="3">
        <f>COUNTIFS(Tbl_Responses[5 year change in testing],$EY49,Tbl_Responses[[Resp_Group]:[Resp_Group]],Grower)</f>
        <v>24</v>
      </c>
      <c r="FA49" s="4">
        <f>Tbl_Q2350[[#This Row],[No. Respondants]]/SUM(Tbl_Q2350[No. Respondants])</f>
        <v>0.44444444444444442</v>
      </c>
      <c r="FD49" t="s">
        <v>203</v>
      </c>
      <c r="FE49" s="3">
        <f>COUNTIFS(Tbl_Responses[5 year future testing plan],$FD49,Tbl_Responses[[Resp_Group]:[Resp_Group]],Grower)</f>
        <v>22</v>
      </c>
      <c r="FF49" s="4">
        <f>Tbl_Q2452[[#This Row],[No. Respondants]]/SUM(Tbl_Q2452[No. Respondants])</f>
        <v>0.41509433962264153</v>
      </c>
      <c r="FN49" s="87" t="s">
        <v>123</v>
      </c>
      <c r="FO49" s="3">
        <f>COUNTIFS(Tbl_Responses[The time required for sampling_Plant],$FN49,Tbl_Responses[[Resp_Group]:[Resp_Group]],Grower)</f>
        <v>19</v>
      </c>
      <c r="FP49" s="4">
        <f>Tbl_Q2655[[#This Row],[No. Respondants]]/SUM(Tbl_Q2655[No. Respondants])</f>
        <v>0.38</v>
      </c>
      <c r="FS49" s="87" t="s">
        <v>129</v>
      </c>
      <c r="FT49" s="88">
        <f>COUNTIFS(Tbl_Responses[[Uncertainty about how the season will turn out makes it hard to get value from plant testing results]:[Uncertainty about how the season will turn out makes it hard to get value from plant testing results]],Tbl_Q2758[[#Headers],[Disagree]],Tbl_Responses[[Resp_Group]:[Resp_Group]],Grower)</f>
        <v>5</v>
      </c>
      <c r="FU49" s="88">
        <f>COUNTIFS(Tbl_Responses[[Uncertainty about how the season will turn out makes it hard to get value from plant testing results]:[Uncertainty about how the season will turn out makes it hard to get value from plant testing results]],Tbl_Q2758[[#Headers],[Neutral]],Tbl_Responses[[Resp_Group]:[Resp_Group]],Grower)</f>
        <v>17</v>
      </c>
      <c r="FV49" s="88">
        <f>COUNTIFS(Tbl_Responses[[Uncertainty about how the season will turn out makes it hard to get value from plant testing results]:[Uncertainty about how the season will turn out makes it hard to get value from plant testing results]],Tbl_Q2758[[#Headers],[Agree]],Tbl_Responses[[Resp_Group]:[Resp_Group]],Grower)</f>
        <v>7</v>
      </c>
      <c r="FW49" s="88">
        <f>COUNTIFS(Tbl_Responses[[Uncertainty about how the season will turn out makes it hard to get value from plant testing results]:[Uncertainty about how the season will turn out makes it hard to get value from plant testing results]],Tbl_Q2758[[#Headers],[Strongly Agree]],Tbl_Responses[[Resp_Group]:[Resp_Group]],Grower)</f>
        <v>1</v>
      </c>
      <c r="FZ49" t="s">
        <v>209</v>
      </c>
      <c r="GA49" s="3">
        <f>COUNTIFS(Tbl_Responses[Average annual spend - Plant testing],$FZ49,Tbl_Responses[[Resp_Group]:[Resp_Group]],Grower)</f>
        <v>19</v>
      </c>
      <c r="GB49" s="4">
        <f>Tbl_Q2860[[#This Row],[No. Respondants]]/SUM(Tbl_Q2860[No. Respondants])</f>
        <v>0.6333333333333333</v>
      </c>
      <c r="GE49" t="s">
        <v>202</v>
      </c>
      <c r="GF49" s="3">
        <f>COUNTIFS(Tbl_Responses[5 years ago_Plant],$GE49,Tbl_Responses[[Resp_Group]:[Resp_Group]],Grower)</f>
        <v>17</v>
      </c>
      <c r="GG49" s="4">
        <f>Tbl_Q236163[[#This Row],[No. Respondants]]/SUM(Tbl_Q236163[No. Respondants])</f>
        <v>0.6071428571428571</v>
      </c>
      <c r="GJ49" t="s">
        <v>203</v>
      </c>
      <c r="GK49" s="3">
        <f>COUNTIFS(Tbl_Responses[5 years'' time_Plant],$GJ49,Tbl_Responses[[Resp_Group]:[Resp_Group]],Grower)</f>
        <v>16</v>
      </c>
      <c r="GL49" s="4">
        <f>Tbl_Q246264[[#This Row],[No. Respondants]]/SUM(Tbl_Q246264[No. Respondants])</f>
        <v>0.5714285714285714</v>
      </c>
      <c r="GO49" t="s">
        <v>111</v>
      </c>
      <c r="GP49" s="3">
        <f>COUNTIFS(Tbl_Responses[The time required for soil sampling_PL],$GO49,Tbl_Responses[[Resp_Group]:[Resp_Group]],Grower)</f>
        <v>1</v>
      </c>
      <c r="GQ49" s="4">
        <f>Tbl_196567[[#This Row],[No. Responses]]/SUM(Tbl_196567[No. Responses])</f>
        <v>0.14285714285714285</v>
      </c>
      <c r="GT49" t="s">
        <v>111</v>
      </c>
      <c r="GU49" s="3">
        <f>COUNTIFS(Tbl_Responses[The time required for soil sampling_PLP],$GT49,Tbl_Responses[[Resp_Group]:[Resp_Group]],Grower)</f>
        <v>1</v>
      </c>
      <c r="GV49" s="4">
        <f>Tbl_19656668[[#This Row],[No. Responses]]/SUM(Tbl_19656668[No. Responses])</f>
        <v>0.25</v>
      </c>
      <c r="HA49" s="87" t="s">
        <v>151</v>
      </c>
      <c r="HB49" s="3">
        <f>COUNTIFS(Tbl_Responses[Farm consultants],$HA49,Tbl_Responses[[Resp_Group]:[Resp_Group]],Grower)</f>
        <v>51</v>
      </c>
      <c r="HC49" s="4">
        <f>Tbl_infoSources70[[#This Row],[No. Responses]]/SUM(Tbl_infoSources70[No. Responses])</f>
        <v>0.17708333333333334</v>
      </c>
    </row>
    <row r="50" spans="1:211" x14ac:dyDescent="0.25">
      <c r="A50" t="s">
        <v>260</v>
      </c>
      <c r="B50" s="3">
        <f>COUNTIFS(Tbl_Responses[Q1: region],Results!$A50,Tbl_Responses[Resp_Group],Grower)</f>
        <v>19</v>
      </c>
      <c r="C50" s="4">
        <f>B50/SUM(Tbl_Q19[Respondants])</f>
        <v>0.19191919191919191</v>
      </c>
      <c r="D50" s="7">
        <f>AVERAGEIFS(Tbl_Responses[Q2: Cropped Area],Tbl_Responses[Q1: region],Tbl_Q19[[#This Row],[Region]],Tbl_Responses[[Resp_Group]:[Resp_Group]],Grower)</f>
        <v>4829</v>
      </c>
      <c r="F50">
        <v>5001</v>
      </c>
      <c r="G50">
        <v>10000</v>
      </c>
      <c r="H50" t="str">
        <f t="shared" si="2"/>
        <v>5001-10000</v>
      </c>
      <c r="I50" s="3">
        <f>COUNTIFS(Tbl_Responses[Q2: Cropped Area],"&gt;"&amp;F50,Tbl_Responses[Q2: Cropped Area],"&lt;="&amp;G50,Tbl_Responses[Resp_Group],Grower)</f>
        <v>6</v>
      </c>
      <c r="J50" s="4">
        <f>I50/SUM(Tbl_Q210[Number])</f>
        <v>6.0606060606060608E-2</v>
      </c>
      <c r="M50" t="s">
        <v>1310</v>
      </c>
      <c r="N50" s="4">
        <f>AVERAGEIF(Tbl_Responses[Resp_Group],Grower,Tbl_Responses[Pulses (peas, beans, lupins, lentils, chickpeas)])/100</f>
        <v>0.14464646464646466</v>
      </c>
      <c r="O50" s="6">
        <f>SUMPRODUCT(--(Group="Grower"),Tbl_Responses[Q2: Cropped Area],Tbl_Responses[Pulses (peas, beans, lupins, lentils, chickpeas)])/100</f>
        <v>42895.1</v>
      </c>
      <c r="P50" s="4">
        <f t="shared" si="3"/>
        <v>3.6929125859195285E-2</v>
      </c>
      <c r="S50" t="s">
        <v>366</v>
      </c>
      <c r="T50" s="4">
        <f>COUNTIFS(Tbl_Responses[[Variable Costs]:[Variable Costs]],T$3,Tbl_Responses[[Q1: region]:[Q1: region]],$S50,Tbl_Responses[[Resp_Group]:[Resp_Group]],Grower)/COUNTIFS(Tbl_Responses[[Q1: region]:[Q1: region]],$S50,Tbl_Responses[[Resp_Group]:[Resp_Group]],Grower)</f>
        <v>0</v>
      </c>
      <c r="U50" s="4">
        <f>COUNTIFS(Tbl_Responses[[Variable Costs]:[Variable Costs]],U$3,Tbl_Responses[[Q1: region]:[Q1: region]],$S50,Tbl_Responses[[Resp_Group]:[Resp_Group]],Grower)/COUNTIFS(Tbl_Responses[[Q1: region]:[Q1: region]],$S50,Tbl_Responses[[Resp_Group]:[Resp_Group]],Grower)</f>
        <v>0</v>
      </c>
      <c r="V50" s="4">
        <f>COUNTIFS(Tbl_Responses[[Variable Costs]:[Variable Costs]],V$3,Tbl_Responses[[Q1: region]:[Q1: region]],$S50,Tbl_Responses[[Resp_Group]:[Resp_Group]],Grower)/COUNTIFS(Tbl_Responses[[Q1: region]:[Q1: region]],$S50,Tbl_Responses[[Resp_Group]:[Resp_Group]],Grower)</f>
        <v>0.13636363636363635</v>
      </c>
      <c r="W50" s="4">
        <f>COUNTIFS(Tbl_Responses[[Variable Costs]:[Variable Costs]],W$3,Tbl_Responses[[Q1: region]:[Q1: region]],$S50,Tbl_Responses[[Resp_Group]:[Resp_Group]],Grower)/COUNTIFS(Tbl_Responses[[Q1: region]:[Q1: region]],$S50,Tbl_Responses[[Resp_Group]:[Resp_Group]],Grower)</f>
        <v>9.0909090909090912E-2</v>
      </c>
      <c r="X50" s="4">
        <f>COUNTIFS(Tbl_Responses[[Variable Costs]:[Variable Costs]],X$3,Tbl_Responses[[Q1: region]:[Q1: region]],$S50,Tbl_Responses[[Resp_Group]:[Resp_Group]],Grower)/COUNTIFS(Tbl_Responses[[Q1: region]:[Q1: region]],$S50,Tbl_Responses[[Resp_Group]:[Resp_Group]],Grower)</f>
        <v>0.31818181818181818</v>
      </c>
      <c r="Y50" s="4">
        <f>COUNTIFS(Tbl_Responses[[Variable Costs]:[Variable Costs]],Y$3,Tbl_Responses[[Q1: region]:[Q1: region]],$S50,Tbl_Responses[[Resp_Group]:[Resp_Group]],Grower)/COUNTIFS(Tbl_Responses[[Q1: region]:[Q1: region]],$S50,Tbl_Responses[[Resp_Group]:[Resp_Group]],Grower)</f>
        <v>0.22727272727272727</v>
      </c>
      <c r="Z50" s="4">
        <f>COUNTIFS(Tbl_Responses[[Variable Costs]:[Variable Costs]],Z$3,Tbl_Responses[[Q1: region]:[Q1: region]],$S50,Tbl_Responses[[Resp_Group]:[Resp_Group]],Grower)/COUNTIFS(Tbl_Responses[[Q1: region]:[Q1: region]],$S50,Tbl_Responses[[Resp_Group]:[Resp_Group]],Grower)</f>
        <v>0.13636363636363635</v>
      </c>
      <c r="AA50" s="4">
        <f>COUNTIFS(Tbl_Responses[[Variable Costs]:[Variable Costs]],AA$3,Tbl_Responses[[Q1: region]:[Q1: region]],$S50,Tbl_Responses[[Resp_Group]:[Resp_Group]],Grower)/COUNTIFS(Tbl_Responses[[Q1: region]:[Q1: region]],$S50,Tbl_Responses[[Resp_Group]:[Resp_Group]],Grower)</f>
        <v>0</v>
      </c>
      <c r="AB50" s="4">
        <f>COUNTIFS(Tbl_Responses[[Variable Costs]:[Variable Costs]],AB$3,Tbl_Responses[[Q1: region]:[Q1: region]],$S50,Tbl_Responses[[Resp_Group]:[Resp_Group]],Grower)/COUNTIFS(Tbl_Responses[[Q1: region]:[Q1: region]],$S50,Tbl_Responses[[Resp_Group]:[Resp_Group]],Grower)</f>
        <v>0</v>
      </c>
      <c r="AG50" t="s">
        <v>366</v>
      </c>
      <c r="AH50" s="4">
        <f>COUNTIFS(Tbl_Responses[[Def_Nutrient_ID]:[Def_Nutrient_ID]],"*N*",Tbl_Responses[[Q1: region]:[Q1: region]],$AG50,Tbl_Responses[[Resp_Group]:[Resp_Group]],Grower)/COUNTIFS(Tbl_Responses[[Def_Nutrient_ID]:[Def_Nutrient_ID]],"&lt;&gt;"&amp;"",Tbl_Responses[[Q1: region]:[Q1: region]],$AG50,Tbl_Responses[[Resp_Group]:[Resp_Group]],Grower)</f>
        <v>0.95454545454545459</v>
      </c>
      <c r="AI50" s="4">
        <f>COUNTIFS(Tbl_Responses[[Def_Nutrient_ID]:[Def_Nutrient_ID]],"*P*",Tbl_Responses[[Q1: region]:[Q1: region]],$AG50,Tbl_Responses[[Resp_Group]:[Resp_Group]],Grower)/COUNTIFS(Tbl_Responses[[Def_Nutrient_ID]:[Def_Nutrient_ID]],"&lt;&gt;"&amp;"",Tbl_Responses[[Q1: region]:[Q1: region]],$AG50,Tbl_Responses[[Resp_Group]:[Resp_Group]],Grower)</f>
        <v>0.81818181818181823</v>
      </c>
      <c r="AJ50" s="4">
        <f>COUNTIFS(Tbl_Responses[[Def_Nutrient_ID]:[Def_Nutrient_ID]],"*K*",Tbl_Responses[[Q1: region]:[Q1: region]],$AG50,Tbl_Responses[[Resp_Group]:[Resp_Group]],Grower)/COUNTIFS(Tbl_Responses[[Def_Nutrient_ID]:[Def_Nutrient_ID]],"&lt;&gt;"&amp;"",Tbl_Responses[[Q1: region]:[Q1: region]],$AG50,Tbl_Responses[[Resp_Group]:[Resp_Group]],Grower)</f>
        <v>0</v>
      </c>
      <c r="AK50" s="4">
        <f>COUNTIFS(Tbl_Responses[[Def_Nutrient_ID]:[Def_Nutrient_ID]],"*S*",Tbl_Responses[[Q1: region]:[Q1: region]],$AG50,Tbl_Responses[[Resp_Group]:[Resp_Group]],Grower)/COUNTIFS(Tbl_Responses[[Def_Nutrient_ID]:[Def_Nutrient_ID]],"&lt;&gt;"&amp;"",Tbl_Responses[[Q1: region]:[Q1: region]],$AG50,Tbl_Responses[[Resp_Group]:[Resp_Group]],Grower)</f>
        <v>0.13636363636363635</v>
      </c>
      <c r="AL50" s="4">
        <f>COUNTIFS(Tbl_Responses[[Def_Nutrient_ID]:[Def_Nutrient_ID]],"*Zn*",Tbl_Responses[[Q1: region]:[Q1: region]],$AG50,Tbl_Responses[[Resp_Group]:[Resp_Group]],Grower)/COUNTIFS(Tbl_Responses[[Def_Nutrient_ID]:[Def_Nutrient_ID]],"&lt;&gt;"&amp;"",Tbl_Responses[[Q1: region]:[Q1: region]],$AG50,Tbl_Responses[[Resp_Group]:[Resp_Group]],Grower)</f>
        <v>0.18181818181818182</v>
      </c>
      <c r="AM50" s="4">
        <f>COUNTIFS(Tbl_Responses[[Def_Nutrient_ID]:[Def_Nutrient_ID]],"*Mn*",Tbl_Responses[[Q1: region]:[Q1: region]],$AG50,Tbl_Responses[[Resp_Group]:[Resp_Group]],Grower)/COUNTIFS(Tbl_Responses[[Def_Nutrient_ID]:[Def_Nutrient_ID]],"&lt;&gt;"&amp;"",Tbl_Responses[[Q1: region]:[Q1: region]],$AG50,Tbl_Responses[[Resp_Group]:[Resp_Group]],Grower)</f>
        <v>0</v>
      </c>
      <c r="AN50" s="4">
        <f>COUNTIFS(Tbl_Responses[[Def_Nutrient_ID]:[Def_Nutrient_ID]],"*Mg*",Tbl_Responses[[Q1: region]:[Q1: region]],$AG50,Tbl_Responses[[Resp_Group]:[Resp_Group]],Grower)/COUNTIFS(Tbl_Responses[[Def_Nutrient_ID]:[Def_Nutrient_ID]],"&lt;&gt;"&amp;"",Tbl_Responses[[Q1: region]:[Q1: region]],$AG50,Tbl_Responses[[Resp_Group]:[Resp_Group]],Grower)</f>
        <v>0</v>
      </c>
      <c r="AO50" s="4">
        <f>COUNTIFS(Tbl_Responses[[Def_Nutrient_ID]:[Def_Nutrient_ID]],"*Cu*",Tbl_Responses[[Q1: region]:[Q1: region]],$AG50,Tbl_Responses[[Resp_Group]:[Resp_Group]],Grower)/COUNTIFS(Tbl_Responses[[Def_Nutrient_ID]:[Def_Nutrient_ID]],"&lt;&gt;"&amp;"",Tbl_Responses[[Q1: region]:[Q1: region]],$AG50,Tbl_Responses[[Resp_Group]:[Resp_Group]],Grower)</f>
        <v>0</v>
      </c>
      <c r="AP50" s="4">
        <f>COUNTIFS(Tbl_Responses[[Def_Nutrient_ID]:[Def_Nutrient_ID]],"*B*",Tbl_Responses[[Q1: region]:[Q1: region]],$AG50,Tbl_Responses[[Resp_Group]:[Resp_Group]],Grower)/COUNTIFS(Tbl_Responses[[Def_Nutrient_ID]:[Def_Nutrient_ID]],"&lt;&gt;"&amp;"",Tbl_Responses[[Q1: region]:[Q1: region]],$AG50,Tbl_Responses[[Resp_Group]:[Resp_Group]],Grower)</f>
        <v>0</v>
      </c>
      <c r="AQ50" s="4">
        <f>COUNTIFS(Tbl_Responses[[Def_Nutrient_ID]:[Def_Nutrient_ID]],"*Ca*",Tbl_Responses[[Q1: region]:[Q1: region]],$AG50,Tbl_Responses[[Resp_Group]:[Resp_Group]],Grower)/COUNTIFS(Tbl_Responses[[Def_Nutrient_ID]:[Def_Nutrient_ID]],"&lt;&gt;"&amp;"",Tbl_Responses[[Q1: region]:[Q1: region]],$AG50,Tbl_Responses[[Resp_Group]:[Resp_Group]],Grower)</f>
        <v>0</v>
      </c>
      <c r="AR50" s="4">
        <f>COUNTIFS(Tbl_Responses[[Def_Nutrient_ID]:[Def_Nutrient_ID]],"*pH*",Tbl_Responses[[Q1: region]:[Q1: region]],$AG50,Tbl_Responses[[Resp_Group]:[Resp_Group]],Grower)/COUNTIFS(Tbl_Responses[[Def_Nutrient_ID]:[Def_Nutrient_ID]],"&lt;&gt;"&amp;"",Tbl_Responses[[Q1: region]:[Q1: region]],$AG50,Tbl_Responses[[Resp_Group]:[Resp_Group]],Grower)</f>
        <v>0.31818181818181818</v>
      </c>
      <c r="AS50" s="4">
        <f>COUNTIFS(Tbl_Responses[[Def_Nutrient_ID]:[Def_Nutrient_ID]],"*T*",Tbl_Responses[[Q1: region]:[Q1: region]],$AG50,Tbl_Responses[[Resp_Group]:[Resp_Group]],Grower)/COUNTIFS(Tbl_Responses[[Def_Nutrient_ID]:[Def_Nutrient_ID]],"&lt;&gt;"&amp;"",Tbl_Responses[[Q1: region]:[Q1: region]],$AG50,Tbl_Responses[[Resp_Group]:[Resp_Group]],Grower)</f>
        <v>9.0909090909090912E-2</v>
      </c>
      <c r="AV50" t="s">
        <v>366</v>
      </c>
      <c r="AW50" s="4">
        <f>COUNTIFS(Tbl_Responses[[Q6: Do you do/recommend soil and/or plant testing?]:[Q6: Do you do/recommend soil and/or plant testing?]],"Yes",Tbl_Responses[[Q1: region]:[Q1: region]],$AV50,Tbl_Responses[[Resp_Group]:[Resp_Group]],Grower)/COUNTIFS(Tbl_Responses[[Q6: Do you do/recommend soil and/or plant testing?]:[Q6: Do you do/recommend soil and/or plant testing?]],"&lt;&gt;"&amp;"",Tbl_Responses[[Q1: region]:[Q1: region]],$AV50,Tbl_Responses[[Resp_Group]:[Resp_Group]],Grower)</f>
        <v>0.5</v>
      </c>
      <c r="AX50" s="4">
        <f>COUNTIFS(Tbl_Responses[[Q6: Do you do/recommend soil and/or plant testing?]:[Q6: Do you do/recommend soil and/or plant testing?]],"No",Tbl_Responses[[Q1: region]:[Q1: region]],$AV50,Tbl_Responses[[Resp_Group]:[Resp_Group]],Grower)/COUNTIFS(Tbl_Responses[[Q6: Do you do/recommend soil and/or plant testing?]:[Q6: Do you do/recommend soil and/or plant testing?]],"&lt;&gt;"&amp;"",Tbl_Responses[[Q1: region]:[Q1: region]],$AV50,Tbl_Responses[[Resp_Group]:[Resp_Group]],Grower)</f>
        <v>0.5</v>
      </c>
      <c r="AY50" s="3">
        <f>COUNTIFS(Tbl_Responses[[Q6: Do you do/recommend soil and/or plant testing?]:[Q6: Do you do/recommend soil and/or plant testing?]],"&gt;""",Tbl_Responses[[Q1: region]:[Q1: region]],$AV6,Tbl_Responses[[Resp_Group]:[Resp_Group]],Grower)</f>
        <v>22</v>
      </c>
      <c r="BA50" s="47" t="s">
        <v>1420</v>
      </c>
      <c r="BB50" s="48">
        <f>COUNTIFS(Tbl_Responses[Q7: Who makes the nurtient decisions on your farm (grower only)],$BA50,Tbl_Responses[[Resp_Group]:[Resp_Group]],Grower)</f>
        <v>38</v>
      </c>
      <c r="BC50" s="53">
        <f>COUNTIFS(Tbl_Responses[Q7: Who makes the nurtient decisions on your farm (grower only)],$BA50,Tbl_Responses[[Resp_Group]:[Resp_Group]],Grower)/COUNTIFS(Tbl_Responses[Q7: Who makes the nurtient decisions on your farm (grower only)],"&gt;""",Tbl_Responses[[Resp_Group]:[Resp_Group]],Grower)</f>
        <v>0.66666666666666663</v>
      </c>
      <c r="BD50" s="48" t="s">
        <v>263</v>
      </c>
      <c r="BE50" s="48">
        <f>COUNTIFS(Tbl_Responses[Response6],$BD50,Tbl_Responses[[Resp_Group]:[Resp_Group]],Grower)</f>
        <v>20</v>
      </c>
      <c r="BF50" s="48">
        <f>COUNTIFS(Tbl_Responses[Response7],$BD50,Tbl_Responses[[Resp_Group]:[Resp_Group]],Grower)</f>
        <v>17</v>
      </c>
      <c r="BH50" t="s">
        <v>2439</v>
      </c>
      <c r="BI50" s="3">
        <f>COUNTIFS(Tbl_Responses[Source_1_ID],$BH50,Tbl_Responses[[Resp_Group]:[Resp_Group]],Grower)+COUNTIFS(Tbl_Responses[Source_2_ID],$BH50,Tbl_Responses[[Resp_Group]:[Resp_Group]],Grower)+COUNTIFS(Tbl_Responses[Source_3_ID],$BH50,Tbl_Responses[[Resp_Group]:[Resp_Group]],Grower)</f>
        <v>10</v>
      </c>
      <c r="BJ50" s="4">
        <f>Tbl_Q1120[[#This Row],[Q11 Response]]/SUM(Tbl_Q1120[Q11 Response])</f>
        <v>6.9444444444444448E-2</v>
      </c>
      <c r="BQ50" s="38" t="s">
        <v>322</v>
      </c>
      <c r="BR50" s="4">
        <f>COUNTIFS(Tbl_Responses[What % of your clients soil tested in 2018?],$BQ50,Tbl_Responses[[Resp_Group]:[Resp_Group]],Grower)/COUNTIFS(Tbl_Responses[What % of your clients soil tested in 2018?],"&gt;""",Tbl_Responses[[Resp_Group]:[Resp_Group]],Grower)</f>
        <v>0.1</v>
      </c>
      <c r="BS50" s="4">
        <f>COUNTIFS(Tbl_Responses[What % of your clients tested for N in 2018?],$BQ50,Tbl_Responses[[Resp_Group]:[Resp_Group]],Grower)/COUNTIFS(Tbl_Responses[What % of your clients tested for N in 2018?],"&gt;""",Tbl_Responses[[Resp_Group]:[Resp_Group]],Grower)</f>
        <v>0.10204081632653061</v>
      </c>
      <c r="BT50" s="4">
        <f>COUNTIFS(Tbl_Responses[What % of your clients tested for N to at least 60cm in 2018?],$BQ50,Tbl_Responses[[Resp_Group]:[Resp_Group]],Grower)/COUNTIFS(Tbl_Responses[What % of your clients tested for N to at least 60cm in 2018?],"&gt;""",Tbl_Responses[[Resp_Group]:[Resp_Group]],Grower)</f>
        <v>4.7619047619047616E-2</v>
      </c>
      <c r="BU50" s="4">
        <f>COUNTIFS(Tbl_Responses[What % of your clients tested for P in 2018?],$BQ50,Tbl_Responses[[Resp_Group]:[Resp_Group]],Grower)/COUNTIFS(Tbl_Responses[What % of your clients tested for P in 2018?],"&gt;""",Tbl_Responses[[Resp_Group]:[Resp_Group]],Grower)</f>
        <v>0.10416666666666667</v>
      </c>
      <c r="BX50" t="s">
        <v>402</v>
      </c>
      <c r="BY50" s="4">
        <f>(COUNTIFS(Tbl_Responses[Nitrogen 1 - Type of test],$BX50,Tbl_Responses[[Resp_Group]:[Resp_Group]],Grower)+COUNTIFS(Tbl_Responses[Nitrogen 2 - Type of test],$BX50,Tbl_Responses[[Resp_Group]:[Resp_Group]],Grower)+COUNTIFS(Tbl_Responses[Nitrogen 3 - Type of test],$BX50,Tbl_Responses[[Resp_Group]:[Resp_Group]],Grower))/(COUNTIFS(Tbl_Responses[Nitrogen 1 - Type of test],"&gt;""",Tbl_Responses[[Resp_Group]:[Resp_Group]],Grower)+COUNTIFS(Tbl_Responses[Nitrogen 2 - Type of test],"&gt;""",Tbl_Responses[[Resp_Group]:[Resp_Group]],Grower)+COUNTIFS(Tbl_Responses[Nitrogen 3 - Type of test],"&gt;""",Tbl_Responses[[Resp_Group]:[Resp_Group]],Grower))</f>
        <v>0.33333333333333331</v>
      </c>
      <c r="CB50" s="63" t="s">
        <v>405</v>
      </c>
      <c r="CC50" s="64">
        <f>(COUNTIFS(Tbl_Responses[Nitrogen 1 - Type of test],Tbl_14_sampling33[[#Headers],[Organic Carbon]],Tbl_Responses[Nitrogen 1 - How many representative samples per paddock],$CB50,Tbl_Responses[[Resp_Group]:[Resp_Group]],Grower)+COUNTIFS(Tbl_Responses[Nitrogen 2 - Type of test],Tbl_14_sampling33[[#Headers],[Organic Carbon]],Tbl_Responses[Nitrogen 2 - How many representative samples per paddock],$CB50,Tbl_Responses[[Resp_Group]:[Resp_Group]],Grower)+COUNTIFS(Tbl_Responses[Nitrogen 3 - Type of test],Tbl_14_sampling33[[#Headers],[Organic Carbon]],Tbl_Responses[Nitrogen 3 - How many representative samples per paddock],$CB50,Tbl_Responses[[Resp_Group]:[Resp_Group]],Grower))/(COUNTIFS(Tbl_Responses[Nitrogen 1 - Type of test],Tbl_14_sampling33[[#Headers],[Organic Carbon]],Tbl_Responses[Nitrogen 1 - How many representative samples per paddock],"&gt;""",Tbl_Responses[[Resp_Group]:[Resp_Group]],Grower)+COUNTIFS(Tbl_Responses[Nitrogen 2 - Type of test],Tbl_14_sampling33[[#Headers],[Organic Carbon]],Tbl_Responses[Nitrogen 2 - How many representative samples per paddock],"&gt;""",Tbl_Responses[[Resp_Group]:[Resp_Group]],Grower)+COUNTIFS(Tbl_Responses[Nitrogen 3 - Type of test],Tbl_14_sampling33[[#Headers],[Organic Carbon]],Tbl_Responses[Nitrogen 3 - How many representative samples per paddock],"&gt;""",Tbl_Responses[[Resp_Group]:[Resp_Group]],Grower))</f>
        <v>0.13333333333333333</v>
      </c>
      <c r="CD50" s="64">
        <f>(COUNTIFS(Tbl_Responses[Nitrogen 1 - Type of test],Tbl_14_sampling33[[#Headers],[Mineral N (Nitrate/Ammonium)]],Tbl_Responses[Nitrogen 1 - How many representative samples per paddock],$CB50,Tbl_Responses[[Resp_Group]:[Resp_Group]],Grower)+COUNTIFS(Tbl_Responses[Nitrogen 2 - Type of test],Tbl_14_sampling33[[#Headers],[Mineral N (Nitrate/Ammonium)]],Tbl_Responses[Nitrogen 2 - How many representative samples per paddock],$CB50,Tbl_Responses[[Resp_Group]:[Resp_Group]],Grower)+COUNTIFS(Tbl_Responses[Nitrogen 3 - Type of test],Tbl_14_sampling33[[#Headers],[Mineral N (Nitrate/Ammonium)]],Tbl_Responses[Nitrogen 3 - How many representative samples per paddock],$CB50,Tbl_Responses[[Resp_Group]:[Resp_Group]],Grower))/(COUNTIFS(Tbl_Responses[Nitrogen 1 - Type of test],Tbl_14_sampling33[[#Headers],[Mineral N (Nitrate/Ammonium)]],Tbl_Responses[Nitrogen 1 - How many representative samples per paddock],"&gt;""",Tbl_Responses[[Resp_Group]:[Resp_Group]],Grower)+COUNTIFS(Tbl_Responses[Nitrogen 2 - Type of test],Tbl_14_sampling33[[#Headers],[Mineral N (Nitrate/Ammonium)]],Tbl_Responses[Nitrogen 2 - How many representative samples per paddock],"&gt;""",Tbl_Responses[[Resp_Group]:[Resp_Group]],Grower)+COUNTIFS(Tbl_Responses[Nitrogen 3 - Type of test],Tbl_14_sampling33[[#Headers],[Mineral N (Nitrate/Ammonium)]],Tbl_Responses[Nitrogen 3 - How many representative samples per paddock],"&gt;""",Tbl_Responses[[Resp_Group]:[Resp_Group]],Grower))</f>
        <v>0.13333333333333333</v>
      </c>
      <c r="CE50" s="64">
        <f>(COUNTIFS(Tbl_Responses[Nitrogen 1 - Type of test],Tbl_14_sampling33[[#Headers],[Total N]],Tbl_Responses[Nitrogen 1 - How many representative samples per paddock],$CB50,Tbl_Responses[[Resp_Group]:[Resp_Group]],Grower)+COUNTIFS(Tbl_Responses[Nitrogen 2 - Type of test],Tbl_14_sampling33[[#Headers],[Total N]],Tbl_Responses[Nitrogen 2 - How many representative samples per paddock],$CB50,Tbl_Responses[[Resp_Group]:[Resp_Group]],Grower)+COUNTIFS(Tbl_Responses[Nitrogen 3 - Type of test],Tbl_14_sampling33[[#Headers],[Total N]],Tbl_Responses[Nitrogen 3 - How many representative samples per paddock],$CB50,Tbl_Responses[[Resp_Group]:[Resp_Group]],Grower))/(COUNTIFS(Tbl_Responses[Nitrogen 1 - Type of test],Tbl_14_sampling33[[#Headers],[Total N]],Tbl_Responses[Nitrogen 1 - How many representative samples per paddock],"&gt;""",Tbl_Responses[[Resp_Group]:[Resp_Group]],Grower)+COUNTIFS(Tbl_Responses[Nitrogen 2 - Type of test],Tbl_14_sampling33[[#Headers],[Total N]],Tbl_Responses[Nitrogen 2 - How many representative samples per paddock],"&gt;""",Tbl_Responses[[Resp_Group]:[Resp_Group]],Grower)+COUNTIFS(Tbl_Responses[Nitrogen 3 - Type of test],Tbl_14_sampling33[[#Headers],[Total N]],Tbl_Responses[Nitrogen 3 - How many representative samples per paddock],"&gt;""",Tbl_Responses[[Resp_Group]:[Resp_Group]],Grower))</f>
        <v>0.1</v>
      </c>
      <c r="CF50" s="64">
        <f>(COUNTIFS(Tbl_Responses[Nitrogen 1 - How many representative samples per paddock],$CB50,Tbl_Responses[[Resp_Group]:[Resp_Group]],Grower)+COUNTIFS(Tbl_Responses[Nitrogen 2 - How many representative samples per paddock],$CB50,Tbl_Responses[[Resp_Group]:[Resp_Group]],Grower)+COUNTIFS(Tbl_Responses[Nitrogen 3 - How many representative samples per paddock],$CB50,Tbl_Responses[[Resp_Group]:[Resp_Group]],Grower))/(COUNTIFS(Tbl_Responses[Nitrogen 1 - How many representative samples per paddock],"&gt;""",Tbl_Responses[[Resp_Group]:[Resp_Group]],Grower)+COUNTIFS(Tbl_Responses[Nitrogen 2 - How many representative samples per paddock],"&gt;""",Tbl_Responses[[Resp_Group]:[Resp_Group]],Grower)+COUNTIFS(Tbl_Responses[Nitrogen 3 - How many representative samples per paddock],"&gt;""",Tbl_Responses[[Resp_Group]:[Resp_Group]],Grower))</f>
        <v>0.12</v>
      </c>
      <c r="CG50" s="72"/>
      <c r="CH50" s="72"/>
      <c r="CI50" s="80" t="s">
        <v>180</v>
      </c>
      <c r="CJ50" s="72">
        <f>(COUNTIFS(Tbl_Responses[Phosphorus 1 - Type of test],CI50,Tbl_Responses[[Resp_Group]:[Resp_Group]],Grower)+COUNTIFS(Tbl_Responses[Phosphorus 2 - Type of test],CI50,Tbl_Responses[[Resp_Group]:[Resp_Group]],Grower)+COUNTIFS(Tbl_Responses[Phosphorus 3 - Type of test],CI50,Tbl_Responses[[Resp_Group]:[Resp_Group]],Grower)+COUNTIFS(Tbl_Responses[Phosphorus 4 - Type of test],CI50,Tbl_Responses[[Resp_Group]:[Resp_Group]],Grower)+COUNTIFS(Tbl_Responses[Phosphorus 5 - Type of test],CI50,Tbl_Responses[[Resp_Group]:[Resp_Group]],Grower))/(COUNTIFS(Tbl_Responses[Phosphorus 1 - Type of test],"&gt;""",Tbl_Responses[[Resp_Group]:[Resp_Group]],Grower)+COUNTIFS(Tbl_Responses[Phosphorus 2 - Type of test],"&gt;""",Tbl_Responses[[Resp_Group]:[Resp_Group]],Grower)+COUNTIFS(Tbl_Responses[Phosphorus 3 - Type of test],"&gt;""",Tbl_Responses[[Resp_Group]:[Resp_Group]],Grower)+COUNTIFS(Tbl_Responses[Phosphorus 4 - Type of test],"&gt;""",Tbl_Responses[[Resp_Group]:[Resp_Group]],Grower)+COUNTIFS(Tbl_Responses[Phosphorus 5 - Type of test],"&gt;""",Tbl_Responses[[Resp_Group]:[Resp_Group]],Grower))</f>
        <v>0.16438356164383561</v>
      </c>
      <c r="CK50" s="72"/>
      <c r="CL50" s="72"/>
      <c r="CM50" s="76" t="s">
        <v>405</v>
      </c>
      <c r="CN50" s="68">
        <f>(COUNTIFS(Tbl_Responses[Phosphorus 1 - Type of test],Tbl_Q15_sampling34[[#Headers],[Colwell P]],Tbl_Responses[Phosphorus 1 - How many representative samples per paddock],$CM50,Tbl_Responses[[Resp_Group]:[Resp_Group]],Grower)+COUNTIFS(Tbl_Responses[Phosphorus 2 - Type of test],Tbl_Q15_sampling34[[#Headers],[Colwell P]],Tbl_Responses[Phosphorus 2 - How many representative samples per paddock],$CM50,Tbl_Responses[[Resp_Group]:[Resp_Group]],Grower)+COUNTIFS(Tbl_Responses[Phosphorus 3 - Type of test],Tbl_Q15_sampling34[[#Headers],[Colwell P]],Tbl_Responses[Phosphorus 3 - How many representative samples per paddock],$CM50,Tbl_Responses[[Resp_Group]:[Resp_Group]],Grower)+COUNTIFS(Tbl_Responses[Phosphorus 4 - Type of test],Tbl_Q15_sampling34[[#Headers],[Colwell P]],Tbl_Responses[Phosphorus 4 - How many representative samples per paddock],$CM50,Tbl_Responses[[Resp_Group]:[Resp_Group]],Grower)+COUNTIFS(Tbl_Responses[Phosphorus 5 - Type of test],Tbl_Q15_sampling34[[#Headers],[Colwell P]],Tbl_Responses[Phosphorus 5 - How many representative samples per paddock],$CM50,Tbl_Responses[[Resp_Group]:[Resp_Group]],Grower))/(COUNTIFS(Tbl_Responses[Phosphorus 1 - Type of test],Tbl_Q15_sampling34[[#Headers],[Colwell P]],Tbl_Responses[Phosphorus 1 - How many representative samples per paddock],"&gt;""",Tbl_Responses[[Resp_Group]:[Resp_Group]],Grower)+COUNTIFS(Tbl_Responses[Phosphorus 2 - Type of test],Tbl_Q15_sampling34[[#Headers],[Colwell P]],Tbl_Responses[Phosphorus 2 - How many representative samples per paddock],"&gt;""",Tbl_Responses[[Resp_Group]:[Resp_Group]],Grower)+COUNTIFS(Tbl_Responses[Phosphorus 3 - Type of test],Tbl_Q15_sampling34[[#Headers],[Colwell P]],Tbl_Responses[Phosphorus 3 - How many representative samples per paddock],"&gt;""",Tbl_Responses[[Resp_Group]:[Resp_Group]],Grower)+COUNTIFS(Tbl_Responses[Phosphorus 4 - Type of test],Tbl_Q15_sampling34[[#Headers],[Colwell P]],Tbl_Responses[Phosphorus 4 - How many representative samples per paddock],"&gt;""",Tbl_Responses[[Resp_Group]:[Resp_Group]],Grower)+COUNTIFS(Tbl_Responses[Phosphorus 5 - Type of test],Tbl_Q15_sampling34[[#Headers],[Colwell P]],Tbl_Responses[Phosphorus 5 - How many representative samples per paddock],"&gt;""",Tbl_Responses[[Resp_Group]:[Resp_Group]],Grower))</f>
        <v>0.18181818181818182</v>
      </c>
      <c r="CO50" s="64">
        <f>(COUNTIFS(Tbl_Responses[Phosphorus 1 - Type of test],Tbl_Q15_sampling34[[#Headers],[Olsen-Bray P]],Tbl_Responses[Phosphorus 1 - How many representative samples per paddock],$CM50,Tbl_Responses[[Resp_Group]:[Resp_Group]],Grower)+COUNTIFS(Tbl_Responses[Phosphorus 2 - Type of test],Tbl_Q15_sampling34[[#Headers],[Olsen-Bray P]],Tbl_Responses[Phosphorus 2 - How many representative samples per paddock],$CM50,Tbl_Responses[[Resp_Group]:[Resp_Group]],Grower)+COUNTIFS(Tbl_Responses[Phosphorus 3 - Type of test],Tbl_Q15_sampling34[[#Headers],[Olsen-Bray P]],Tbl_Responses[Phosphorus 3 - How many representative samples per paddock],$CM50,Tbl_Responses[[Resp_Group]:[Resp_Group]],Grower)+COUNTIFS(Tbl_Responses[Phosphorus 4 - Type of test],Tbl_Q15_sampling34[[#Headers],[Olsen-Bray P]],Tbl_Responses[Phosphorus 4 - How many representative samples per paddock],$CM50,Tbl_Responses[[Resp_Group]:[Resp_Group]],Grower)+COUNTIFS(Tbl_Responses[Phosphorus 5 - Type of test],Tbl_Q15_sampling34[[#Headers],[Olsen-Bray P]],Tbl_Responses[Phosphorus 5 - How many representative samples per paddock],$CM50,Tbl_Responses[[Resp_Group]:[Resp_Group]],Grower))/(COUNTIFS(Tbl_Responses[Phosphorus 1 - Type of test],Tbl_Q15_sampling34[[#Headers],[Olsen-Bray P]],Tbl_Responses[Phosphorus 1 - How many representative samples per paddock],"&gt;""",Tbl_Responses[[Resp_Group]:[Resp_Group]],Grower)+COUNTIFS(Tbl_Responses[Phosphorus 2 - Type of test],Tbl_Q15_sampling34[[#Headers],[Olsen-Bray P]],Tbl_Responses[Phosphorus 2 - How many representative samples per paddock],"&gt;""",Tbl_Responses[[Resp_Group]:[Resp_Group]],Grower)+COUNTIFS(Tbl_Responses[Phosphorus 3 - Type of test],Tbl_Q15_sampling34[[#Headers],[Olsen-Bray P]],Tbl_Responses[Phosphorus 3 - How many representative samples per paddock],"&gt;""",Tbl_Responses[[Resp_Group]:[Resp_Group]],Grower)+COUNTIFS(Tbl_Responses[Phosphorus 4 - Type of test],Tbl_Q15_sampling34[[#Headers],[Olsen-Bray P]],Tbl_Responses[Phosphorus 4 - How many representative samples per paddock],"&gt;""",Tbl_Responses[[Resp_Group]:[Resp_Group]],Grower)+COUNTIFS(Tbl_Responses[Phosphorus 5 - Type of test],Tbl_Q15_sampling34[[#Headers],[Olsen-Bray P]],Tbl_Responses[Phosphorus 5 - How many representative samples per paddock],"&gt;""",Tbl_Responses[[Resp_Group]:[Resp_Group]],Grower))</f>
        <v>0.25</v>
      </c>
      <c r="CP50" s="64">
        <f>(COUNTIFS(Tbl_Responses[Phosphorus 1 - Type of test],Tbl_Q15_sampling34[[#Headers],[PBI (Phosphorus Buffering Index)]],Tbl_Responses[Phosphorus 1 - How many representative samples per paddock],$CM50,Tbl_Responses[[Resp_Group]:[Resp_Group]],Grower)+COUNTIFS(Tbl_Responses[Phosphorus 2 - Type of test],Tbl_Q15_sampling34[[#Headers],[PBI (Phosphorus Buffering Index)]],Tbl_Responses[Phosphorus 2 - How many representative samples per paddock],$CM50,Tbl_Responses[[Resp_Group]:[Resp_Group]],Grower)+COUNTIFS(Tbl_Responses[Phosphorus 3 - Type of test],Tbl_Q15_sampling34[[#Headers],[PBI (Phosphorus Buffering Index)]],Tbl_Responses[Phosphorus 3 - How many representative samples per paddock],$CM50,Tbl_Responses[[Resp_Group]:[Resp_Group]],Grower)+COUNTIFS(Tbl_Responses[Phosphorus 4 - Type of test],Tbl_Q15_sampling34[[#Headers],[PBI (Phosphorus Buffering Index)]],Tbl_Responses[Phosphorus 4 - How many representative samples per paddock],$CM50,Tbl_Responses[[Resp_Group]:[Resp_Group]],Grower)+COUNTIFS(Tbl_Responses[Phosphorus 5 - Type of test],Tbl_Q15_sampling34[[#Headers],[PBI (Phosphorus Buffering Index)]],Tbl_Responses[Phosphorus 5 - How many representative samples per paddock],$CM50,Tbl_Responses[[Resp_Group]:[Resp_Group]],Grower))/(COUNTIFS(Tbl_Responses[Phosphorus 1 - Type of test],Tbl_Q15_sampling34[[#Headers],[PBI (Phosphorus Buffering Index)]],Tbl_Responses[Phosphorus 1 - How many representative samples per paddock],"&gt;""",Tbl_Responses[[Resp_Group]:[Resp_Group]],Grower)+COUNTIFS(Tbl_Responses[Phosphorus 2 - Type of test],Tbl_Q15_sampling34[[#Headers],[PBI (Phosphorus Buffering Index)]],Tbl_Responses[Phosphorus 2 - How many representative samples per paddock],"&gt;""",Tbl_Responses[[Resp_Group]:[Resp_Group]],Grower)+COUNTIFS(Tbl_Responses[Phosphorus 3 - Type of test],Tbl_Q15_sampling34[[#Headers],[PBI (Phosphorus Buffering Index)]],Tbl_Responses[Phosphorus 3 - How many representative samples per paddock],"&gt;""",Tbl_Responses[[Resp_Group]:[Resp_Group]],Grower)+COUNTIFS(Tbl_Responses[Phosphorus 4 - Type of test],Tbl_Q15_sampling34[[#Headers],[PBI (Phosphorus Buffering Index)]],Tbl_Responses[Phosphorus 4 - How many representative samples per paddock],"&gt;""",Tbl_Responses[[Resp_Group]:[Resp_Group]],Grower)+COUNTIFS(Tbl_Responses[Phosphorus 5 - Type of test],Tbl_Q15_sampling34[[#Headers],[PBI (Phosphorus Buffering Index)]],Tbl_Responses[Phosphorus 5 - How many representative samples per paddock],"&gt;""",Tbl_Responses[[Resp_Group]:[Resp_Group]],Grower))</f>
        <v>0.375</v>
      </c>
      <c r="CQ50" s="64">
        <f>(COUNTIFS(Tbl_Responses[Phosphorus 1 - Type of test],Tbl_Q15_sampling34[[#Headers],[DGT]],Tbl_Responses[Phosphorus 1 - How many representative samples per paddock],$CM50,Tbl_Responses[[Resp_Group]:[Resp_Group]],Grower)+COUNTIFS(Tbl_Responses[Phosphorus 2 - Type of test],Tbl_Q15_sampling34[[#Headers],[DGT]],Tbl_Responses[Phosphorus 2 - How many representative samples per paddock],$CM50,Tbl_Responses[[Resp_Group]:[Resp_Group]],Grower)+COUNTIFS(Tbl_Responses[Phosphorus 3 - Type of test],Tbl_Q15_sampling34[[#Headers],[DGT]],Tbl_Responses[Phosphorus 3 - How many representative samples per paddock],$CM50,Tbl_Responses[[Resp_Group]:[Resp_Group]],Grower)+COUNTIFS(Tbl_Responses[Phosphorus 4 - Type of test],Tbl_Q15_sampling34[[#Headers],[DGT]],Tbl_Responses[Phosphorus 4 - How many representative samples per paddock],$CM50,Tbl_Responses[[Resp_Group]:[Resp_Group]],Grower)+COUNTIFS(Tbl_Responses[Phosphorus 5 - Type of test],Tbl_Q15_sampling34[[#Headers],[DGT]],Tbl_Responses[Phosphorus 5 - How many representative samples per paddock],$CM50,Tbl_Responses[[Resp_Group]:[Resp_Group]],Grower))/(COUNTIFS(Tbl_Responses[Phosphorus 1 - Type of test],Tbl_Q15_sampling34[[#Headers],[DGT]],Tbl_Responses[Phosphorus 1 - How many representative samples per paddock],"&gt;""",Tbl_Responses[[Resp_Group]:[Resp_Group]],Grower)+COUNTIFS(Tbl_Responses[Phosphorus 2 - Type of test],Tbl_Q15_sampling34[[#Headers],[DGT]],Tbl_Responses[Phosphorus 2 - How many representative samples per paddock],"&gt;""",Tbl_Responses[[Resp_Group]:[Resp_Group]],Grower)+COUNTIFS(Tbl_Responses[Phosphorus 3 - Type of test],Tbl_Q15_sampling34[[#Headers],[DGT]],Tbl_Responses[Phosphorus 3 - How many representative samples per paddock],"&gt;""",Tbl_Responses[[Resp_Group]:[Resp_Group]],Grower)+COUNTIFS(Tbl_Responses[Phosphorus 4 - Type of test],Tbl_Q15_sampling34[[#Headers],[DGT]],Tbl_Responses[Phosphorus 4 - How many representative samples per paddock],"&gt;""",Tbl_Responses[[Resp_Group]:[Resp_Group]],Grower)+COUNTIFS(Tbl_Responses[Phosphorus 5 - Type of test],Tbl_Q15_sampling34[[#Headers],[DGT]],Tbl_Responses[Phosphorus 5 - How many representative samples per paddock],"&gt;""",Tbl_Responses[[Resp_Group]:[Resp_Group]],Grower))</f>
        <v>0.18181818181818182</v>
      </c>
      <c r="CR50" s="64">
        <f>(COUNTIFS(Tbl_Responses[Phosphorus 1 - Type of test],Tbl_Q15_sampling34[[#Headers],[Total P]],Tbl_Responses[Phosphorus 1 - How many representative samples per paddock],$CM50,Tbl_Responses[[Resp_Group]:[Resp_Group]],Grower)+COUNTIFS(Tbl_Responses[Phosphorus 2 - Type of test],Tbl_Q15_sampling34[[#Headers],[Total P]],Tbl_Responses[Phosphorus 2 - How many representative samples per paddock],$CM50,Tbl_Responses[[Resp_Group]:[Resp_Group]],Grower)+COUNTIFS(Tbl_Responses[Phosphorus 3 - Type of test],Tbl_Q15_sampling34[[#Headers],[Total P]],Tbl_Responses[Phosphorus 3 - How many representative samples per paddock],$CM50,Tbl_Responses[[Resp_Group]:[Resp_Group]],Grower)+COUNTIFS(Tbl_Responses[Phosphorus 4 - Type of test],Tbl_Q15_sampling34[[#Headers],[Total P]],Tbl_Responses[Phosphorus 4 - How many representative samples per paddock],$CM50,Tbl_Responses[[Resp_Group]:[Resp_Group]],Grower)+COUNTIFS(Tbl_Responses[Phosphorus 5 - Type of test],Tbl_Q15_sampling34[[#Headers],[Total P]],Tbl_Responses[Phosphorus 5 - How many representative samples per paddock],$CM50,Tbl_Responses[[Resp_Group]:[Resp_Group]],Grower))/(COUNTIFS(Tbl_Responses[Phosphorus 1 - Type of test],Tbl_Q15_sampling34[[#Headers],[Total P]],Tbl_Responses[Phosphorus 1 - How many representative samples per paddock],"&gt;""",Tbl_Responses[[Resp_Group]:[Resp_Group]],Grower)+COUNTIFS(Tbl_Responses[Phosphorus 2 - Type of test],Tbl_Q15_sampling34[[#Headers],[Total P]],Tbl_Responses[Phosphorus 2 - How many representative samples per paddock],"&gt;""",Tbl_Responses[[Resp_Group]:[Resp_Group]],Grower)+COUNTIFS(Tbl_Responses[Phosphorus 3 - Type of test],Tbl_Q15_sampling34[[#Headers],[Total P]],Tbl_Responses[Phosphorus 3 - How many representative samples per paddock],"&gt;""",Tbl_Responses[[Resp_Group]:[Resp_Group]],Grower)+COUNTIFS(Tbl_Responses[Phosphorus 4 - Type of test],Tbl_Q15_sampling34[[#Headers],[Total P]],Tbl_Responses[Phosphorus 4 - How many representative samples per paddock],"&gt;""",Tbl_Responses[[Resp_Group]:[Resp_Group]],Grower)+COUNTIFS(Tbl_Responses[Phosphorus 5 - Type of test],Tbl_Q15_sampling34[[#Headers],[Total P]],Tbl_Responses[Phosphorus 5 - How many representative samples per paddock],"&gt;""",Tbl_Responses[[Resp_Group]:[Resp_Group]],Grower))</f>
        <v>0.42857142857142855</v>
      </c>
      <c r="CS50" s="82">
        <f>(COUNTIFS(Tbl_Responses[Phosphorus 1 - How many representative samples per paddock],$CM50,Tbl_Responses[[Resp_Group]:[Resp_Group]],Grower)+COUNTIFS(Tbl_Responses[Phosphorus 2 - How many representative samples per paddock],$CM50,Tbl_Responses[[Resp_Group]:[Resp_Group]],Grower)+COUNTIFS(Tbl_Responses[Phosphorus 3 - How many representative samples per paddock],$CM50,Tbl_Responses[[Resp_Group]:[Resp_Group]],Grower)+COUNTIFS(Tbl_Responses[Phosphorus 4 - How many representative samples per paddock],$CM50,Tbl_Responses[[Resp_Group]:[Resp_Group]],Grower)+COUNTIFS(Tbl_Responses[Phosphorus 5 - How many representative samples per paddock],$CM50,Tbl_Responses[[Resp_Group]:[Resp_Group]],Grower))/(COUNTIFS(Tbl_Responses[Phosphorus 1 - How many representative samples per paddock],"&gt;""",Tbl_Responses[[Resp_Group]:[Resp_Group]],Grower)+COUNTIFS(Tbl_Responses[Phosphorus 2 - How many representative samples per paddock],"&gt;""",Tbl_Responses[[Resp_Group]:[Resp_Group]],Grower)+COUNTIFS(Tbl_Responses[Phosphorus 3 - How many representative samples per paddock],"&gt;""",Tbl_Responses[[Resp_Group]:[Resp_Group]],Grower)+COUNTIFS(Tbl_Responses[Phosphorus 4 - How many representative samples per paddock],"&gt;""",Tbl_Responses[[Resp_Group]:[Resp_Group]],Grower)+COUNTIFS(Tbl_Responses[Phosphorus 5 - How many representative samples per paddock],"&gt;""",Tbl_Responses[[Resp_Group]:[Resp_Group]],Grower))</f>
        <v>0.25</v>
      </c>
      <c r="CT50" s="72"/>
      <c r="CU50" s="72"/>
      <c r="CV50" s="72"/>
      <c r="CW50" s="72"/>
      <c r="CX50" s="72"/>
      <c r="CY50" s="72"/>
      <c r="CZ50" s="76" t="s">
        <v>405</v>
      </c>
      <c r="DA50" s="68">
        <f>(COUNTIFS(Tbl_Responses[Potassium 1 - Type of test],Tbl_Q16_sampling35[[#Headers],[Colwell K]],Tbl_Responses[Potassium 1 - How many representative samples per paddock],$CZ50,Tbl_Responses[[Resp_Group]:[Resp_Group]],Grower)+COUNTIFS(Tbl_Responses[Potassium 2 - Type of test],Tbl_Q16_sampling35[[#Headers],[Colwell K]],Tbl_Responses[Potassium 2 - How many representative samples per paddock],$CZ50,Tbl_Responses[[Resp_Group]:[Resp_Group]],Grower)+COUNTIFS(Tbl_Responses[Potassium 3 - Type of test],Tbl_Q16_sampling35[[#Headers],[Colwell K]],Tbl_Responses[Potassium 3 - How many representative samples per paddock],$CZ50,Tbl_Responses[[Resp_Group]:[Resp_Group]],Grower))/(COUNTIFS(Tbl_Responses[Potassium 1 - Type of test],Tbl_Q16_sampling35[[#Headers],[Colwell K]],Tbl_Responses[Potassium 1 - How many representative samples per paddock],"&gt;""",Tbl_Responses[[Resp_Group]:[Resp_Group]],Grower)+COUNTIFS(Tbl_Responses[Potassium 2 - Type of test],Tbl_Q16_sampling35[[#Headers],[Colwell K]],Tbl_Responses[Potassium 2 - How many representative samples per paddock],"&gt;""",Tbl_Responses[[Resp_Group]:[Resp_Group]],Grower)+COUNTIFS(Tbl_Responses[Potassium 3 - Type of test],Tbl_Q16_sampling35[[#Headers],[Colwell K]],Tbl_Responses[Potassium 3 - How many representative samples per paddock],"&gt;""",Tbl_Responses[[Resp_Group]:[Resp_Group]],Grower))</f>
        <v>0.25</v>
      </c>
      <c r="DB50" s="64">
        <f>(COUNTIFS(Tbl_Responses[Potassium 1 - Type of test],Tbl_Q16_sampling35[[#Headers],[Exchangable Cations (Ca, Mg, K, Na)]],Tbl_Responses[Potassium 1 - How many representative samples per paddock],$CZ50,Tbl_Responses[[Resp_Group]:[Resp_Group]],Grower)+COUNTIFS(Tbl_Responses[Potassium 2 - Type of test],Tbl_Q16_sampling35[[#Headers],[Exchangable Cations (Ca, Mg, K, Na)]],Tbl_Responses[Potassium 2 - How many representative samples per paddock],$CZ50,Tbl_Responses[[Resp_Group]:[Resp_Group]],Grower)+COUNTIFS(Tbl_Responses[Potassium 3 - Type of test],Tbl_Q16_sampling35[[#Headers],[Exchangable Cations (Ca, Mg, K, Na)]],Tbl_Responses[Potassium 3 - How many representative samples per paddock],$CZ50,Tbl_Responses[[Resp_Group]:[Resp_Group]],Grower))/(COUNTIFS(Tbl_Responses[Potassium 1 - Type of test],Tbl_Q16_sampling35[[#Headers],[Exchangable Cations (Ca, Mg, K, Na)]],Tbl_Responses[Potassium 1 - How many representative samples per paddock],"&gt;""",Tbl_Responses[[Resp_Group]:[Resp_Group]],Grower)+COUNTIFS(Tbl_Responses[Potassium 2 - Type of test],Tbl_Q16_sampling35[[#Headers],[Exchangable Cations (Ca, Mg, K, Na)]],Tbl_Responses[Potassium 2 - How many representative samples per paddock],"&gt;""",Tbl_Responses[[Resp_Group]:[Resp_Group]],Grower)+COUNTIFS(Tbl_Responses[Potassium 3 - Type of test],Tbl_Q16_sampling35[[#Headers],[Exchangable Cations (Ca, Mg, K, Na)]],Tbl_Responses[Potassium 3 - How many representative samples per paddock],"&gt;""",Tbl_Responses[[Resp_Group]:[Resp_Group]],Grower))</f>
        <v>0.5</v>
      </c>
      <c r="DC50" s="69">
        <f>(COUNTIFS(Tbl_Responses[Potassium 1 - How many representative samples per paddock],$CZ50,Tbl_Responses[[Resp_Group]:[Resp_Group]],Grower)+COUNTIFS(Tbl_Responses[Potassium 2 - How many representative samples per paddock],$CZ50,Tbl_Responses[[Resp_Group]:[Resp_Group]],Grower)+COUNTIFS(Tbl_Responses[Potassium 3 - How many representative samples per paddock],$CZ50,Tbl_Responses[[Resp_Group]:[Resp_Group]],Grower))/(COUNTIFS(Tbl_Responses[Potassium 1 - How many representative samples per paddock],"&gt;""",Tbl_Responses[[Resp_Group]:[Resp_Group]],Grower)+COUNTIFS(Tbl_Responses[Potassium 2 - How many representative samples per paddock],"&gt;""",Tbl_Responses[[Resp_Group]:[Resp_Group]],Grower)+COUNTIFS(Tbl_Responses[Potassium 3 - How many representative samples per paddock],"&gt;""",Tbl_Responses[[Resp_Group]:[Resp_Group]],Grower))</f>
        <v>0.35714285714285715</v>
      </c>
      <c r="DD50" s="72"/>
      <c r="DE50" s="72"/>
      <c r="DF50" s="80" t="s">
        <v>323</v>
      </c>
      <c r="DG50" s="72">
        <f>(COUNTIFS(Tbl_Responses[1 - Type of test],DF50,Tbl_Responses[[Resp_Group]:[Resp_Group]],Grower)+COUNTIFS(Tbl_Responses[2 - Type of test],DF50,Tbl_Responses[[Resp_Group]:[Resp_Group]],Grower)+COUNTIFS(Tbl_Responses[3 - Type of test],DF50,Tbl_Responses[[Resp_Group]:[Resp_Group]],Grower)+COUNTIFS(Tbl_Responses[4 - Type of test],DF50,Tbl_Responses[[Resp_Group]:[Resp_Group]],Grower)+COUNTIFS(Tbl_Responses[5 - Type of test],DF50,Tbl_Responses[[Resp_Group]:[Resp_Group]],Grower))/(COUNTIFS(Tbl_Responses[1 - Type of test],"&gt;""",Tbl_Responses[[Resp_Group]:[Resp_Group]],Grower)+COUNTIFS(Tbl_Responses[2 - Type of test],"&gt;""",Tbl_Responses[[Resp_Group]:[Resp_Group]],Grower)+COUNTIFS(Tbl_Responses[3 - Type of test],"&gt;""",Tbl_Responses[[Resp_Group]:[Resp_Group]],Grower)+COUNTIFS(Tbl_Responses[4 - Type of test],"&gt;""",Tbl_Responses[[Resp_Group]:[Resp_Group]],Grower)+COUNTIFS(Tbl_Responses[5 - Type of test],"&gt;""",Tbl_Responses[[Resp_Group]:[Resp_Group]],Grower))</f>
        <v>3.2608695652173912E-2</v>
      </c>
      <c r="DH50" s="72"/>
      <c r="DI50" s="72"/>
      <c r="DJ50" s="76" t="s">
        <v>405</v>
      </c>
      <c r="DK50" s="68">
        <f>(COUNTIFS(Tbl_Responses[1 - Type of test],Tbl_Q17_sampling36[[#Headers],[pH]],Tbl_Responses[1 - How many cores per paddock],$DJ50,Tbl_Responses[[Resp_Group]:[Resp_Group]],Grower)+COUNTIFS(Tbl_Responses[2 - Type of test],Tbl_Q17_sampling36[[#Headers],[pH]],Tbl_Responses[2 - How many cores per paddock],$DJ50,Tbl_Responses[[Resp_Group]:[Resp_Group]],Grower)+COUNTIFS(Tbl_Responses[3 - Type of test],Tbl_Q17_sampling36[[#Headers],[pH]],Tbl_Responses[3 - How many cores per paddock],$DJ50,Tbl_Responses[[Resp_Group]:[Resp_Group]],Grower)+COUNTIFS(Tbl_Responses[4 - Type of test],Tbl_Q17_sampling36[[#Headers],[pH]],Tbl_Responses[4 - How many cores per paddock],$DJ50,Tbl_Responses[[Resp_Group]:[Resp_Group]],Grower)+COUNTIFS(Tbl_Responses[5 - Type of test],Tbl_Q17_sampling36[[#Headers],[pH]],Tbl_Responses[5 - How many cores per paddock],$DJ50,Tbl_Responses[[Resp_Group]:[Resp_Group]],Grower)+COUNTIFS(Tbl_Responses[6 - Type of test],Tbl_Q17_sampling36[[#Headers],[pH]],Tbl_Responses[6 - How many cores per paddock],$DJ50,Tbl_Responses[[Resp_Group]:[Resp_Group]],Grower)+COUNTIFS(Tbl_Responses[7 - Type of test],Tbl_Q17_sampling36[[#Headers],[pH]],Tbl_Responses[7 - How many cores per paddock],$DJ50,Tbl_Responses[[Resp_Group]:[Resp_Group]],Grower)+COUNTIFS(Tbl_Responses[8 - Type of test],Tbl_Q17_sampling36[[#Headers],[pH]],Tbl_Responses[8 - How many cores per paddock],$DJ50,Tbl_Responses[[Resp_Group]:[Resp_Group]],Grower))/(COUNTIFS(Tbl_Responses[1 - Type of test],Tbl_Q17_sampling36[[#Headers],[pH]],Tbl_Responses[1 - How many cores per paddock],"&gt;""",Tbl_Responses[[Resp_Group]:[Resp_Group]],Grower)+COUNTIFS(Tbl_Responses[2 - Type of test],Tbl_Q17_sampling36[[#Headers],[pH]],Tbl_Responses[2 - How many cores per paddock],"&gt;""",Tbl_Responses[[Resp_Group]:[Resp_Group]],Grower)+COUNTIFS(Tbl_Responses[3 - Type of test],Tbl_Q17_sampling36[[#Headers],[pH]],Tbl_Responses[3 - How many cores per paddock],"&gt;""",Tbl_Responses[[Resp_Group]:[Resp_Group]],Grower)+COUNTIFS(Tbl_Responses[4 - Type of test],Tbl_Q17_sampling36[[#Headers],[pH]],Tbl_Responses[4 - How many cores per paddock],"&gt;""",Tbl_Responses[[Resp_Group]:[Resp_Group]],Grower)+COUNTIFS(Tbl_Responses[5 - Type of test],Tbl_Q17_sampling36[[#Headers],[pH]],Tbl_Responses[5 - How many cores per paddock],"&gt;""",Tbl_Responses[[Resp_Group]:[Resp_Group]],Grower)+COUNTIFS(Tbl_Responses[6 - Type of test],Tbl_Q17_sampling36[[#Headers],[pH]],Tbl_Responses[6 - How many cores per paddock],"&gt;""",Tbl_Responses[[Resp_Group]:[Resp_Group]],Grower)+COUNTIFS(Tbl_Responses[7 - Type of test],Tbl_Q17_sampling36[[#Headers],[pH]],Tbl_Responses[7 - How many cores per paddock],"&gt;""",Tbl_Responses[[Resp_Group]:[Resp_Group]],Grower)+COUNTIFS(Tbl_Responses[8 - Type of test],Tbl_Q17_sampling36[[#Headers],[pH]],Tbl_Responses[8 - How many cores per paddock],"&gt;""",Tbl_Responses[[Resp_Group]:[Resp_Group]],Grower))</f>
        <v>0.25</v>
      </c>
      <c r="DL50" s="64">
        <f>(COUNTIFS(Tbl_Responses[1 - Type of test],Tbl_Q17_sampling36[[#Headers],[Trace elements (DTPA) Cu, Zn, Mg, Fe]],Tbl_Responses[1 - How many cores per paddock],$DJ50,Tbl_Responses[[Resp_Group]:[Resp_Group]],Grower)+COUNTIFS(Tbl_Responses[2 - Type of test],Tbl_Q17_sampling36[[#Headers],[Trace elements (DTPA) Cu, Zn, Mg, Fe]],Tbl_Responses[2 - How many cores per paddock],$DJ50,Tbl_Responses[[Resp_Group]:[Resp_Group]],Grower)+COUNTIFS(Tbl_Responses[3 - Type of test],Tbl_Q17_sampling36[[#Headers],[Trace elements (DTPA) Cu, Zn, Mg, Fe]],Tbl_Responses[3 - How many cores per paddock],$DJ50,Tbl_Responses[[Resp_Group]:[Resp_Group]],Grower)+COUNTIFS(Tbl_Responses[4 - Type of test],Tbl_Q17_sampling36[[#Headers],[Trace elements (DTPA) Cu, Zn, Mg, Fe]],Tbl_Responses[4 - How many cores per paddock],$DJ50,Tbl_Responses[[Resp_Group]:[Resp_Group]],Grower)+COUNTIFS(Tbl_Responses[5 - Type of test],Tbl_Q17_sampling36[[#Headers],[Trace elements (DTPA) Cu, Zn, Mg, Fe]],Tbl_Responses[5 - How many cores per paddock],$DJ50,Tbl_Responses[[Resp_Group]:[Resp_Group]],Grower)+COUNTIFS(Tbl_Responses[6 - Type of test],Tbl_Q17_sampling36[[#Headers],[Trace elements (DTPA) Cu, Zn, Mg, Fe]],Tbl_Responses[6 - How many cores per paddock],$DJ50,Tbl_Responses[[Resp_Group]:[Resp_Group]],Grower)+COUNTIFS(Tbl_Responses[7 - Type of test],Tbl_Q17_sampling36[[#Headers],[Trace elements (DTPA) Cu, Zn, Mg, Fe]],Tbl_Responses[7 - How many cores per paddock],$DJ50,Tbl_Responses[[Resp_Group]:[Resp_Group]],Grower)+COUNTIFS(Tbl_Responses[8 - Type of test],Tbl_Q17_sampling36[[#Headers],[Trace elements (DTPA) Cu, Zn, Mg, Fe]],Tbl_Responses[8 - How many cores per paddock],$DJ50,Tbl_Responses[[Resp_Group]:[Resp_Group]],Grower))/(COUNTIFS(Tbl_Responses[1 - Type of test],Tbl_Q17_sampling36[[#Headers],[Trace elements (DTPA) Cu, Zn, Mg, Fe]],Tbl_Responses[1 - How many cores per paddock],"&gt;""",Tbl_Responses[[Resp_Group]:[Resp_Group]],Grower)+COUNTIFS(Tbl_Responses[2 - Type of test],Tbl_Q17_sampling36[[#Headers],[Trace elements (DTPA) Cu, Zn, Mg, Fe]],Tbl_Responses[2 - How many cores per paddock],"&gt;""",Tbl_Responses[[Resp_Group]:[Resp_Group]],Grower)+COUNTIFS(Tbl_Responses[3 - Type of test],Tbl_Q17_sampling36[[#Headers],[Trace elements (DTPA) Cu, Zn, Mg, Fe]],Tbl_Responses[3 - How many cores per paddock],"&gt;""",Tbl_Responses[[Resp_Group]:[Resp_Group]],Grower)+COUNTIFS(Tbl_Responses[4 - Type of test],Tbl_Q17_sampling36[[#Headers],[Trace elements (DTPA) Cu, Zn, Mg, Fe]],Tbl_Responses[4 - How many cores per paddock],"&gt;""",Tbl_Responses[[Resp_Group]:[Resp_Group]],Grower)+COUNTIFS(Tbl_Responses[5 - Type of test],Tbl_Q17_sampling36[[#Headers],[Trace elements (DTPA) Cu, Zn, Mg, Fe]],Tbl_Responses[5 - How many cores per paddock],"&gt;""",Tbl_Responses[[Resp_Group]:[Resp_Group]],Grower)+COUNTIFS(Tbl_Responses[6 - Type of test],Tbl_Q17_sampling36[[#Headers],[Trace elements (DTPA) Cu, Zn, Mg, Fe]],Tbl_Responses[6 - How many cores per paddock],"&gt;""",Tbl_Responses[[Resp_Group]:[Resp_Group]],Grower)+COUNTIFS(Tbl_Responses[7 - Type of test],Tbl_Q17_sampling36[[#Headers],[Trace elements (DTPA) Cu, Zn, Mg, Fe]],Tbl_Responses[7 - How many cores per paddock],"&gt;""",Tbl_Responses[[Resp_Group]:[Resp_Group]],Grower)+COUNTIFS(Tbl_Responses[8 - Type of test],Tbl_Q17_sampling36[[#Headers],[Trace elements (DTPA) Cu, Zn, Mg, Fe]],Tbl_Responses[8 - How many cores per paddock],"&gt;""",Tbl_Responses[[Resp_Group]:[Resp_Group]],Grower))</f>
        <v>0.23076923076923078</v>
      </c>
      <c r="DM50" s="64">
        <f>(COUNTIFS(Tbl_Responses[1 - Type of test],Tbl_Q17_sampling36[[#Headers],[Trace elements (EDTA) Cu, Zn, Mg, Fe]],Tbl_Responses[1 - How many cores per paddock],$DJ50,Tbl_Responses[[Resp_Group]:[Resp_Group]],Grower)+COUNTIFS(Tbl_Responses[2 - Type of test],Tbl_Q17_sampling36[[#Headers],[Trace elements (EDTA) Cu, Zn, Mg, Fe]],Tbl_Responses[2 - How many cores per paddock],$DJ50,Tbl_Responses[[Resp_Group]:[Resp_Group]],Grower)+COUNTIFS(Tbl_Responses[3 - Type of test],Tbl_Q17_sampling36[[#Headers],[Trace elements (EDTA) Cu, Zn, Mg, Fe]],Tbl_Responses[3 - How many cores per paddock],$DJ50,Tbl_Responses[[Resp_Group]:[Resp_Group]],Grower)+COUNTIFS(Tbl_Responses[4 - Type of test],Tbl_Q17_sampling36[[#Headers],[Trace elements (EDTA) Cu, Zn, Mg, Fe]],Tbl_Responses[4 - How many cores per paddock],$DJ50,Tbl_Responses[[Resp_Group]:[Resp_Group]],Grower)+COUNTIFS(Tbl_Responses[5 - Type of test],Tbl_Q17_sampling36[[#Headers],[Trace elements (EDTA) Cu, Zn, Mg, Fe]],Tbl_Responses[5 - How many cores per paddock],$DJ50,Tbl_Responses[[Resp_Group]:[Resp_Group]],Grower)+COUNTIFS(Tbl_Responses[6 - Type of test],Tbl_Q17_sampling36[[#Headers],[Trace elements (EDTA) Cu, Zn, Mg, Fe]],Tbl_Responses[6 - How many cores per paddock],$DJ50,Tbl_Responses[[Resp_Group]:[Resp_Group]],Grower)+COUNTIFS(Tbl_Responses[7 - Type of test],Tbl_Q17_sampling36[[#Headers],[Trace elements (EDTA) Cu, Zn, Mg, Fe]],Tbl_Responses[7 - How many cores per paddock],$DJ50,Tbl_Responses[[Resp_Group]:[Resp_Group]],Grower)+COUNTIFS(Tbl_Responses[8 - Type of test],Tbl_Q17_sampling36[[#Headers],[Trace elements (EDTA) Cu, Zn, Mg, Fe]],Tbl_Responses[8 - How many cores per paddock],$DJ50,Tbl_Responses[[Resp_Group]:[Resp_Group]],Grower))/(COUNTIFS(Tbl_Responses[1 - Type of test],Tbl_Q17_sampling36[[#Headers],[Trace elements (EDTA) Cu, Zn, Mg, Fe]],Tbl_Responses[1 - How many cores per paddock],"&gt;""",Tbl_Responses[[Resp_Group]:[Resp_Group]],Grower)+COUNTIFS(Tbl_Responses[2 - Type of test],Tbl_Q17_sampling36[[#Headers],[Trace elements (EDTA) Cu, Zn, Mg, Fe]],Tbl_Responses[2 - How many cores per paddock],"&gt;""",Tbl_Responses[[Resp_Group]:[Resp_Group]],Grower)+COUNTIFS(Tbl_Responses[3 - Type of test],Tbl_Q17_sampling36[[#Headers],[Trace elements (EDTA) Cu, Zn, Mg, Fe]],Tbl_Responses[3 - How many cores per paddock],"&gt;""",Tbl_Responses[[Resp_Group]:[Resp_Group]],Grower)+COUNTIFS(Tbl_Responses[4 - Type of test],Tbl_Q17_sampling36[[#Headers],[Trace elements (EDTA) Cu, Zn, Mg, Fe]],Tbl_Responses[4 - How many cores per paddock],"&gt;""",Tbl_Responses[[Resp_Group]:[Resp_Group]],Grower)+COUNTIFS(Tbl_Responses[5 - Type of test],Tbl_Q17_sampling36[[#Headers],[Trace elements (EDTA) Cu, Zn, Mg, Fe]],Tbl_Responses[5 - How many cores per paddock],"&gt;""",Tbl_Responses[[Resp_Group]:[Resp_Group]],Grower)+COUNTIFS(Tbl_Responses[6 - Type of test],Tbl_Q17_sampling36[[#Headers],[Trace elements (EDTA) Cu, Zn, Mg, Fe]],Tbl_Responses[6 - How many cores per paddock],"&gt;""",Tbl_Responses[[Resp_Group]:[Resp_Group]],Grower)+COUNTIFS(Tbl_Responses[7 - Type of test],Tbl_Q17_sampling36[[#Headers],[Trace elements (EDTA) Cu, Zn, Mg, Fe]],Tbl_Responses[7 - How many cores per paddock],"&gt;""",Tbl_Responses[[Resp_Group]:[Resp_Group]],Grower)+COUNTIFS(Tbl_Responses[8 - Type of test],Tbl_Q17_sampling36[[#Headers],[Trace elements (EDTA) Cu, Zn, Mg, Fe]],Tbl_Responses[8 - How many cores per paddock],"&gt;""",Tbl_Responses[[Resp_Group]:[Resp_Group]],Grower))</f>
        <v>0</v>
      </c>
      <c r="DN50" s="64">
        <f>(COUNTIFS(Tbl_Responses[1 - Type of test],Tbl_Q17_sampling36[[#Headers],[Exchangable cations - Ca, Mg, Na, K]],Tbl_Responses[1 - How many cores per paddock],$DJ50,Tbl_Responses[[Resp_Group]:[Resp_Group]],Grower)+COUNTIFS(Tbl_Responses[2 - Type of test],Tbl_Q17_sampling36[[#Headers],[Exchangable cations - Ca, Mg, Na, K]],Tbl_Responses[2 - How many cores per paddock],$DJ50,Tbl_Responses[[Resp_Group]:[Resp_Group]],Grower)+COUNTIFS(Tbl_Responses[3 - Type of test],Tbl_Q17_sampling36[[#Headers],[Exchangable cations - Ca, Mg, Na, K]],Tbl_Responses[3 - How many cores per paddock],$DJ50,Tbl_Responses[[Resp_Group]:[Resp_Group]],Grower)+COUNTIFS(Tbl_Responses[4 - Type of test],Tbl_Q17_sampling36[[#Headers],[Exchangable cations - Ca, Mg, Na, K]],Tbl_Responses[4 - How many cores per paddock],$DJ50,Tbl_Responses[[Resp_Group]:[Resp_Group]],Grower)+COUNTIFS(Tbl_Responses[5 - Type of test],Tbl_Q17_sampling36[[#Headers],[Exchangable cations - Ca, Mg, Na, K]],Tbl_Responses[5 - How many cores per paddock],$DJ50,Tbl_Responses[[Resp_Group]:[Resp_Group]],Grower)+COUNTIFS(Tbl_Responses[6 - Type of test],Tbl_Q17_sampling36[[#Headers],[Exchangable cations - Ca, Mg, Na, K]],Tbl_Responses[6 - How many cores per paddock],$DJ50,Tbl_Responses[[Resp_Group]:[Resp_Group]],Grower)+COUNTIFS(Tbl_Responses[7 - Type of test],Tbl_Q17_sampling36[[#Headers],[Exchangable cations - Ca, Mg, Na, K]],Tbl_Responses[7 - How many cores per paddock],$DJ50,Tbl_Responses[[Resp_Group]:[Resp_Group]],Grower)+COUNTIFS(Tbl_Responses[8 - Type of test],Tbl_Q17_sampling36[[#Headers],[Exchangable cations - Ca, Mg, Na, K]],Tbl_Responses[8 - How many cores per paddock],$DJ50,Tbl_Responses[[Resp_Group]:[Resp_Group]],Grower))/(COUNTIFS(Tbl_Responses[1 - Type of test],Tbl_Q17_sampling36[[#Headers],[Exchangable cations - Ca, Mg, Na, K]],Tbl_Responses[1 - How many cores per paddock],"&gt;""",Tbl_Responses[[Resp_Group]:[Resp_Group]],Grower)+COUNTIFS(Tbl_Responses[2 - Type of test],Tbl_Q17_sampling36[[#Headers],[Exchangable cations - Ca, Mg, Na, K]],Tbl_Responses[2 - How many cores per paddock],"&gt;""",Tbl_Responses[[Resp_Group]:[Resp_Group]],Grower)+COUNTIFS(Tbl_Responses[3 - Type of test],Tbl_Q17_sampling36[[#Headers],[Exchangable cations - Ca, Mg, Na, K]],Tbl_Responses[3 - How many cores per paddock],"&gt;""",Tbl_Responses[[Resp_Group]:[Resp_Group]],Grower)+COUNTIFS(Tbl_Responses[4 - Type of test],Tbl_Q17_sampling36[[#Headers],[Exchangable cations - Ca, Mg, Na, K]],Tbl_Responses[4 - How many cores per paddock],"&gt;""",Tbl_Responses[[Resp_Group]:[Resp_Group]],Grower)+COUNTIFS(Tbl_Responses[5 - Type of test],Tbl_Q17_sampling36[[#Headers],[Exchangable cations - Ca, Mg, Na, K]],Tbl_Responses[5 - How many cores per paddock],"&gt;""",Tbl_Responses[[Resp_Group]:[Resp_Group]],Grower)+COUNTIFS(Tbl_Responses[6 - Type of test],Tbl_Q17_sampling36[[#Headers],[Exchangable cations - Ca, Mg, Na, K]],Tbl_Responses[6 - How many cores per paddock],"&gt;""",Tbl_Responses[[Resp_Group]:[Resp_Group]],Grower)+COUNTIFS(Tbl_Responses[7 - Type of test],Tbl_Q17_sampling36[[#Headers],[Exchangable cations - Ca, Mg, Na, K]],Tbl_Responses[7 - How many cores per paddock],"&gt;""",Tbl_Responses[[Resp_Group]:[Resp_Group]],Grower)+COUNTIFS(Tbl_Responses[8 - Type of test],Tbl_Q17_sampling36[[#Headers],[Exchangable cations - Ca, Mg, Na, K]],Tbl_Responses[8 - How many cores per paddock],"&gt;""",Tbl_Responses[[Resp_Group]:[Resp_Group]],Grower))</f>
        <v>0.375</v>
      </c>
      <c r="DO50" s="64">
        <f>(COUNTIFS(Tbl_Responses[1 - Type of test],Tbl_Q17_sampling36[[#Headers],[Texture]],Tbl_Responses[1 - How many cores per paddock],$DJ50,Tbl_Responses[[Resp_Group]:[Resp_Group]],Grower)+COUNTIFS(Tbl_Responses[2 - Type of test],Tbl_Q17_sampling36[[#Headers],[Texture]],Tbl_Responses[2 - How many cores per paddock],$DJ50,Tbl_Responses[[Resp_Group]:[Resp_Group]],Grower)+COUNTIFS(Tbl_Responses[3 - Type of test],Tbl_Q17_sampling36[[#Headers],[Texture]],Tbl_Responses[3 - How many cores per paddock],$DJ50,Tbl_Responses[[Resp_Group]:[Resp_Group]],Grower)+COUNTIFS(Tbl_Responses[4 - Type of test],Tbl_Q17_sampling36[[#Headers],[Texture]],Tbl_Responses[4 - How many cores per paddock],$DJ50,Tbl_Responses[[Resp_Group]:[Resp_Group]],Grower)+COUNTIFS(Tbl_Responses[5 - Type of test],Tbl_Q17_sampling36[[#Headers],[Texture]],Tbl_Responses[5 - How many cores per paddock],$DJ50,Tbl_Responses[[Resp_Group]:[Resp_Group]],Grower)+COUNTIFS(Tbl_Responses[6 - Type of test],Tbl_Q17_sampling36[[#Headers],[Texture]],Tbl_Responses[6 - How many cores per paddock],$DJ50,Tbl_Responses[[Resp_Group]:[Resp_Group]],Grower)+COUNTIFS(Tbl_Responses[7 - Type of test],Tbl_Q17_sampling36[[#Headers],[Texture]],Tbl_Responses[7 - How many cores per paddock],$DJ50,Tbl_Responses[[Resp_Group]:[Resp_Group]],Grower)+COUNTIFS(Tbl_Responses[8 - Type of test],Tbl_Q17_sampling36[[#Headers],[Texture]],Tbl_Responses[8 - How many cores per paddock],$DJ50,Tbl_Responses[[Resp_Group]:[Resp_Group]],Grower))/(COUNTIFS(Tbl_Responses[1 - Type of test],Tbl_Q17_sampling36[[#Headers],[Texture]],Tbl_Responses[1 - How many cores per paddock],"&gt;""",Tbl_Responses[[Resp_Group]:[Resp_Group]],Grower)+COUNTIFS(Tbl_Responses[2 - Type of test],Tbl_Q17_sampling36[[#Headers],[Texture]],Tbl_Responses[2 - How many cores per paddock],"&gt;""",Tbl_Responses[[Resp_Group]:[Resp_Group]],Grower)+COUNTIFS(Tbl_Responses[3 - Type of test],Tbl_Q17_sampling36[[#Headers],[Texture]],Tbl_Responses[3 - How many cores per paddock],"&gt;""",Tbl_Responses[[Resp_Group]:[Resp_Group]],Grower)+COUNTIFS(Tbl_Responses[4 - Type of test],Tbl_Q17_sampling36[[#Headers],[Texture]],Tbl_Responses[4 - How many cores per paddock],"&gt;""",Tbl_Responses[[Resp_Group]:[Resp_Group]],Grower)+COUNTIFS(Tbl_Responses[5 - Type of test],Tbl_Q17_sampling36[[#Headers],[Texture]],Tbl_Responses[5 - How many cores per paddock],"&gt;""",Tbl_Responses[[Resp_Group]:[Resp_Group]],Grower)+COUNTIFS(Tbl_Responses[6 - Type of test],Tbl_Q17_sampling36[[#Headers],[Texture]],Tbl_Responses[6 - How many cores per paddock],"&gt;""",Tbl_Responses[[Resp_Group]:[Resp_Group]],Grower)+COUNTIFS(Tbl_Responses[7 - Type of test],Tbl_Q17_sampling36[[#Headers],[Texture]],Tbl_Responses[7 - How many cores per paddock],"&gt;""",Tbl_Responses[[Resp_Group]:[Resp_Group]],Grower)+COUNTIFS(Tbl_Responses[8 - Type of test],Tbl_Q17_sampling36[[#Headers],[Texture]],Tbl_Responses[8 - How many cores per paddock],"&gt;""",Tbl_Responses[[Resp_Group]:[Resp_Group]],Grower))</f>
        <v>0.33333333333333331</v>
      </c>
      <c r="DP50" s="64">
        <f>(COUNTIFS(Tbl_Responses[1 - Type of test],Tbl_Q17_sampling36[[#Headers],[Aluminium (CaCl2)]],Tbl_Responses[1 - How many cores per paddock],$DJ50,Tbl_Responses[[Resp_Group]:[Resp_Group]],Grower)+COUNTIFS(Tbl_Responses[2 - Type of test],Tbl_Q17_sampling36[[#Headers],[Aluminium (CaCl2)]],Tbl_Responses[2 - How many cores per paddock],$DJ50,Tbl_Responses[[Resp_Group]:[Resp_Group]],Grower)+COUNTIFS(Tbl_Responses[3 - Type of test],Tbl_Q17_sampling36[[#Headers],[Aluminium (CaCl2)]],Tbl_Responses[3 - How many cores per paddock],$DJ50,Tbl_Responses[[Resp_Group]:[Resp_Group]],Grower)+COUNTIFS(Tbl_Responses[4 - Type of test],Tbl_Q17_sampling36[[#Headers],[Aluminium (CaCl2)]],Tbl_Responses[4 - How many cores per paddock],$DJ50,Tbl_Responses[[Resp_Group]:[Resp_Group]],Grower)+COUNTIFS(Tbl_Responses[5 - Type of test],Tbl_Q17_sampling36[[#Headers],[Aluminium (CaCl2)]],Tbl_Responses[5 - How many cores per paddock],$DJ50,Tbl_Responses[[Resp_Group]:[Resp_Group]],Grower)+COUNTIFS(Tbl_Responses[6 - Type of test],Tbl_Q17_sampling36[[#Headers],[Aluminium (CaCl2)]],Tbl_Responses[6 - How many cores per paddock],$DJ50,Tbl_Responses[[Resp_Group]:[Resp_Group]],Grower)+COUNTIFS(Tbl_Responses[7 - Type of test],Tbl_Q17_sampling36[[#Headers],[Aluminium (CaCl2)]],Tbl_Responses[7 - How many cores per paddock],$DJ50,Tbl_Responses[[Resp_Group]:[Resp_Group]],Grower)+COUNTIFS(Tbl_Responses[8 - Type of test],Tbl_Q17_sampling36[[#Headers],[Aluminium (CaCl2)]],Tbl_Responses[8 - How many cores per paddock],$DJ50,Tbl_Responses[[Resp_Group]:[Resp_Group]],Grower))/(COUNTIFS(Tbl_Responses[1 - Type of test],Tbl_Q17_sampling36[[#Headers],[Aluminium (CaCl2)]],Tbl_Responses[1 - How many cores per paddock],"&gt;""",Tbl_Responses[[Resp_Group]:[Resp_Group]],Grower)+COUNTIFS(Tbl_Responses[2 - Type of test],Tbl_Q17_sampling36[[#Headers],[Aluminium (CaCl2)]],Tbl_Responses[2 - How many cores per paddock],"&gt;""",Tbl_Responses[[Resp_Group]:[Resp_Group]],Grower)+COUNTIFS(Tbl_Responses[3 - Type of test],Tbl_Q17_sampling36[[#Headers],[Aluminium (CaCl2)]],Tbl_Responses[3 - How many cores per paddock],"&gt;""",Tbl_Responses[[Resp_Group]:[Resp_Group]],Grower)+COUNTIFS(Tbl_Responses[4 - Type of test],Tbl_Q17_sampling36[[#Headers],[Aluminium (CaCl2)]],Tbl_Responses[4 - How many cores per paddock],"&gt;""",Tbl_Responses[[Resp_Group]:[Resp_Group]],Grower)+COUNTIFS(Tbl_Responses[5 - Type of test],Tbl_Q17_sampling36[[#Headers],[Aluminium (CaCl2)]],Tbl_Responses[5 - How many cores per paddock],"&gt;""",Tbl_Responses[[Resp_Group]:[Resp_Group]],Grower)+COUNTIFS(Tbl_Responses[6 - Type of test],Tbl_Q17_sampling36[[#Headers],[Aluminium (CaCl2)]],Tbl_Responses[6 - How many cores per paddock],"&gt;""",Tbl_Responses[[Resp_Group]:[Resp_Group]],Grower)+COUNTIFS(Tbl_Responses[7 - Type of test],Tbl_Q17_sampling36[[#Headers],[Aluminium (CaCl2)]],Tbl_Responses[7 - How many cores per paddock],"&gt;""",Tbl_Responses[[Resp_Group]:[Resp_Group]],Grower)+COUNTIFS(Tbl_Responses[8 - Type of test],Tbl_Q17_sampling36[[#Headers],[Aluminium (CaCl2)]],Tbl_Responses[8 - How many cores per paddock],"&gt;""",Tbl_Responses[[Resp_Group]:[Resp_Group]],Grower))</f>
        <v>0.25</v>
      </c>
      <c r="DQ50" s="64">
        <f>(COUNTIFS(Tbl_Responses[1 - Type of test],Tbl_Q17_sampling36[[#Headers],[Chloride]],Tbl_Responses[1 - How many cores per paddock],$DJ50,Tbl_Responses[[Resp_Group]:[Resp_Group]],Grower)+COUNTIFS(Tbl_Responses[2 - Type of test],Tbl_Q17_sampling36[[#Headers],[Chloride]],Tbl_Responses[2 - How many cores per paddock],$DJ50,Tbl_Responses[[Resp_Group]:[Resp_Group]],Grower)+COUNTIFS(Tbl_Responses[3 - Type of test],Tbl_Q17_sampling36[[#Headers],[Chloride]],Tbl_Responses[3 - How many cores per paddock],$DJ50,Tbl_Responses[[Resp_Group]:[Resp_Group]],Grower)+COUNTIFS(Tbl_Responses[4 - Type of test],Tbl_Q17_sampling36[[#Headers],[Chloride]],Tbl_Responses[4 - How many cores per paddock],$DJ50,Tbl_Responses[[Resp_Group]:[Resp_Group]],Grower)+COUNTIFS(Tbl_Responses[5 - Type of test],Tbl_Q17_sampling36[[#Headers],[Chloride]],Tbl_Responses[5 - How many cores per paddock],$DJ50,Tbl_Responses[[Resp_Group]:[Resp_Group]],Grower)+COUNTIFS(Tbl_Responses[6 - Type of test],Tbl_Q17_sampling36[[#Headers],[Chloride]],Tbl_Responses[6 - How many cores per paddock],$DJ50,Tbl_Responses[[Resp_Group]:[Resp_Group]],Grower)+COUNTIFS(Tbl_Responses[7 - Type of test],Tbl_Q17_sampling36[[#Headers],[Chloride]],Tbl_Responses[7 - How many cores per paddock],$DJ50,Tbl_Responses[[Resp_Group]:[Resp_Group]],Grower)+COUNTIFS(Tbl_Responses[8 - Type of test],Tbl_Q17_sampling36[[#Headers],[Chloride]],Tbl_Responses[8 - How many cores per paddock],$DJ50,Tbl_Responses[[Resp_Group]:[Resp_Group]],Grower))/(COUNTIFS(Tbl_Responses[1 - Type of test],Tbl_Q17_sampling36[[#Headers],[Chloride]],Tbl_Responses[1 - How many cores per paddock],"&gt;""",Tbl_Responses[[Resp_Group]:[Resp_Group]],Grower)+COUNTIFS(Tbl_Responses[2 - Type of test],Tbl_Q17_sampling36[[#Headers],[Chloride]],Tbl_Responses[2 - How many cores per paddock],"&gt;""",Tbl_Responses[[Resp_Group]:[Resp_Group]],Grower)+COUNTIFS(Tbl_Responses[3 - Type of test],Tbl_Q17_sampling36[[#Headers],[Chloride]],Tbl_Responses[3 - How many cores per paddock],"&gt;""",Tbl_Responses[[Resp_Group]:[Resp_Group]],Grower)+COUNTIFS(Tbl_Responses[4 - Type of test],Tbl_Q17_sampling36[[#Headers],[Chloride]],Tbl_Responses[4 - How many cores per paddock],"&gt;""",Tbl_Responses[[Resp_Group]:[Resp_Group]],Grower)+COUNTIFS(Tbl_Responses[5 - Type of test],Tbl_Q17_sampling36[[#Headers],[Chloride]],Tbl_Responses[5 - How many cores per paddock],"&gt;""",Tbl_Responses[[Resp_Group]:[Resp_Group]],Grower)+COUNTIFS(Tbl_Responses[6 - Type of test],Tbl_Q17_sampling36[[#Headers],[Chloride]],Tbl_Responses[6 - How many cores per paddock],"&gt;""",Tbl_Responses[[Resp_Group]:[Resp_Group]],Grower)+COUNTIFS(Tbl_Responses[7 - Type of test],Tbl_Q17_sampling36[[#Headers],[Chloride]],Tbl_Responses[7 - How many cores per paddock],"&gt;""",Tbl_Responses[[Resp_Group]:[Resp_Group]],Grower)+COUNTIFS(Tbl_Responses[8 - Type of test],Tbl_Q17_sampling36[[#Headers],[Chloride]],Tbl_Responses[8 - How many cores per paddock],"&gt;""",Tbl_Responses[[Resp_Group]:[Resp_Group]],Grower))</f>
        <v>0</v>
      </c>
      <c r="DR50" s="64">
        <f>(COUNTIFS(Tbl_Responses[1 - Type of test],Tbl_Q17_sampling36[[#Headers],[Boron]],Tbl_Responses[1 - How many cores per paddock],$DJ50,Tbl_Responses[[Resp_Group]:[Resp_Group]],Grower)+COUNTIFS(Tbl_Responses[2 - Type of test],Tbl_Q17_sampling36[[#Headers],[Boron]],Tbl_Responses[2 - How many cores per paddock],$DJ50,Tbl_Responses[[Resp_Group]:[Resp_Group]],Grower)+COUNTIFS(Tbl_Responses[3 - Type of test],Tbl_Q17_sampling36[[#Headers],[Boron]],Tbl_Responses[3 - How many cores per paddock],$DJ50,Tbl_Responses[[Resp_Group]:[Resp_Group]],Grower)+COUNTIFS(Tbl_Responses[4 - Type of test],Tbl_Q17_sampling36[[#Headers],[Boron]],Tbl_Responses[4 - How many cores per paddock],$DJ50,Tbl_Responses[[Resp_Group]:[Resp_Group]],Grower)+COUNTIFS(Tbl_Responses[5 - Type of test],Tbl_Q17_sampling36[[#Headers],[Boron]],Tbl_Responses[5 - How many cores per paddock],$DJ50,Tbl_Responses[[Resp_Group]:[Resp_Group]],Grower)+COUNTIFS(Tbl_Responses[6 - Type of test],Tbl_Q17_sampling36[[#Headers],[Boron]],Tbl_Responses[6 - How many cores per paddock],$DJ50,Tbl_Responses[[Resp_Group]:[Resp_Group]],Grower)+COUNTIFS(Tbl_Responses[7 - Type of test],Tbl_Q17_sampling36[[#Headers],[Boron]],Tbl_Responses[7 - How many cores per paddock],$DJ50,Tbl_Responses[[Resp_Group]:[Resp_Group]],Grower)+COUNTIFS(Tbl_Responses[8 - Type of test],Tbl_Q17_sampling36[[#Headers],[Boron]],Tbl_Responses[8 - How many cores per paddock],$DJ50,Tbl_Responses[[Resp_Group]:[Resp_Group]],Grower))/(COUNTIFS(Tbl_Responses[1 - Type of test],Tbl_Q17_sampling36[[#Headers],[Boron]],Tbl_Responses[1 - How many cores per paddock],"&gt;""",Tbl_Responses[[Resp_Group]:[Resp_Group]],Grower)+COUNTIFS(Tbl_Responses[2 - Type of test],Tbl_Q17_sampling36[[#Headers],[Boron]],Tbl_Responses[2 - How many cores per paddock],"&gt;""",Tbl_Responses[[Resp_Group]:[Resp_Group]],Grower)+COUNTIFS(Tbl_Responses[3 - Type of test],Tbl_Q17_sampling36[[#Headers],[Boron]],Tbl_Responses[3 - How many cores per paddock],"&gt;""",Tbl_Responses[[Resp_Group]:[Resp_Group]],Grower)+COUNTIFS(Tbl_Responses[4 - Type of test],Tbl_Q17_sampling36[[#Headers],[Boron]],Tbl_Responses[4 - How many cores per paddock],"&gt;""",Tbl_Responses[[Resp_Group]:[Resp_Group]],Grower)+COUNTIFS(Tbl_Responses[5 - Type of test],Tbl_Q17_sampling36[[#Headers],[Boron]],Tbl_Responses[5 - How many cores per paddock],"&gt;""",Tbl_Responses[[Resp_Group]:[Resp_Group]],Grower)+COUNTIFS(Tbl_Responses[6 - Type of test],Tbl_Q17_sampling36[[#Headers],[Boron]],Tbl_Responses[6 - How many cores per paddock],"&gt;""",Tbl_Responses[[Resp_Group]:[Resp_Group]],Grower)+COUNTIFS(Tbl_Responses[7 - Type of test],Tbl_Q17_sampling36[[#Headers],[Boron]],Tbl_Responses[7 - How many cores per paddock],"&gt;""",Tbl_Responses[[Resp_Group]:[Resp_Group]],Grower)+COUNTIFS(Tbl_Responses[8 - Type of test],Tbl_Q17_sampling36[[#Headers],[Boron]],Tbl_Responses[8 - How many cores per paddock],"&gt;""",Tbl_Responses[[Resp_Group]:[Resp_Group]],Grower))</f>
        <v>0.14285714285714285</v>
      </c>
      <c r="DS50" s="64">
        <f>(COUNTIFS(Tbl_Responses[1 - Type of test],Tbl_Q17_sampling36[[#Headers],[Sulfur (KCl40)]],Tbl_Responses[1 - How many cores per paddock],$DJ50,Tbl_Responses[[Resp_Group]:[Resp_Group]],Grower)+COUNTIFS(Tbl_Responses[2 - Type of test],Tbl_Q17_sampling36[[#Headers],[Sulfur (KCl40)]],Tbl_Responses[2 - How many cores per paddock],$DJ50,Tbl_Responses[[Resp_Group]:[Resp_Group]],Grower)+COUNTIFS(Tbl_Responses[3 - Type of test],Tbl_Q17_sampling36[[#Headers],[Sulfur (KCl40)]],Tbl_Responses[3 - How many cores per paddock],$DJ50,Tbl_Responses[[Resp_Group]:[Resp_Group]],Grower)+COUNTIFS(Tbl_Responses[4 - Type of test],Tbl_Q17_sampling36[[#Headers],[Sulfur (KCl40)]],Tbl_Responses[4 - How many cores per paddock],$DJ50,Tbl_Responses[[Resp_Group]:[Resp_Group]],Grower)+COUNTIFS(Tbl_Responses[5 - Type of test],Tbl_Q17_sampling36[[#Headers],[Sulfur (KCl40)]],Tbl_Responses[5 - How many cores per paddock],$DJ50,Tbl_Responses[[Resp_Group]:[Resp_Group]],Grower)+COUNTIFS(Tbl_Responses[6 - Type of test],Tbl_Q17_sampling36[[#Headers],[Sulfur (KCl40)]],Tbl_Responses[6 - How many cores per paddock],$DJ50,Tbl_Responses[[Resp_Group]:[Resp_Group]],Grower)+COUNTIFS(Tbl_Responses[7 - Type of test],Tbl_Q17_sampling36[[#Headers],[Sulfur (KCl40)]],Tbl_Responses[7 - How many cores per paddock],$DJ50,Tbl_Responses[[Resp_Group]:[Resp_Group]],Grower)+COUNTIFS(Tbl_Responses[8 - Type of test],Tbl_Q17_sampling36[[#Headers],[Sulfur (KCl40)]],Tbl_Responses[8 - How many cores per paddock],$DJ50,Tbl_Responses[[Resp_Group]:[Resp_Group]],Grower))/(COUNTIFS(Tbl_Responses[1 - Type of test],Tbl_Q17_sampling36[[#Headers],[Sulfur (KCl40)]],Tbl_Responses[1 - How many cores per paddock],"&gt;""",Tbl_Responses[[Resp_Group]:[Resp_Group]],Grower)+COUNTIFS(Tbl_Responses[2 - Type of test],Tbl_Q17_sampling36[[#Headers],[Sulfur (KCl40)]],Tbl_Responses[2 - How many cores per paddock],"&gt;""",Tbl_Responses[[Resp_Group]:[Resp_Group]],Grower)+COUNTIFS(Tbl_Responses[3 - Type of test],Tbl_Q17_sampling36[[#Headers],[Sulfur (KCl40)]],Tbl_Responses[3 - How many cores per paddock],"&gt;""",Tbl_Responses[[Resp_Group]:[Resp_Group]],Grower)+COUNTIFS(Tbl_Responses[4 - Type of test],Tbl_Q17_sampling36[[#Headers],[Sulfur (KCl40)]],Tbl_Responses[4 - How many cores per paddock],"&gt;""",Tbl_Responses[[Resp_Group]:[Resp_Group]],Grower)+COUNTIFS(Tbl_Responses[5 - Type of test],Tbl_Q17_sampling36[[#Headers],[Sulfur (KCl40)]],Tbl_Responses[5 - How many cores per paddock],"&gt;""",Tbl_Responses[[Resp_Group]:[Resp_Group]],Grower)+COUNTIFS(Tbl_Responses[6 - Type of test],Tbl_Q17_sampling36[[#Headers],[Sulfur (KCl40)]],Tbl_Responses[6 - How many cores per paddock],"&gt;""",Tbl_Responses[[Resp_Group]:[Resp_Group]],Grower)+COUNTIFS(Tbl_Responses[7 - Type of test],Tbl_Q17_sampling36[[#Headers],[Sulfur (KCl40)]],Tbl_Responses[7 - How many cores per paddock],"&gt;""",Tbl_Responses[[Resp_Group]:[Resp_Group]],Grower)+COUNTIFS(Tbl_Responses[8 - Type of test],Tbl_Q17_sampling36[[#Headers],[Sulfur (KCl40)]],Tbl_Responses[8 - How many cores per paddock],"&gt;""",Tbl_Responses[[Resp_Group]:[Resp_Group]],Grower))</f>
        <v>0.375</v>
      </c>
      <c r="DT50" s="64">
        <f>(COUNTIFS(Tbl_Responses[1 - Type of test],Tbl_Q17_sampling36[[#Headers],[Calcium carbonate %]],Tbl_Responses[1 - How many cores per paddock],$DJ50,Tbl_Responses[[Resp_Group]:[Resp_Group]],Grower)+COUNTIFS(Tbl_Responses[2 - Type of test],Tbl_Q17_sampling36[[#Headers],[Calcium carbonate %]],Tbl_Responses[2 - How many cores per paddock],$DJ50,Tbl_Responses[[Resp_Group]:[Resp_Group]],Grower)+COUNTIFS(Tbl_Responses[3 - Type of test],Tbl_Q17_sampling36[[#Headers],[Calcium carbonate %]],Tbl_Responses[3 - How many cores per paddock],$DJ50,Tbl_Responses[[Resp_Group]:[Resp_Group]],Grower)+COUNTIFS(Tbl_Responses[4 - Type of test],Tbl_Q17_sampling36[[#Headers],[Calcium carbonate %]],Tbl_Responses[4 - How many cores per paddock],$DJ50,Tbl_Responses[[Resp_Group]:[Resp_Group]],Grower)+COUNTIFS(Tbl_Responses[5 - Type of test],Tbl_Q17_sampling36[[#Headers],[Calcium carbonate %]],Tbl_Responses[5 - How many cores per paddock],$DJ50,Tbl_Responses[[Resp_Group]:[Resp_Group]],Grower)+COUNTIFS(Tbl_Responses[6 - Type of test],Tbl_Q17_sampling36[[#Headers],[Calcium carbonate %]],Tbl_Responses[6 - How many cores per paddock],$DJ50,Tbl_Responses[[Resp_Group]:[Resp_Group]],Grower)+COUNTIFS(Tbl_Responses[7 - Type of test],Tbl_Q17_sampling36[[#Headers],[Calcium carbonate %]],Tbl_Responses[7 - How many cores per paddock],$DJ50,Tbl_Responses[[Resp_Group]:[Resp_Group]],Grower)+COUNTIFS(Tbl_Responses[8 - Type of test],Tbl_Q17_sampling36[[#Headers],[Calcium carbonate %]],Tbl_Responses[8 - How many cores per paddock],$DJ50,Tbl_Responses[[Resp_Group]:[Resp_Group]],Grower))/(COUNTIFS(Tbl_Responses[1 - Type of test],Tbl_Q17_sampling36[[#Headers],[Calcium carbonate %]],Tbl_Responses[1 - How many cores per paddock],"&gt;""",Tbl_Responses[[Resp_Group]:[Resp_Group]],Grower)+COUNTIFS(Tbl_Responses[2 - Type of test],Tbl_Q17_sampling36[[#Headers],[Calcium carbonate %]],Tbl_Responses[2 - How many cores per paddock],"&gt;""",Tbl_Responses[[Resp_Group]:[Resp_Group]],Grower)+COUNTIFS(Tbl_Responses[3 - Type of test],Tbl_Q17_sampling36[[#Headers],[Calcium carbonate %]],Tbl_Responses[3 - How many cores per paddock],"&gt;""",Tbl_Responses[[Resp_Group]:[Resp_Group]],Grower)+COUNTIFS(Tbl_Responses[4 - Type of test],Tbl_Q17_sampling36[[#Headers],[Calcium carbonate %]],Tbl_Responses[4 - How many cores per paddock],"&gt;""",Tbl_Responses[[Resp_Group]:[Resp_Group]],Grower)+COUNTIFS(Tbl_Responses[5 - Type of test],Tbl_Q17_sampling36[[#Headers],[Calcium carbonate %]],Tbl_Responses[5 - How many cores per paddock],"&gt;""",Tbl_Responses[[Resp_Group]:[Resp_Group]],Grower)+COUNTIFS(Tbl_Responses[6 - Type of test],Tbl_Q17_sampling36[[#Headers],[Calcium carbonate %]],Tbl_Responses[6 - How many cores per paddock],"&gt;""",Tbl_Responses[[Resp_Group]:[Resp_Group]],Grower)+COUNTIFS(Tbl_Responses[7 - Type of test],Tbl_Q17_sampling36[[#Headers],[Calcium carbonate %]],Tbl_Responses[7 - How many cores per paddock],"&gt;""",Tbl_Responses[[Resp_Group]:[Resp_Group]],Grower)+COUNTIFS(Tbl_Responses[8 - Type of test],Tbl_Q17_sampling36[[#Headers],[Calcium carbonate %]],Tbl_Responses[8 - How many cores per paddock],"&gt;""",Tbl_Responses[[Resp_Group]:[Resp_Group]],Grower))</f>
        <v>0</v>
      </c>
      <c r="DU50" s="64">
        <f>(COUNTIFS(Tbl_Responses[1 - Type of test],Tbl_Q17_sampling36[[#Headers],[Sulfur (MCP)]],Tbl_Responses[1 - How many cores per paddock],$DJ50,Tbl_Responses[[Resp_Group]:[Resp_Group]],Grower)+COUNTIFS(Tbl_Responses[2 - Type of test],Tbl_Q17_sampling36[[#Headers],[Sulfur (MCP)]],Tbl_Responses[2 - How many cores per paddock],$DJ50,Tbl_Responses[[Resp_Group]:[Resp_Group]],Grower)+COUNTIFS(Tbl_Responses[3 - Type of test],Tbl_Q17_sampling36[[#Headers],[Sulfur (MCP)]],Tbl_Responses[3 - How many cores per paddock],$DJ50,Tbl_Responses[[Resp_Group]:[Resp_Group]],Grower)+COUNTIFS(Tbl_Responses[4 - Type of test],Tbl_Q17_sampling36[[#Headers],[Sulfur (MCP)]],Tbl_Responses[4 - How many cores per paddock],$DJ50,Tbl_Responses[[Resp_Group]:[Resp_Group]],Grower)+COUNTIFS(Tbl_Responses[5 - Type of test],Tbl_Q17_sampling36[[#Headers],[Sulfur (MCP)]],Tbl_Responses[5 - How many cores per paddock],$DJ50,Tbl_Responses[[Resp_Group]:[Resp_Group]],Grower)+COUNTIFS(Tbl_Responses[6 - Type of test],Tbl_Q17_sampling36[[#Headers],[Sulfur (MCP)]],Tbl_Responses[6 - How many cores per paddock],$DJ50,Tbl_Responses[[Resp_Group]:[Resp_Group]],Grower)+COUNTIFS(Tbl_Responses[7 - Type of test],Tbl_Q17_sampling36[[#Headers],[Sulfur (MCP)]],Tbl_Responses[7 - How many cores per paddock],$DJ50,Tbl_Responses[[Resp_Group]:[Resp_Group]],Grower)+COUNTIFS(Tbl_Responses[8 - Type of test],Tbl_Q17_sampling36[[#Headers],[Sulfur (MCP)]],Tbl_Responses[8 - How many cores per paddock],$DJ50,Tbl_Responses[[Resp_Group]:[Resp_Group]],Grower))/(COUNTIFS(Tbl_Responses[1 - Type of test],Tbl_Q17_sampling36[[#Headers],[Sulfur (MCP)]],Tbl_Responses[1 - How many cores per paddock],"&gt;""",Tbl_Responses[[Resp_Group]:[Resp_Group]],Grower)+COUNTIFS(Tbl_Responses[2 - Type of test],Tbl_Q17_sampling36[[#Headers],[Sulfur (MCP)]],Tbl_Responses[2 - How many cores per paddock],"&gt;""",Tbl_Responses[[Resp_Group]:[Resp_Group]],Grower)+COUNTIFS(Tbl_Responses[3 - Type of test],Tbl_Q17_sampling36[[#Headers],[Sulfur (MCP)]],Tbl_Responses[3 - How many cores per paddock],"&gt;""",Tbl_Responses[[Resp_Group]:[Resp_Group]],Grower)+COUNTIFS(Tbl_Responses[4 - Type of test],Tbl_Q17_sampling36[[#Headers],[Sulfur (MCP)]],Tbl_Responses[4 - How many cores per paddock],"&gt;""",Tbl_Responses[[Resp_Group]:[Resp_Group]],Grower)+COUNTIFS(Tbl_Responses[5 - Type of test],Tbl_Q17_sampling36[[#Headers],[Sulfur (MCP)]],Tbl_Responses[5 - How many cores per paddock],"&gt;""",Tbl_Responses[[Resp_Group]:[Resp_Group]],Grower)+COUNTIFS(Tbl_Responses[6 - Type of test],Tbl_Q17_sampling36[[#Headers],[Sulfur (MCP)]],Tbl_Responses[6 - How many cores per paddock],"&gt;""",Tbl_Responses[[Resp_Group]:[Resp_Group]],Grower)+COUNTIFS(Tbl_Responses[7 - Type of test],Tbl_Q17_sampling36[[#Headers],[Sulfur (MCP)]],Tbl_Responses[7 - How many cores per paddock],"&gt;""",Tbl_Responses[[Resp_Group]:[Resp_Group]],Grower)+COUNTIFS(Tbl_Responses[8 - Type of test],Tbl_Q17_sampling36[[#Headers],[Sulfur (MCP)]],Tbl_Responses[8 - How many cores per paddock],"&gt;""",Tbl_Responses[[Resp_Group]:[Resp_Group]],Grower))</f>
        <v>0.5</v>
      </c>
      <c r="DV50" s="82">
        <f>(COUNTIFS(Tbl_Responses[1 - How many cores per paddock],$DJ50,Tbl_Responses[[Resp_Group]:[Resp_Group]],Grower)+COUNTIFS(Tbl_Responses[2 - How many cores per paddock],$DJ50,Tbl_Responses[[Resp_Group]:[Resp_Group]],Grower)+COUNTIFS(Tbl_Responses[3 - How many cores per paddock],$DJ50,Tbl_Responses[[Resp_Group]:[Resp_Group]],Grower)+COUNTIFS(Tbl_Responses[4 - How many cores per paddock],$DJ50,Tbl_Responses[[Resp_Group]:[Resp_Group]],Grower)+COUNTIFS(Tbl_Responses[5 - How many cores per paddock],$DJ50,Tbl_Responses[[Resp_Group]:[Resp_Group]],Grower)+COUNTIFS(Tbl_Responses[6 - How many cores per paddock],$DJ50,Tbl_Responses[[Resp_Group]:[Resp_Group]],Grower)+COUNTIFS(Tbl_Responses[7 - How many cores per paddock],$DJ50,Tbl_Responses[[Resp_Group]:[Resp_Group]],Grower))/(COUNTIFS(Tbl_Responses[1 - How many cores per paddock],"&gt;""",Tbl_Responses[[Resp_Group]:[Resp_Group]],Grower)+COUNTIFS(Tbl_Responses[2 - How many cores per paddock],"&gt;""",Tbl_Responses[[Resp_Group]:[Resp_Group]],Grower)+COUNTIFS(Tbl_Responses[3 - How many cores per paddock],"&gt;""",Tbl_Responses[[Resp_Group]:[Resp_Group]],Grower)+COUNTIFS(Tbl_Responses[4 - How many cores per paddock],"&gt;""",Tbl_Responses[[Resp_Group]:[Resp_Group]],Grower)+COUNTIFS(Tbl_Responses[5 - How many cores per paddock],"&gt;""",Tbl_Responses[[Resp_Group]:[Resp_Group]],Grower)+COUNTIFS(Tbl_Responses[6 - How many cores per paddock],"&gt;""",Tbl_Responses[[Resp_Group]:[Resp_Group]],Grower)+COUNTIFS(Tbl_Responses[7 - How many cores per paddock],"&gt;""",Tbl_Responses[[Resp_Group]:[Resp_Group]],Grower))</f>
        <v>0.26865671641791045</v>
      </c>
      <c r="EC50" t="s">
        <v>112</v>
      </c>
      <c r="ED50" s="3">
        <f>COUNTIFS(Tbl_Responses[The cost of soil testing lab analysis],$EC50,Tbl_Responses[[Resp_Group]:[Resp_Group]],Grower)</f>
        <v>16</v>
      </c>
      <c r="EE50" s="4">
        <f>Tbl_1944[[#This Row],[No. Responses]]/SUM(Tbl_1944[No. Responses])</f>
        <v>0.18390804597701149</v>
      </c>
      <c r="EH50" t="s">
        <v>112</v>
      </c>
      <c r="EI50" s="3">
        <f>COUNTIFS(Tbl_Responses[The cost of soil testing lab analysisP],$EC50,Tbl_Responses[[Resp_Group]:[Resp_Group]],Grower)</f>
        <v>16</v>
      </c>
      <c r="EJ50" s="4">
        <f>Tbl_Q2045[[#This Row],[No. Responses]]/SUM(Tbl_Q2045[No. Responses])</f>
        <v>0.16666666666666666</v>
      </c>
      <c r="EM50" t="s">
        <v>1414</v>
      </c>
      <c r="EN50" s="3">
        <f>COUNTIFS(Tbl_Responses[[My clients recommend the use of regular soil testing to other local farmers]:[My clients recommend the use of regular soil testing to other local farmers]],Tbl_Q2146[[#Headers],[Disagree]],Tbl_Responses[[Resp_Group]:[Resp_Group]],Grower)</f>
        <v>1</v>
      </c>
      <c r="EO50" s="3">
        <f>COUNTIFS(Tbl_Responses[[My clients recommend the use of regular soil testing to other local farmers]:[My clients recommend the use of regular soil testing to other local farmers]],Tbl_Q2146[[#Headers],[Neutral]],Tbl_Responses[[Resp_Group]:[Resp_Group]],Grower)</f>
        <v>7</v>
      </c>
      <c r="EP50" s="3">
        <f>COUNTIFS(Tbl_Responses[[My clients recommend the use of regular soil testing to other local farmers]:[My clients recommend the use of regular soil testing to other local farmers]],Tbl_Q2146[[#Headers],[Agree]],Tbl_Responses[[Resp_Group]:[Resp_Group]],Grower)</f>
        <v>42</v>
      </c>
      <c r="EQ50" s="3">
        <f>COUNTIFS(Tbl_Responses[[My clients recommend the use of regular soil testing to other local farmers]:[My clients recommend the use of regular soil testing to other local farmers]],Tbl_Q2146[[#Headers],[Strongly Agree]],Tbl_Responses[[Resp_Group]:[Resp_Group]],Grower)</f>
        <v>4</v>
      </c>
      <c r="ET50" t="s">
        <v>249</v>
      </c>
      <c r="EU50" s="3">
        <f>COUNTIFS(Tbl_Responses[Soil testing annual spend],$ET50,Tbl_Responses[[Resp_Group]:[Resp_Group]],Agronomist)</f>
        <v>4</v>
      </c>
      <c r="EV50" s="4">
        <f>Tbl_Q2248[[#This Row],[No. Respondants]]/SUM(Tbl_Q2248[No. Respondants])</f>
        <v>6.4516129032258063E-2</v>
      </c>
      <c r="EY50" t="s">
        <v>228</v>
      </c>
      <c r="EZ50" s="3">
        <f>COUNTIFS(Tbl_Responses[5 year change in testing],$EY50,Tbl_Responses[[Resp_Group]:[Resp_Group]],Grower)</f>
        <v>24</v>
      </c>
      <c r="FA50" s="4">
        <f>Tbl_Q2350[[#This Row],[No. Respondants]]/SUM(Tbl_Q2350[No. Respondants])</f>
        <v>0.44444444444444442</v>
      </c>
      <c r="FD50" t="s">
        <v>233</v>
      </c>
      <c r="FE50" s="3">
        <f>COUNTIFS(Tbl_Responses[5 year future testing plan],$FD50,Tbl_Responses[[Resp_Group]:[Resp_Group]],Grower)</f>
        <v>27</v>
      </c>
      <c r="FF50" s="4">
        <f>Tbl_Q2452[[#This Row],[No. Respondants]]/SUM(Tbl_Q2452[No. Respondants])</f>
        <v>0.50943396226415094</v>
      </c>
      <c r="FN50" s="87" t="s">
        <v>124</v>
      </c>
      <c r="FO50" s="3">
        <f>COUNTIFS(Tbl_Responses[The cost of lab analysis_Plant],$FN50,Tbl_Responses[[Resp_Group]:[Resp_Group]],Grower)</f>
        <v>2</v>
      </c>
      <c r="FP50" s="4">
        <f>Tbl_Q2655[[#This Row],[No. Respondants]]/SUM(Tbl_Q2655[No. Respondants])</f>
        <v>0.04</v>
      </c>
      <c r="FS50" s="87" t="s">
        <v>1417</v>
      </c>
      <c r="FT50" s="88">
        <f>COUNTIFS(Tbl_Responses[[My clients recommend the use of regular plant testing to other local farmers]:[My clients recommend the use of regular plant testing to other local farmers]],Tbl_Q2758[[#Headers],[Disagree]],Tbl_Responses[[Resp_Group]:[Resp_Group]],Grower)</f>
        <v>1</v>
      </c>
      <c r="FU50" s="88">
        <f>COUNTIFS(Tbl_Responses[[My clients recommend the use of regular plant testing to other local farmers]:[My clients recommend the use of regular plant testing to other local farmers]],Tbl_Q2758[[#Headers],[Neutral]],Tbl_Responses[[Resp_Group]:[Resp_Group]],Grower)</f>
        <v>14</v>
      </c>
      <c r="FV50" s="88">
        <f>COUNTIFS(Tbl_Responses[[My clients recommend the use of regular plant testing to other local farmers]:[My clients recommend the use of regular plant testing to other local farmers]],Tbl_Q2758[[#Headers],[Agree]],Tbl_Responses[[Resp_Group]:[Resp_Group]],Grower)</f>
        <v>15</v>
      </c>
      <c r="FW50" s="88">
        <f>COUNTIFS(Tbl_Responses[[My clients recommend the use of regular plant testing to other local farmers]:[My clients recommend the use of regular plant testing to other local farmers]],Tbl_Q2758[[#Headers],[Strongly Agree]],Tbl_Responses[[Resp_Group]:[Resp_Group]],Grower)</f>
        <v>1</v>
      </c>
      <c r="FZ50" t="s">
        <v>249</v>
      </c>
      <c r="GA50" s="3">
        <f>COUNTIFS(Tbl_Responses[Average annual spend - Plant testing],$FZ50,Tbl_Responses[[Resp_Group]:[Resp_Group]],Grower)</f>
        <v>4</v>
      </c>
      <c r="GB50" s="4">
        <f>Tbl_Q2860[[#This Row],[No. Respondants]]/SUM(Tbl_Q2860[No. Respondants])</f>
        <v>0.13333333333333333</v>
      </c>
      <c r="GE50" t="s">
        <v>228</v>
      </c>
      <c r="GF50" s="3">
        <f>COUNTIFS(Tbl_Responses[5 years ago_Plant],$GE50,Tbl_Responses[[Resp_Group]:[Resp_Group]],Grower)</f>
        <v>10</v>
      </c>
      <c r="GG50" s="4">
        <f>Tbl_Q236163[[#This Row],[No. Respondants]]/SUM(Tbl_Q236163[No. Respondants])</f>
        <v>0.35714285714285715</v>
      </c>
      <c r="GJ50" t="s">
        <v>233</v>
      </c>
      <c r="GK50" s="3">
        <f>COUNTIFS(Tbl_Responses[5 years'' time_Plant],$GJ50,Tbl_Responses[[Resp_Group]:[Resp_Group]],Grower)</f>
        <v>10</v>
      </c>
      <c r="GL50" s="4">
        <f>Tbl_Q246264[[#This Row],[No. Respondants]]/SUM(Tbl_Q246264[No. Respondants])</f>
        <v>0.35714285714285715</v>
      </c>
      <c r="GO50" t="s">
        <v>112</v>
      </c>
      <c r="GP50" s="3">
        <f>COUNTIFS(Tbl_Responses[The cost of soil testing lab analysis_PL],$GO50,Tbl_Responses[[Resp_Group]:[Resp_Group]],Grower)</f>
        <v>0</v>
      </c>
      <c r="GQ50" s="4">
        <f>Tbl_196567[[#This Row],[No. Responses]]/SUM(Tbl_196567[No. Responses])</f>
        <v>0</v>
      </c>
      <c r="GT50" t="s">
        <v>112</v>
      </c>
      <c r="GU50" s="3">
        <f>COUNTIFS(Tbl_Responses[The cost of soil testing lab analysis_PLP],$GT50,Tbl_Responses[[Resp_Group]:[Resp_Group]],Grower)</f>
        <v>0</v>
      </c>
      <c r="GV50" s="4">
        <f>Tbl_19656668[[#This Row],[No. Responses]]/SUM(Tbl_19656668[No. Responses])</f>
        <v>0</v>
      </c>
      <c r="HA50" s="87" t="s">
        <v>152</v>
      </c>
      <c r="HB50" s="3">
        <f>COUNTIFS(Tbl_Responses[Workshops],$HA50,Tbl_Responses[[Resp_Group]:[Resp_Group]],Grower)</f>
        <v>31</v>
      </c>
      <c r="HC50" s="4">
        <f>Tbl_infoSources70[[#This Row],[No. Responses]]/SUM(Tbl_infoSources70[No. Responses])</f>
        <v>0.1076388888888889</v>
      </c>
    </row>
    <row r="51" spans="1:211" x14ac:dyDescent="0.25">
      <c r="A51" t="s">
        <v>279</v>
      </c>
      <c r="B51" s="3">
        <f>COUNTIFS(Tbl_Responses[Q1: region],Results!$A51,Tbl_Responses[Resp_Group],Grower)</f>
        <v>4</v>
      </c>
      <c r="C51" s="4">
        <f>B51/SUM(Tbl_Q19[Respondants])</f>
        <v>4.0404040404040407E-2</v>
      </c>
      <c r="D51" s="7">
        <f>AVERAGEIFS(Tbl_Responses[Q2: Cropped Area],Tbl_Responses[Q1: region],Tbl_Q19[[#This Row],[Region]],Tbl_Responses[[Resp_Group]:[Resp_Group]],Grower)</f>
        <v>987.5</v>
      </c>
      <c r="F51">
        <v>10001</v>
      </c>
      <c r="G51">
        <v>20000</v>
      </c>
      <c r="H51" t="str">
        <f t="shared" si="2"/>
        <v>10001-20000</v>
      </c>
      <c r="I51" s="3">
        <f>COUNTIFS(Tbl_Responses[Q2: Cropped Area],"&gt;"&amp;F51,Tbl_Responses[Q2: Cropped Area],"&lt;="&amp;G51,Tbl_Responses[Resp_Group],Grower)</f>
        <v>2</v>
      </c>
      <c r="J51" s="4">
        <f>I51/SUM(Tbl_Q210[Number])</f>
        <v>2.0202020202020204E-2</v>
      </c>
      <c r="M51" t="s">
        <v>38</v>
      </c>
      <c r="N51" s="4">
        <f>AVERAGEIF(Tbl_Responses[Resp_Group],Grower,Tbl_Responses[Pasture])/100</f>
        <v>3.5050505050505054E-2</v>
      </c>
      <c r="O51" s="6">
        <f>SUMPRODUCT(--(Group="Grower"),Tbl_Responses[Q2: Cropped Area],Tbl_Responses[Pasture])/100</f>
        <v>19955</v>
      </c>
      <c r="P51" s="4">
        <f t="shared" si="3"/>
        <v>1.7179601085444304E-2</v>
      </c>
      <c r="S51" t="s">
        <v>260</v>
      </c>
      <c r="T51" s="4">
        <f>COUNTIFS(Tbl_Responses[[Variable Costs]:[Variable Costs]],T$3,Tbl_Responses[[Q1: region]:[Q1: region]],$S51,Tbl_Responses[[Resp_Group]:[Resp_Group]],Grower)/COUNTIFS(Tbl_Responses[[Q1: region]:[Q1: region]],$S51,Tbl_Responses[[Resp_Group]:[Resp_Group]],Grower)</f>
        <v>0</v>
      </c>
      <c r="U51" s="4">
        <f>COUNTIFS(Tbl_Responses[[Variable Costs]:[Variable Costs]],U$3,Tbl_Responses[[Q1: region]:[Q1: region]],$S51,Tbl_Responses[[Resp_Group]:[Resp_Group]],Grower)/COUNTIFS(Tbl_Responses[[Q1: region]:[Q1: region]],$S51,Tbl_Responses[[Resp_Group]:[Resp_Group]],Grower)</f>
        <v>5.2631578947368418E-2</v>
      </c>
      <c r="V51" s="4">
        <f>COUNTIFS(Tbl_Responses[[Variable Costs]:[Variable Costs]],V$3,Tbl_Responses[[Q1: region]:[Q1: region]],$S51,Tbl_Responses[[Resp_Group]:[Resp_Group]],Grower)/COUNTIFS(Tbl_Responses[[Q1: region]:[Q1: region]],$S51,Tbl_Responses[[Resp_Group]:[Resp_Group]],Grower)</f>
        <v>0.15789473684210525</v>
      </c>
      <c r="W51" s="4">
        <f>COUNTIFS(Tbl_Responses[[Variable Costs]:[Variable Costs]],W$3,Tbl_Responses[[Q1: region]:[Q1: region]],$S51,Tbl_Responses[[Resp_Group]:[Resp_Group]],Grower)/COUNTIFS(Tbl_Responses[[Q1: region]:[Q1: region]],$S51,Tbl_Responses[[Resp_Group]:[Resp_Group]],Grower)</f>
        <v>0.26315789473684209</v>
      </c>
      <c r="X51" s="4">
        <f>COUNTIFS(Tbl_Responses[[Variable Costs]:[Variable Costs]],X$3,Tbl_Responses[[Q1: region]:[Q1: region]],$S51,Tbl_Responses[[Resp_Group]:[Resp_Group]],Grower)/COUNTIFS(Tbl_Responses[[Q1: region]:[Q1: region]],$S51,Tbl_Responses[[Resp_Group]:[Resp_Group]],Grower)</f>
        <v>0.21052631578947367</v>
      </c>
      <c r="Y51" s="4">
        <f>COUNTIFS(Tbl_Responses[[Variable Costs]:[Variable Costs]],Y$3,Tbl_Responses[[Q1: region]:[Q1: region]],$S51,Tbl_Responses[[Resp_Group]:[Resp_Group]],Grower)/COUNTIFS(Tbl_Responses[[Q1: region]:[Q1: region]],$S51,Tbl_Responses[[Resp_Group]:[Resp_Group]],Grower)</f>
        <v>0.10526315789473684</v>
      </c>
      <c r="Z51" s="4">
        <f>COUNTIFS(Tbl_Responses[[Variable Costs]:[Variable Costs]],Z$3,Tbl_Responses[[Q1: region]:[Q1: region]],$S51,Tbl_Responses[[Resp_Group]:[Resp_Group]],Grower)/COUNTIFS(Tbl_Responses[[Q1: region]:[Q1: region]],$S51,Tbl_Responses[[Resp_Group]:[Resp_Group]],Grower)</f>
        <v>5.2631578947368418E-2</v>
      </c>
      <c r="AA51" s="4">
        <f>COUNTIFS(Tbl_Responses[[Variable Costs]:[Variable Costs]],AA$3,Tbl_Responses[[Q1: region]:[Q1: region]],$S51,Tbl_Responses[[Resp_Group]:[Resp_Group]],Grower)/COUNTIFS(Tbl_Responses[[Q1: region]:[Q1: region]],$S51,Tbl_Responses[[Resp_Group]:[Resp_Group]],Grower)</f>
        <v>0</v>
      </c>
      <c r="AB51" s="4">
        <f>COUNTIFS(Tbl_Responses[[Variable Costs]:[Variable Costs]],AB$3,Tbl_Responses[[Q1: region]:[Q1: region]],$S51,Tbl_Responses[[Resp_Group]:[Resp_Group]],Grower)/COUNTIFS(Tbl_Responses[[Q1: region]:[Q1: region]],$S51,Tbl_Responses[[Resp_Group]:[Resp_Group]],Grower)</f>
        <v>0.10526315789473684</v>
      </c>
      <c r="AG51" t="s">
        <v>260</v>
      </c>
      <c r="AH51" s="4">
        <f>COUNTIFS(Tbl_Responses[[Def_Nutrient_ID]:[Def_Nutrient_ID]],"*N*",Tbl_Responses[[Q1: region]:[Q1: region]],$AG51,Tbl_Responses[[Resp_Group]:[Resp_Group]],Grower)/COUNTIFS(Tbl_Responses[[Def_Nutrient_ID]:[Def_Nutrient_ID]],"&lt;&gt;"&amp;"",Tbl_Responses[[Q1: region]:[Q1: region]],$AG51,Tbl_Responses[[Resp_Group]:[Resp_Group]],Grower)</f>
        <v>0.77777777777777779</v>
      </c>
      <c r="AI51" s="4">
        <f>COUNTIFS(Tbl_Responses[[Def_Nutrient_ID]:[Def_Nutrient_ID]],"*P*",Tbl_Responses[[Q1: region]:[Q1: region]],$AG51,Tbl_Responses[[Resp_Group]:[Resp_Group]],Grower)/COUNTIFS(Tbl_Responses[[Def_Nutrient_ID]:[Def_Nutrient_ID]],"&lt;&gt;"&amp;"",Tbl_Responses[[Q1: region]:[Q1: region]],$AG51,Tbl_Responses[[Resp_Group]:[Resp_Group]],Grower)</f>
        <v>0.77777777777777779</v>
      </c>
      <c r="AJ51" s="4">
        <f>COUNTIFS(Tbl_Responses[[Def_Nutrient_ID]:[Def_Nutrient_ID]],"*K*",Tbl_Responses[[Q1: region]:[Q1: region]],$AG51,Tbl_Responses[[Resp_Group]:[Resp_Group]],Grower)/COUNTIFS(Tbl_Responses[[Def_Nutrient_ID]:[Def_Nutrient_ID]],"&lt;&gt;"&amp;"",Tbl_Responses[[Q1: region]:[Q1: region]],$AG51,Tbl_Responses[[Resp_Group]:[Resp_Group]],Grower)</f>
        <v>0</v>
      </c>
      <c r="AK51" s="4">
        <f>COUNTIFS(Tbl_Responses[[Def_Nutrient_ID]:[Def_Nutrient_ID]],"*S*",Tbl_Responses[[Q1: region]:[Q1: region]],$AG51,Tbl_Responses[[Resp_Group]:[Resp_Group]],Grower)/COUNTIFS(Tbl_Responses[[Def_Nutrient_ID]:[Def_Nutrient_ID]],"&lt;&gt;"&amp;"",Tbl_Responses[[Q1: region]:[Q1: region]],$AG51,Tbl_Responses[[Resp_Group]:[Resp_Group]],Grower)</f>
        <v>0.27777777777777779</v>
      </c>
      <c r="AL51" s="4">
        <f>COUNTIFS(Tbl_Responses[[Def_Nutrient_ID]:[Def_Nutrient_ID]],"*Zn*",Tbl_Responses[[Q1: region]:[Q1: region]],$AG51,Tbl_Responses[[Resp_Group]:[Resp_Group]],Grower)/COUNTIFS(Tbl_Responses[[Def_Nutrient_ID]:[Def_Nutrient_ID]],"&lt;&gt;"&amp;"",Tbl_Responses[[Q1: region]:[Q1: region]],$AG51,Tbl_Responses[[Resp_Group]:[Resp_Group]],Grower)</f>
        <v>0.27777777777777779</v>
      </c>
      <c r="AM51" s="4">
        <f>COUNTIFS(Tbl_Responses[[Def_Nutrient_ID]:[Def_Nutrient_ID]],"*Mn*",Tbl_Responses[[Q1: region]:[Q1: region]],$AG51,Tbl_Responses[[Resp_Group]:[Resp_Group]],Grower)/COUNTIFS(Tbl_Responses[[Def_Nutrient_ID]:[Def_Nutrient_ID]],"&lt;&gt;"&amp;"",Tbl_Responses[[Q1: region]:[Q1: region]],$AG51,Tbl_Responses[[Resp_Group]:[Resp_Group]],Grower)</f>
        <v>0</v>
      </c>
      <c r="AN51" s="4">
        <f>COUNTIFS(Tbl_Responses[[Def_Nutrient_ID]:[Def_Nutrient_ID]],"*Mg*",Tbl_Responses[[Q1: region]:[Q1: region]],$AG51,Tbl_Responses[[Resp_Group]:[Resp_Group]],Grower)/COUNTIFS(Tbl_Responses[[Def_Nutrient_ID]:[Def_Nutrient_ID]],"&lt;&gt;"&amp;"",Tbl_Responses[[Q1: region]:[Q1: region]],$AG51,Tbl_Responses[[Resp_Group]:[Resp_Group]],Grower)</f>
        <v>0</v>
      </c>
      <c r="AO51" s="4">
        <f>COUNTIFS(Tbl_Responses[[Def_Nutrient_ID]:[Def_Nutrient_ID]],"*Cu*",Tbl_Responses[[Q1: region]:[Q1: region]],$AG51,Tbl_Responses[[Resp_Group]:[Resp_Group]],Grower)/COUNTIFS(Tbl_Responses[[Def_Nutrient_ID]:[Def_Nutrient_ID]],"&lt;&gt;"&amp;"",Tbl_Responses[[Q1: region]:[Q1: region]],$AG51,Tbl_Responses[[Resp_Group]:[Resp_Group]],Grower)</f>
        <v>0</v>
      </c>
      <c r="AP51" s="4">
        <f>COUNTIFS(Tbl_Responses[[Def_Nutrient_ID]:[Def_Nutrient_ID]],"*B*",Tbl_Responses[[Q1: region]:[Q1: region]],$AG51,Tbl_Responses[[Resp_Group]:[Resp_Group]],Grower)/COUNTIFS(Tbl_Responses[[Def_Nutrient_ID]:[Def_Nutrient_ID]],"&lt;&gt;"&amp;"",Tbl_Responses[[Q1: region]:[Q1: region]],$AG51,Tbl_Responses[[Resp_Group]:[Resp_Group]],Grower)</f>
        <v>0</v>
      </c>
      <c r="AQ51" s="4">
        <f>COUNTIFS(Tbl_Responses[[Def_Nutrient_ID]:[Def_Nutrient_ID]],"*Ca*",Tbl_Responses[[Q1: region]:[Q1: region]],$AG51,Tbl_Responses[[Resp_Group]:[Resp_Group]],Grower)/COUNTIFS(Tbl_Responses[[Def_Nutrient_ID]:[Def_Nutrient_ID]],"&lt;&gt;"&amp;"",Tbl_Responses[[Q1: region]:[Q1: region]],$AG51,Tbl_Responses[[Resp_Group]:[Resp_Group]],Grower)</f>
        <v>0</v>
      </c>
      <c r="AR51" s="4">
        <f>COUNTIFS(Tbl_Responses[[Def_Nutrient_ID]:[Def_Nutrient_ID]],"*pH*",Tbl_Responses[[Q1: region]:[Q1: region]],$AG51,Tbl_Responses[[Resp_Group]:[Resp_Group]],Grower)/COUNTIFS(Tbl_Responses[[Def_Nutrient_ID]:[Def_Nutrient_ID]],"&lt;&gt;"&amp;"",Tbl_Responses[[Q1: region]:[Q1: region]],$AG51,Tbl_Responses[[Resp_Group]:[Resp_Group]],Grower)</f>
        <v>5.5555555555555552E-2</v>
      </c>
      <c r="AS51" s="4">
        <f>COUNTIFS(Tbl_Responses[[Def_Nutrient_ID]:[Def_Nutrient_ID]],"*T*",Tbl_Responses[[Q1: region]:[Q1: region]],$AG51,Tbl_Responses[[Resp_Group]:[Resp_Group]],Grower)/COUNTIFS(Tbl_Responses[[Def_Nutrient_ID]:[Def_Nutrient_ID]],"&lt;&gt;"&amp;"",Tbl_Responses[[Q1: region]:[Q1: region]],$AG51,Tbl_Responses[[Resp_Group]:[Resp_Group]],Grower)</f>
        <v>0</v>
      </c>
      <c r="AV51" t="s">
        <v>260</v>
      </c>
      <c r="AW51" s="4">
        <f>COUNTIFS(Tbl_Responses[[Q6: Do you do/recommend soil and/or plant testing?]:[Q6: Do you do/recommend soil and/or plant testing?]],"Yes",Tbl_Responses[[Q1: region]:[Q1: region]],$AV51,Tbl_Responses[[Resp_Group]:[Resp_Group]],Grower)/COUNTIFS(Tbl_Responses[[Q6: Do you do/recommend soil and/or plant testing?]:[Q6: Do you do/recommend soil and/or plant testing?]],"&lt;&gt;"&amp;"",Tbl_Responses[[Q1: region]:[Q1: region]],$AV51,Tbl_Responses[[Resp_Group]:[Resp_Group]],Grower)</f>
        <v>0.42105263157894735</v>
      </c>
      <c r="AX51" s="4">
        <f>COUNTIFS(Tbl_Responses[[Q6: Do you do/recommend soil and/or plant testing?]:[Q6: Do you do/recommend soil and/or plant testing?]],"No",Tbl_Responses[[Q1: region]:[Q1: region]],$AV51,Tbl_Responses[[Resp_Group]:[Resp_Group]],Grower)/COUNTIFS(Tbl_Responses[[Q6: Do you do/recommend soil and/or plant testing?]:[Q6: Do you do/recommend soil and/or plant testing?]],"&lt;&gt;"&amp;"",Tbl_Responses[[Q1: region]:[Q1: region]],$AV51,Tbl_Responses[[Resp_Group]:[Resp_Group]],Grower)</f>
        <v>0.57894736842105265</v>
      </c>
      <c r="AY51" s="3">
        <f>COUNTIFS(Tbl_Responses[[Q6: Do you do/recommend soil and/or plant testing?]:[Q6: Do you do/recommend soil and/or plant testing?]],"&gt;""",Tbl_Responses[[Q1: region]:[Q1: region]],$AV7,Tbl_Responses[[Resp_Group]:[Resp_Group]],Grower)</f>
        <v>19</v>
      </c>
      <c r="BA51" s="49" t="s">
        <v>1448</v>
      </c>
      <c r="BB51" s="46">
        <f>COUNTIFS(Tbl_Responses[Q7: Who makes the nurtient decisions on your farm (grower only)],$BA51,Tbl_Responses[[Resp_Group]:[Resp_Group]],Grower)</f>
        <v>1</v>
      </c>
      <c r="BC51" s="52">
        <f>COUNTIFS(Tbl_Responses[Q7: Who makes the nurtient decisions on your farm (grower only)],$BA51,Tbl_Responses[[Resp_Group]:[Resp_Group]],Grower)/COUNTIFS(Tbl_Responses[Q7: Who makes the nurtient decisions on your farm (grower only)],"&gt;""",Tbl_Responses[[Resp_Group]:[Resp_Group]],Grower)</f>
        <v>1.7543859649122806E-2</v>
      </c>
      <c r="BD51" s="46" t="s">
        <v>238</v>
      </c>
      <c r="BE51" s="46">
        <f>COUNTIFS(Tbl_Responses[Response6],$BD51,Tbl_Responses[[Resp_Group]:[Resp_Group]],Grower)</f>
        <v>9</v>
      </c>
      <c r="BF51" s="46">
        <f>COUNTIFS(Tbl_Responses[Response7],$BD51,Tbl_Responses[[Resp_Group]:[Resp_Group]],Grower)</f>
        <v>14</v>
      </c>
      <c r="BH51" t="s">
        <v>2442</v>
      </c>
      <c r="BI51" s="3">
        <f>COUNTIFS(Tbl_Responses[Source_1_ID],$BH51,Tbl_Responses[[Resp_Group]:[Resp_Group]],Grower)+COUNTIFS(Tbl_Responses[Source_2_ID],$BH51,Tbl_Responses[[Resp_Group]:[Resp_Group]],Grower)+COUNTIFS(Tbl_Responses[Source_3_ID],$BH51,Tbl_Responses[[Resp_Group]:[Resp_Group]],Grower)</f>
        <v>18</v>
      </c>
      <c r="BJ51" s="4">
        <f>Tbl_Q1120[[#This Row],[Q11 Response]]/SUM(Tbl_Q1120[Q11 Response])</f>
        <v>0.125</v>
      </c>
      <c r="BQ51" s="38" t="s">
        <v>261</v>
      </c>
      <c r="BR51" s="4">
        <f>COUNTIFS(Tbl_Responses[What % of your clients soil tested in 2018?],$BQ51,Tbl_Responses[[Resp_Group]:[Resp_Group]],Grower)/COUNTIFS(Tbl_Responses[What % of your clients soil tested in 2018?],"&gt;""",Tbl_Responses[[Resp_Group]:[Resp_Group]],Grower)</f>
        <v>0.2</v>
      </c>
      <c r="BS51" s="4">
        <f>COUNTIFS(Tbl_Responses[What % of your clients tested for N in 2018?],$BQ51,Tbl_Responses[[Resp_Group]:[Resp_Group]],Grower)/COUNTIFS(Tbl_Responses[What % of your clients tested for N in 2018?],"&gt;""",Tbl_Responses[[Resp_Group]:[Resp_Group]],Grower)</f>
        <v>0.22448979591836735</v>
      </c>
      <c r="BT51" s="4">
        <f>COUNTIFS(Tbl_Responses[What % of your clients tested for N to at least 60cm in 2018?],$BQ51,Tbl_Responses[[Resp_Group]:[Resp_Group]],Grower)/COUNTIFS(Tbl_Responses[What % of your clients tested for N to at least 60cm in 2018?],"&gt;""",Tbl_Responses[[Resp_Group]:[Resp_Group]],Grower)</f>
        <v>0.16666666666666666</v>
      </c>
      <c r="BU51" s="4">
        <f>COUNTIFS(Tbl_Responses[What % of your clients tested for P in 2018?],$BQ51,Tbl_Responses[[Resp_Group]:[Resp_Group]],Grower)/COUNTIFS(Tbl_Responses[What % of your clients tested for P in 2018?],"&gt;""",Tbl_Responses[[Resp_Group]:[Resp_Group]],Grower)</f>
        <v>0.20833333333333334</v>
      </c>
      <c r="CB51" s="49" t="s">
        <v>403</v>
      </c>
      <c r="CC51" s="62">
        <f>(COUNTIFS(Tbl_Responses[Nitrogen 1 - Type of test],Tbl_14_sampling33[[#Headers],[Organic Carbon]],Tbl_Responses[Nitrogen 1 - How many representative samples per paddock],$CB51,Tbl_Responses[[Resp_Group]:[Resp_Group]],Grower)+COUNTIFS(Tbl_Responses[Nitrogen 2 - Type of test],Tbl_14_sampling33[[#Headers],[Organic Carbon]],Tbl_Responses[Nitrogen 2 - How many representative samples per paddock],$CB51,Tbl_Responses[[Resp_Group]:[Resp_Group]],Grower)+COUNTIFS(Tbl_Responses[Nitrogen 3 - Type of test],Tbl_14_sampling33[[#Headers],[Organic Carbon]],Tbl_Responses[Nitrogen 3 - How many representative samples per paddock],$CB51,Tbl_Responses[[Resp_Group]:[Resp_Group]],Grower))/(COUNTIFS(Tbl_Responses[Nitrogen 1 - Type of test],Tbl_14_sampling33[[#Headers],[Organic Carbon]],Tbl_Responses[Nitrogen 1 - How many representative samples per paddock],"&gt;""",Tbl_Responses[[Resp_Group]:[Resp_Group]],Grower)+COUNTIFS(Tbl_Responses[Nitrogen 2 - Type of test],Tbl_14_sampling33[[#Headers],[Organic Carbon]],Tbl_Responses[Nitrogen 2 - How many representative samples per paddock],"&gt;""",Tbl_Responses[[Resp_Group]:[Resp_Group]],Grower)+COUNTIFS(Tbl_Responses[Nitrogen 3 - Type of test],Tbl_14_sampling33[[#Headers],[Organic Carbon]],Tbl_Responses[Nitrogen 3 - How many representative samples per paddock],"&gt;""",Tbl_Responses[[Resp_Group]:[Resp_Group]],Grower))</f>
        <v>0</v>
      </c>
      <c r="CD51" s="62">
        <f>(COUNTIFS(Tbl_Responses[Nitrogen 1 - Type of test],Tbl_14_sampling33[[#Headers],[Mineral N (Nitrate/Ammonium)]],Tbl_Responses[Nitrogen 1 - How many representative samples per paddock],$CB51,Tbl_Responses[[Resp_Group]:[Resp_Group]],Grower)+COUNTIFS(Tbl_Responses[Nitrogen 2 - Type of test],Tbl_14_sampling33[[#Headers],[Mineral N (Nitrate/Ammonium)]],Tbl_Responses[Nitrogen 2 - How many representative samples per paddock],$CB51,Tbl_Responses[[Resp_Group]:[Resp_Group]],Grower)+COUNTIFS(Tbl_Responses[Nitrogen 3 - Type of test],Tbl_14_sampling33[[#Headers],[Mineral N (Nitrate/Ammonium)]],Tbl_Responses[Nitrogen 3 - How many representative samples per paddock],$CB51,Tbl_Responses[[Resp_Group]:[Resp_Group]],Grower))/(COUNTIFS(Tbl_Responses[Nitrogen 1 - Type of test],Tbl_14_sampling33[[#Headers],[Mineral N (Nitrate/Ammonium)]],Tbl_Responses[Nitrogen 1 - How many representative samples per paddock],"&gt;""",Tbl_Responses[[Resp_Group]:[Resp_Group]],Grower)+COUNTIFS(Tbl_Responses[Nitrogen 2 - Type of test],Tbl_14_sampling33[[#Headers],[Mineral N (Nitrate/Ammonium)]],Tbl_Responses[Nitrogen 2 - How many representative samples per paddock],"&gt;""",Tbl_Responses[[Resp_Group]:[Resp_Group]],Grower)+COUNTIFS(Tbl_Responses[Nitrogen 3 - Type of test],Tbl_14_sampling33[[#Headers],[Mineral N (Nitrate/Ammonium)]],Tbl_Responses[Nitrogen 3 - How many representative samples per paddock],"&gt;""",Tbl_Responses[[Resp_Group]:[Resp_Group]],Grower))</f>
        <v>0.13333333333333333</v>
      </c>
      <c r="CE51" s="62">
        <f>(COUNTIFS(Tbl_Responses[Nitrogen 1 - Type of test],Tbl_14_sampling33[[#Headers],[Total N]],Tbl_Responses[Nitrogen 1 - How many representative samples per paddock],$CB51,Tbl_Responses[[Resp_Group]:[Resp_Group]],Grower)+COUNTIFS(Tbl_Responses[Nitrogen 2 - Type of test],Tbl_14_sampling33[[#Headers],[Total N]],Tbl_Responses[Nitrogen 2 - How many representative samples per paddock],$CB51,Tbl_Responses[[Resp_Group]:[Resp_Group]],Grower)+COUNTIFS(Tbl_Responses[Nitrogen 3 - Type of test],Tbl_14_sampling33[[#Headers],[Total N]],Tbl_Responses[Nitrogen 3 - How many representative samples per paddock],$CB51,Tbl_Responses[[Resp_Group]:[Resp_Group]],Grower))/(COUNTIFS(Tbl_Responses[Nitrogen 1 - Type of test],Tbl_14_sampling33[[#Headers],[Total N]],Tbl_Responses[Nitrogen 1 - How many representative samples per paddock],"&gt;""",Tbl_Responses[[Resp_Group]:[Resp_Group]],Grower)+COUNTIFS(Tbl_Responses[Nitrogen 2 - Type of test],Tbl_14_sampling33[[#Headers],[Total N]],Tbl_Responses[Nitrogen 2 - How many representative samples per paddock],"&gt;""",Tbl_Responses[[Resp_Group]:[Resp_Group]],Grower)+COUNTIFS(Tbl_Responses[Nitrogen 3 - Type of test],Tbl_14_sampling33[[#Headers],[Total N]],Tbl_Responses[Nitrogen 3 - How many representative samples per paddock],"&gt;""",Tbl_Responses[[Resp_Group]:[Resp_Group]],Grower))</f>
        <v>0.05</v>
      </c>
      <c r="CF51" s="62">
        <f>(COUNTIFS(Tbl_Responses[Nitrogen 1 - How many representative samples per paddock],$CB51,Tbl_Responses[[Resp_Group]:[Resp_Group]],Grower)+COUNTIFS(Tbl_Responses[Nitrogen 2 - How many representative samples per paddock],$CB51,Tbl_Responses[[Resp_Group]:[Resp_Group]],Grower)+COUNTIFS(Tbl_Responses[Nitrogen 3 - How many representative samples per paddock],$CB51,Tbl_Responses[[Resp_Group]:[Resp_Group]],Grower))/(COUNTIFS(Tbl_Responses[Nitrogen 1 - How many representative samples per paddock],"&gt;""",Tbl_Responses[[Resp_Group]:[Resp_Group]],Grower)+COUNTIFS(Tbl_Responses[Nitrogen 2 - How many representative samples per paddock],"&gt;""",Tbl_Responses[[Resp_Group]:[Resp_Group]],Grower)+COUNTIFS(Tbl_Responses[Nitrogen 3 - How many representative samples per paddock],"&gt;""",Tbl_Responses[[Resp_Group]:[Resp_Group]],Grower))</f>
        <v>0.06</v>
      </c>
      <c r="CG51" s="72"/>
      <c r="CH51" s="72"/>
      <c r="CI51" s="80" t="s">
        <v>183</v>
      </c>
      <c r="CJ51" s="72">
        <f>(COUNTIFS(Tbl_Responses[Phosphorus 1 - Type of test],CI51,Tbl_Responses[[Resp_Group]:[Resp_Group]],Grower)+COUNTIFS(Tbl_Responses[Phosphorus 2 - Type of test],CI51,Tbl_Responses[[Resp_Group]:[Resp_Group]],Grower)+COUNTIFS(Tbl_Responses[Phosphorus 3 - Type of test],CI51,Tbl_Responses[[Resp_Group]:[Resp_Group]],Grower)+COUNTIFS(Tbl_Responses[Phosphorus 4 - Type of test],CI51,Tbl_Responses[[Resp_Group]:[Resp_Group]],Grower)+COUNTIFS(Tbl_Responses[Phosphorus 5 - Type of test],CI51,Tbl_Responses[[Resp_Group]:[Resp_Group]],Grower))/(COUNTIFS(Tbl_Responses[Phosphorus 1 - Type of test],"&gt;""",Tbl_Responses[[Resp_Group]:[Resp_Group]],Grower)+COUNTIFS(Tbl_Responses[Phosphorus 2 - Type of test],"&gt;""",Tbl_Responses[[Resp_Group]:[Resp_Group]],Grower)+COUNTIFS(Tbl_Responses[Phosphorus 3 - Type of test],"&gt;""",Tbl_Responses[[Resp_Group]:[Resp_Group]],Grower)+COUNTIFS(Tbl_Responses[Phosphorus 4 - Type of test],"&gt;""",Tbl_Responses[[Resp_Group]:[Resp_Group]],Grower)+COUNTIFS(Tbl_Responses[Phosphorus 5 - Type of test],"&gt;""",Tbl_Responses[[Resp_Group]:[Resp_Group]],Grower))</f>
        <v>0.16438356164383561</v>
      </c>
      <c r="CK51" s="72"/>
      <c r="CL51" s="72"/>
      <c r="CM51" s="56" t="s">
        <v>403</v>
      </c>
      <c r="CN51" s="67">
        <f>(COUNTIFS(Tbl_Responses[Phosphorus 1 - Type of test],Tbl_Q15_sampling34[[#Headers],[Colwell P]],Tbl_Responses[Phosphorus 1 - How many representative samples per paddock],$CM51,Tbl_Responses[[Resp_Group]:[Resp_Group]],Grower)+COUNTIFS(Tbl_Responses[Phosphorus 2 - Type of test],Tbl_Q15_sampling34[[#Headers],[Colwell P]],Tbl_Responses[Phosphorus 2 - How many representative samples per paddock],$CM51,Tbl_Responses[[Resp_Group]:[Resp_Group]],Grower)+COUNTIFS(Tbl_Responses[Phosphorus 3 - Type of test],Tbl_Q15_sampling34[[#Headers],[Colwell P]],Tbl_Responses[Phosphorus 3 - How many representative samples per paddock],$CM51,Tbl_Responses[[Resp_Group]:[Resp_Group]],Grower)+COUNTIFS(Tbl_Responses[Phosphorus 4 - Type of test],Tbl_Q15_sampling34[[#Headers],[Colwell P]],Tbl_Responses[Phosphorus 4 - How many representative samples per paddock],$CM51,Tbl_Responses[[Resp_Group]:[Resp_Group]],Grower)+COUNTIFS(Tbl_Responses[Phosphorus 5 - Type of test],Tbl_Q15_sampling34[[#Headers],[Colwell P]],Tbl_Responses[Phosphorus 5 - How many representative samples per paddock],$CM51,Tbl_Responses[[Resp_Group]:[Resp_Group]],Grower))/(COUNTIFS(Tbl_Responses[Phosphorus 1 - Type of test],Tbl_Q15_sampling34[[#Headers],[Colwell P]],Tbl_Responses[Phosphorus 1 - How many representative samples per paddock],"&gt;""",Tbl_Responses[[Resp_Group]:[Resp_Group]],Grower)+COUNTIFS(Tbl_Responses[Phosphorus 2 - Type of test],Tbl_Q15_sampling34[[#Headers],[Colwell P]],Tbl_Responses[Phosphorus 2 - How many representative samples per paddock],"&gt;""",Tbl_Responses[[Resp_Group]:[Resp_Group]],Grower)+COUNTIFS(Tbl_Responses[Phosphorus 3 - Type of test],Tbl_Q15_sampling34[[#Headers],[Colwell P]],Tbl_Responses[Phosphorus 3 - How many representative samples per paddock],"&gt;""",Tbl_Responses[[Resp_Group]:[Resp_Group]],Grower)+COUNTIFS(Tbl_Responses[Phosphorus 4 - Type of test],Tbl_Q15_sampling34[[#Headers],[Colwell P]],Tbl_Responses[Phosphorus 4 - How many representative samples per paddock],"&gt;""",Tbl_Responses[[Resp_Group]:[Resp_Group]],Grower)+COUNTIFS(Tbl_Responses[Phosphorus 5 - Type of test],Tbl_Q15_sampling34[[#Headers],[Colwell P]],Tbl_Responses[Phosphorus 5 - How many representative samples per paddock],"&gt;""",Tbl_Responses[[Resp_Group]:[Resp_Group]],Grower))</f>
        <v>4.5454545454545456E-2</v>
      </c>
      <c r="CO51" s="62">
        <f>(COUNTIFS(Tbl_Responses[Phosphorus 1 - Type of test],Tbl_Q15_sampling34[[#Headers],[Olsen-Bray P]],Tbl_Responses[Phosphorus 1 - How many representative samples per paddock],$CM51,Tbl_Responses[[Resp_Group]:[Resp_Group]],Grower)+COUNTIFS(Tbl_Responses[Phosphorus 2 - Type of test],Tbl_Q15_sampling34[[#Headers],[Olsen-Bray P]],Tbl_Responses[Phosphorus 2 - How many representative samples per paddock],$CM51,Tbl_Responses[[Resp_Group]:[Resp_Group]],Grower)+COUNTIFS(Tbl_Responses[Phosphorus 3 - Type of test],Tbl_Q15_sampling34[[#Headers],[Olsen-Bray P]],Tbl_Responses[Phosphorus 3 - How many representative samples per paddock],$CM51,Tbl_Responses[[Resp_Group]:[Resp_Group]],Grower)+COUNTIFS(Tbl_Responses[Phosphorus 4 - Type of test],Tbl_Q15_sampling34[[#Headers],[Olsen-Bray P]],Tbl_Responses[Phosphorus 4 - How many representative samples per paddock],$CM51,Tbl_Responses[[Resp_Group]:[Resp_Group]],Grower)+COUNTIFS(Tbl_Responses[Phosphorus 5 - Type of test],Tbl_Q15_sampling34[[#Headers],[Olsen-Bray P]],Tbl_Responses[Phosphorus 5 - How many representative samples per paddock],$CM51,Tbl_Responses[[Resp_Group]:[Resp_Group]],Grower))/(COUNTIFS(Tbl_Responses[Phosphorus 1 - Type of test],Tbl_Q15_sampling34[[#Headers],[Olsen-Bray P]],Tbl_Responses[Phosphorus 1 - How many representative samples per paddock],"&gt;""",Tbl_Responses[[Resp_Group]:[Resp_Group]],Grower)+COUNTIFS(Tbl_Responses[Phosphorus 2 - Type of test],Tbl_Q15_sampling34[[#Headers],[Olsen-Bray P]],Tbl_Responses[Phosphorus 2 - How many representative samples per paddock],"&gt;""",Tbl_Responses[[Resp_Group]:[Resp_Group]],Grower)+COUNTIFS(Tbl_Responses[Phosphorus 3 - Type of test],Tbl_Q15_sampling34[[#Headers],[Olsen-Bray P]],Tbl_Responses[Phosphorus 3 - How many representative samples per paddock],"&gt;""",Tbl_Responses[[Resp_Group]:[Resp_Group]],Grower)+COUNTIFS(Tbl_Responses[Phosphorus 4 - Type of test],Tbl_Q15_sampling34[[#Headers],[Olsen-Bray P]],Tbl_Responses[Phosphorus 4 - How many representative samples per paddock],"&gt;""",Tbl_Responses[[Resp_Group]:[Resp_Group]],Grower)+COUNTIFS(Tbl_Responses[Phosphorus 5 - Type of test],Tbl_Q15_sampling34[[#Headers],[Olsen-Bray P]],Tbl_Responses[Phosphorus 5 - How many representative samples per paddock],"&gt;""",Tbl_Responses[[Resp_Group]:[Resp_Group]],Grower))</f>
        <v>0</v>
      </c>
      <c r="CP51" s="62">
        <f>(COUNTIFS(Tbl_Responses[Phosphorus 1 - Type of test],Tbl_Q15_sampling34[[#Headers],[PBI (Phosphorus Buffering Index)]],Tbl_Responses[Phosphorus 1 - How many representative samples per paddock],$CM51,Tbl_Responses[[Resp_Group]:[Resp_Group]],Grower)+COUNTIFS(Tbl_Responses[Phosphorus 2 - Type of test],Tbl_Q15_sampling34[[#Headers],[PBI (Phosphorus Buffering Index)]],Tbl_Responses[Phosphorus 2 - How many representative samples per paddock],$CM51,Tbl_Responses[[Resp_Group]:[Resp_Group]],Grower)+COUNTIFS(Tbl_Responses[Phosphorus 3 - Type of test],Tbl_Q15_sampling34[[#Headers],[PBI (Phosphorus Buffering Index)]],Tbl_Responses[Phosphorus 3 - How many representative samples per paddock],$CM51,Tbl_Responses[[Resp_Group]:[Resp_Group]],Grower)+COUNTIFS(Tbl_Responses[Phosphorus 4 - Type of test],Tbl_Q15_sampling34[[#Headers],[PBI (Phosphorus Buffering Index)]],Tbl_Responses[Phosphorus 4 - How many representative samples per paddock],$CM51,Tbl_Responses[[Resp_Group]:[Resp_Group]],Grower)+COUNTIFS(Tbl_Responses[Phosphorus 5 - Type of test],Tbl_Q15_sampling34[[#Headers],[PBI (Phosphorus Buffering Index)]],Tbl_Responses[Phosphorus 5 - How many representative samples per paddock],$CM51,Tbl_Responses[[Resp_Group]:[Resp_Group]],Grower))/(COUNTIFS(Tbl_Responses[Phosphorus 1 - Type of test],Tbl_Q15_sampling34[[#Headers],[PBI (Phosphorus Buffering Index)]],Tbl_Responses[Phosphorus 1 - How many representative samples per paddock],"&gt;""",Tbl_Responses[[Resp_Group]:[Resp_Group]],Grower)+COUNTIFS(Tbl_Responses[Phosphorus 2 - Type of test],Tbl_Q15_sampling34[[#Headers],[PBI (Phosphorus Buffering Index)]],Tbl_Responses[Phosphorus 2 - How many representative samples per paddock],"&gt;""",Tbl_Responses[[Resp_Group]:[Resp_Group]],Grower)+COUNTIFS(Tbl_Responses[Phosphorus 3 - Type of test],Tbl_Q15_sampling34[[#Headers],[PBI (Phosphorus Buffering Index)]],Tbl_Responses[Phosphorus 3 - How many representative samples per paddock],"&gt;""",Tbl_Responses[[Resp_Group]:[Resp_Group]],Grower)+COUNTIFS(Tbl_Responses[Phosphorus 4 - Type of test],Tbl_Q15_sampling34[[#Headers],[PBI (Phosphorus Buffering Index)]],Tbl_Responses[Phosphorus 4 - How many representative samples per paddock],"&gt;""",Tbl_Responses[[Resp_Group]:[Resp_Group]],Grower)+COUNTIFS(Tbl_Responses[Phosphorus 5 - Type of test],Tbl_Q15_sampling34[[#Headers],[PBI (Phosphorus Buffering Index)]],Tbl_Responses[Phosphorus 5 - How many representative samples per paddock],"&gt;""",Tbl_Responses[[Resp_Group]:[Resp_Group]],Grower))</f>
        <v>0</v>
      </c>
      <c r="CQ51" s="62">
        <f>(COUNTIFS(Tbl_Responses[Phosphorus 1 - Type of test],Tbl_Q15_sampling34[[#Headers],[DGT]],Tbl_Responses[Phosphorus 1 - How many representative samples per paddock],$CM51,Tbl_Responses[[Resp_Group]:[Resp_Group]],Grower)+COUNTIFS(Tbl_Responses[Phosphorus 2 - Type of test],Tbl_Q15_sampling34[[#Headers],[DGT]],Tbl_Responses[Phosphorus 2 - How many representative samples per paddock],$CM51,Tbl_Responses[[Resp_Group]:[Resp_Group]],Grower)+COUNTIFS(Tbl_Responses[Phosphorus 3 - Type of test],Tbl_Q15_sampling34[[#Headers],[DGT]],Tbl_Responses[Phosphorus 3 - How many representative samples per paddock],$CM51,Tbl_Responses[[Resp_Group]:[Resp_Group]],Grower)+COUNTIFS(Tbl_Responses[Phosphorus 4 - Type of test],Tbl_Q15_sampling34[[#Headers],[DGT]],Tbl_Responses[Phosphorus 4 - How many representative samples per paddock],$CM51,Tbl_Responses[[Resp_Group]:[Resp_Group]],Grower)+COUNTIFS(Tbl_Responses[Phosphorus 5 - Type of test],Tbl_Q15_sampling34[[#Headers],[DGT]],Tbl_Responses[Phosphorus 5 - How many representative samples per paddock],$CM51,Tbl_Responses[[Resp_Group]:[Resp_Group]],Grower))/(COUNTIFS(Tbl_Responses[Phosphorus 1 - Type of test],Tbl_Q15_sampling34[[#Headers],[DGT]],Tbl_Responses[Phosphorus 1 - How many representative samples per paddock],"&gt;""",Tbl_Responses[[Resp_Group]:[Resp_Group]],Grower)+COUNTIFS(Tbl_Responses[Phosphorus 2 - Type of test],Tbl_Q15_sampling34[[#Headers],[DGT]],Tbl_Responses[Phosphorus 2 - How many representative samples per paddock],"&gt;""",Tbl_Responses[[Resp_Group]:[Resp_Group]],Grower)+COUNTIFS(Tbl_Responses[Phosphorus 3 - Type of test],Tbl_Q15_sampling34[[#Headers],[DGT]],Tbl_Responses[Phosphorus 3 - How many representative samples per paddock],"&gt;""",Tbl_Responses[[Resp_Group]:[Resp_Group]],Grower)+COUNTIFS(Tbl_Responses[Phosphorus 4 - Type of test],Tbl_Q15_sampling34[[#Headers],[DGT]],Tbl_Responses[Phosphorus 4 - How many representative samples per paddock],"&gt;""",Tbl_Responses[[Resp_Group]:[Resp_Group]],Grower)+COUNTIFS(Tbl_Responses[Phosphorus 5 - Type of test],Tbl_Q15_sampling34[[#Headers],[DGT]],Tbl_Responses[Phosphorus 5 - How many representative samples per paddock],"&gt;""",Tbl_Responses[[Resp_Group]:[Resp_Group]],Grower))</f>
        <v>0</v>
      </c>
      <c r="CR51" s="62">
        <f>(COUNTIFS(Tbl_Responses[Phosphorus 1 - Type of test],Tbl_Q15_sampling34[[#Headers],[Total P]],Tbl_Responses[Phosphorus 1 - How many representative samples per paddock],$CM51,Tbl_Responses[[Resp_Group]:[Resp_Group]],Grower)+COUNTIFS(Tbl_Responses[Phosphorus 2 - Type of test],Tbl_Q15_sampling34[[#Headers],[Total P]],Tbl_Responses[Phosphorus 2 - How many representative samples per paddock],$CM51,Tbl_Responses[[Resp_Group]:[Resp_Group]],Grower)+COUNTIFS(Tbl_Responses[Phosphorus 3 - Type of test],Tbl_Q15_sampling34[[#Headers],[Total P]],Tbl_Responses[Phosphorus 3 - How many representative samples per paddock],$CM51,Tbl_Responses[[Resp_Group]:[Resp_Group]],Grower)+COUNTIFS(Tbl_Responses[Phosphorus 4 - Type of test],Tbl_Q15_sampling34[[#Headers],[Total P]],Tbl_Responses[Phosphorus 4 - How many representative samples per paddock],$CM51,Tbl_Responses[[Resp_Group]:[Resp_Group]],Grower)+COUNTIFS(Tbl_Responses[Phosphorus 5 - Type of test],Tbl_Q15_sampling34[[#Headers],[Total P]],Tbl_Responses[Phosphorus 5 - How many representative samples per paddock],$CM51,Tbl_Responses[[Resp_Group]:[Resp_Group]],Grower))/(COUNTIFS(Tbl_Responses[Phosphorus 1 - Type of test],Tbl_Q15_sampling34[[#Headers],[Total P]],Tbl_Responses[Phosphorus 1 - How many representative samples per paddock],"&gt;""",Tbl_Responses[[Resp_Group]:[Resp_Group]],Grower)+COUNTIFS(Tbl_Responses[Phosphorus 2 - Type of test],Tbl_Q15_sampling34[[#Headers],[Total P]],Tbl_Responses[Phosphorus 2 - How many representative samples per paddock],"&gt;""",Tbl_Responses[[Resp_Group]:[Resp_Group]],Grower)+COUNTIFS(Tbl_Responses[Phosphorus 3 - Type of test],Tbl_Q15_sampling34[[#Headers],[Total P]],Tbl_Responses[Phosphorus 3 - How many representative samples per paddock],"&gt;""",Tbl_Responses[[Resp_Group]:[Resp_Group]],Grower)+COUNTIFS(Tbl_Responses[Phosphorus 4 - Type of test],Tbl_Q15_sampling34[[#Headers],[Total P]],Tbl_Responses[Phosphorus 4 - How many representative samples per paddock],"&gt;""",Tbl_Responses[[Resp_Group]:[Resp_Group]],Grower)+COUNTIFS(Tbl_Responses[Phosphorus 5 - Type of test],Tbl_Q15_sampling34[[#Headers],[Total P]],Tbl_Responses[Phosphorus 5 - How many representative samples per paddock],"&gt;""",Tbl_Responses[[Resp_Group]:[Resp_Group]],Grower))</f>
        <v>0</v>
      </c>
      <c r="CS51" s="82">
        <f>(COUNTIFS(Tbl_Responses[Phosphorus 1 - How many representative samples per paddock],$CM51,Tbl_Responses[[Resp_Group]:[Resp_Group]],Grower)+COUNTIFS(Tbl_Responses[Phosphorus 2 - How many representative samples per paddock],$CM51,Tbl_Responses[[Resp_Group]:[Resp_Group]],Grower)+COUNTIFS(Tbl_Responses[Phosphorus 3 - How many representative samples per paddock],$CM51,Tbl_Responses[[Resp_Group]:[Resp_Group]],Grower)+COUNTIFS(Tbl_Responses[Phosphorus 4 - How many representative samples per paddock],$CM51,Tbl_Responses[[Resp_Group]:[Resp_Group]],Grower)+COUNTIFS(Tbl_Responses[Phosphorus 5 - How many representative samples per paddock],$CM51,Tbl_Responses[[Resp_Group]:[Resp_Group]],Grower))/(COUNTIFS(Tbl_Responses[Phosphorus 1 - How many representative samples per paddock],"&gt;""",Tbl_Responses[[Resp_Group]:[Resp_Group]],Grower)+COUNTIFS(Tbl_Responses[Phosphorus 2 - How many representative samples per paddock],"&gt;""",Tbl_Responses[[Resp_Group]:[Resp_Group]],Grower)+COUNTIFS(Tbl_Responses[Phosphorus 3 - How many representative samples per paddock],"&gt;""",Tbl_Responses[[Resp_Group]:[Resp_Group]],Grower)+COUNTIFS(Tbl_Responses[Phosphorus 4 - How many representative samples per paddock],"&gt;""",Tbl_Responses[[Resp_Group]:[Resp_Group]],Grower)+COUNTIFS(Tbl_Responses[Phosphorus 5 - How many representative samples per paddock],"&gt;""",Tbl_Responses[[Resp_Group]:[Resp_Group]],Grower))</f>
        <v>1.9230769230769232E-2</v>
      </c>
      <c r="CT51" s="72"/>
      <c r="CU51" s="72"/>
      <c r="CV51" s="72"/>
      <c r="CW51" s="72"/>
      <c r="CX51" s="72"/>
      <c r="CY51" s="72"/>
      <c r="CZ51" s="56" t="s">
        <v>403</v>
      </c>
      <c r="DA51" s="67">
        <f>(COUNTIFS(Tbl_Responses[Potassium 1 - Type of test],Tbl_Q16_sampling35[[#Headers],[Colwell K]],Tbl_Responses[Potassium 1 - How many representative samples per paddock],$CZ51,Tbl_Responses[[Resp_Group]:[Resp_Group]],Grower)+COUNTIFS(Tbl_Responses[Potassium 2 - Type of test],Tbl_Q16_sampling35[[#Headers],[Colwell K]],Tbl_Responses[Potassium 2 - How many representative samples per paddock],$CZ51,Tbl_Responses[[Resp_Group]:[Resp_Group]],Grower)+COUNTIFS(Tbl_Responses[Potassium 3 - Type of test],Tbl_Q16_sampling35[[#Headers],[Colwell K]],Tbl_Responses[Potassium 3 - How many representative samples per paddock],$CZ51,Tbl_Responses[[Resp_Group]:[Resp_Group]],Grower))/(COUNTIFS(Tbl_Responses[Potassium 1 - Type of test],Tbl_Q16_sampling35[[#Headers],[Colwell K]],Tbl_Responses[Potassium 1 - How many representative samples per paddock],"&gt;""",Tbl_Responses[[Resp_Group]:[Resp_Group]],Grower)+COUNTIFS(Tbl_Responses[Potassium 2 - Type of test],Tbl_Q16_sampling35[[#Headers],[Colwell K]],Tbl_Responses[Potassium 2 - How many representative samples per paddock],"&gt;""",Tbl_Responses[[Resp_Group]:[Resp_Group]],Grower)+COUNTIFS(Tbl_Responses[Potassium 3 - Type of test],Tbl_Q16_sampling35[[#Headers],[Colwell K]],Tbl_Responses[Potassium 3 - How many representative samples per paddock],"&gt;""",Tbl_Responses[[Resp_Group]:[Resp_Group]],Grower))</f>
        <v>0</v>
      </c>
      <c r="DB51" s="62">
        <f>(COUNTIFS(Tbl_Responses[Potassium 1 - Type of test],Tbl_Q16_sampling35[[#Headers],[Exchangable Cations (Ca, Mg, K, Na)]],Tbl_Responses[Potassium 1 - How many representative samples per paddock],$CZ51,Tbl_Responses[[Resp_Group]:[Resp_Group]],Grower)+COUNTIFS(Tbl_Responses[Potassium 2 - Type of test],Tbl_Q16_sampling35[[#Headers],[Exchangable Cations (Ca, Mg, K, Na)]],Tbl_Responses[Potassium 2 - How many representative samples per paddock],$CZ51,Tbl_Responses[[Resp_Group]:[Resp_Group]],Grower)+COUNTIFS(Tbl_Responses[Potassium 3 - Type of test],Tbl_Q16_sampling35[[#Headers],[Exchangable Cations (Ca, Mg, K, Na)]],Tbl_Responses[Potassium 3 - How many representative samples per paddock],$CZ51,Tbl_Responses[[Resp_Group]:[Resp_Group]],Grower))/(COUNTIFS(Tbl_Responses[Potassium 1 - Type of test],Tbl_Q16_sampling35[[#Headers],[Exchangable Cations (Ca, Mg, K, Na)]],Tbl_Responses[Potassium 1 - How many representative samples per paddock],"&gt;""",Tbl_Responses[[Resp_Group]:[Resp_Group]],Grower)+COUNTIFS(Tbl_Responses[Potassium 2 - Type of test],Tbl_Q16_sampling35[[#Headers],[Exchangable Cations (Ca, Mg, K, Na)]],Tbl_Responses[Potassium 2 - How many representative samples per paddock],"&gt;""",Tbl_Responses[[Resp_Group]:[Resp_Group]],Grower)+COUNTIFS(Tbl_Responses[Potassium 3 - Type of test],Tbl_Q16_sampling35[[#Headers],[Exchangable Cations (Ca, Mg, K, Na)]],Tbl_Responses[Potassium 3 - How many representative samples per paddock],"&gt;""",Tbl_Responses[[Resp_Group]:[Resp_Group]],Grower))</f>
        <v>0</v>
      </c>
      <c r="DC51" s="70">
        <f>(COUNTIFS(Tbl_Responses[Potassium 1 - How many representative samples per paddock],$CZ51,Tbl_Responses[[Resp_Group]:[Resp_Group]],Grower)+COUNTIFS(Tbl_Responses[Potassium 2 - How many representative samples per paddock],$CZ51,Tbl_Responses[[Resp_Group]:[Resp_Group]],Grower)+COUNTIFS(Tbl_Responses[Potassium 3 - How many representative samples per paddock],$CZ51,Tbl_Responses[[Resp_Group]:[Resp_Group]],Grower))/(COUNTIFS(Tbl_Responses[Potassium 1 - How many representative samples per paddock],"&gt;""",Tbl_Responses[[Resp_Group]:[Resp_Group]],Grower)+COUNTIFS(Tbl_Responses[Potassium 2 - How many representative samples per paddock],"&gt;""",Tbl_Responses[[Resp_Group]:[Resp_Group]],Grower)+COUNTIFS(Tbl_Responses[Potassium 3 - How many representative samples per paddock],"&gt;""",Tbl_Responses[[Resp_Group]:[Resp_Group]],Grower))</f>
        <v>0</v>
      </c>
      <c r="DD51" s="72"/>
      <c r="DE51" s="72"/>
      <c r="DF51" s="80" t="s">
        <v>192</v>
      </c>
      <c r="DG51" s="72">
        <f>(COUNTIFS(Tbl_Responses[1 - Type of test],DF51,Tbl_Responses[[Resp_Group]:[Resp_Group]],Grower)+COUNTIFS(Tbl_Responses[2 - Type of test],DF51,Tbl_Responses[[Resp_Group]:[Resp_Group]],Grower)+COUNTIFS(Tbl_Responses[3 - Type of test],DF51,Tbl_Responses[[Resp_Group]:[Resp_Group]],Grower)+COUNTIFS(Tbl_Responses[4 - Type of test],DF51,Tbl_Responses[[Resp_Group]:[Resp_Group]],Grower)+COUNTIFS(Tbl_Responses[5 - Type of test],DF51,Tbl_Responses[[Resp_Group]:[Resp_Group]],Grower))/(COUNTIFS(Tbl_Responses[1 - Type of test],"&gt;""",Tbl_Responses[[Resp_Group]:[Resp_Group]],Grower)+COUNTIFS(Tbl_Responses[2 - Type of test],"&gt;""",Tbl_Responses[[Resp_Group]:[Resp_Group]],Grower)+COUNTIFS(Tbl_Responses[3 - Type of test],"&gt;""",Tbl_Responses[[Resp_Group]:[Resp_Group]],Grower)+COUNTIFS(Tbl_Responses[4 - Type of test],"&gt;""",Tbl_Responses[[Resp_Group]:[Resp_Group]],Grower)+COUNTIFS(Tbl_Responses[5 - Type of test],"&gt;""",Tbl_Responses[[Resp_Group]:[Resp_Group]],Grower))</f>
        <v>4.3478260869565216E-2</v>
      </c>
      <c r="DH51" s="72"/>
      <c r="DI51" s="72"/>
      <c r="DJ51" s="56" t="s">
        <v>403</v>
      </c>
      <c r="DK51" s="67">
        <f>(COUNTIFS(Tbl_Responses[1 - Type of test],Tbl_Q17_sampling36[[#Headers],[pH]],Tbl_Responses[1 - How many cores per paddock],$DJ51,Tbl_Responses[[Resp_Group]:[Resp_Group]],Grower)+COUNTIFS(Tbl_Responses[2 - Type of test],Tbl_Q17_sampling36[[#Headers],[pH]],Tbl_Responses[2 - How many cores per paddock],$DJ51,Tbl_Responses[[Resp_Group]:[Resp_Group]],Grower)+COUNTIFS(Tbl_Responses[3 - Type of test],Tbl_Q17_sampling36[[#Headers],[pH]],Tbl_Responses[3 - How many cores per paddock],$DJ51,Tbl_Responses[[Resp_Group]:[Resp_Group]],Grower)+COUNTIFS(Tbl_Responses[4 - Type of test],Tbl_Q17_sampling36[[#Headers],[pH]],Tbl_Responses[4 - How many cores per paddock],$DJ51,Tbl_Responses[[Resp_Group]:[Resp_Group]],Grower)+COUNTIFS(Tbl_Responses[5 - Type of test],Tbl_Q17_sampling36[[#Headers],[pH]],Tbl_Responses[5 - How many cores per paddock],$DJ51,Tbl_Responses[[Resp_Group]:[Resp_Group]],Grower)+COUNTIFS(Tbl_Responses[6 - Type of test],Tbl_Q17_sampling36[[#Headers],[pH]],Tbl_Responses[6 - How many cores per paddock],$DJ51,Tbl_Responses[[Resp_Group]:[Resp_Group]],Grower)+COUNTIFS(Tbl_Responses[7 - Type of test],Tbl_Q17_sampling36[[#Headers],[pH]],Tbl_Responses[7 - How many cores per paddock],$DJ51,Tbl_Responses[[Resp_Group]:[Resp_Group]],Grower)+COUNTIFS(Tbl_Responses[8 - Type of test],Tbl_Q17_sampling36[[#Headers],[pH]],Tbl_Responses[8 - How many cores per paddock],$DJ51,Tbl_Responses[[Resp_Group]:[Resp_Group]],Grower))/(COUNTIFS(Tbl_Responses[1 - Type of test],Tbl_Q17_sampling36[[#Headers],[pH]],Tbl_Responses[1 - How many cores per paddock],"&gt;""",Tbl_Responses[[Resp_Group]:[Resp_Group]],Grower)+COUNTIFS(Tbl_Responses[2 - Type of test],Tbl_Q17_sampling36[[#Headers],[pH]],Tbl_Responses[2 - How many cores per paddock],"&gt;""",Tbl_Responses[[Resp_Group]:[Resp_Group]],Grower)+COUNTIFS(Tbl_Responses[3 - Type of test],Tbl_Q17_sampling36[[#Headers],[pH]],Tbl_Responses[3 - How many cores per paddock],"&gt;""",Tbl_Responses[[Resp_Group]:[Resp_Group]],Grower)+COUNTIFS(Tbl_Responses[4 - Type of test],Tbl_Q17_sampling36[[#Headers],[pH]],Tbl_Responses[4 - How many cores per paddock],"&gt;""",Tbl_Responses[[Resp_Group]:[Resp_Group]],Grower)+COUNTIFS(Tbl_Responses[5 - Type of test],Tbl_Q17_sampling36[[#Headers],[pH]],Tbl_Responses[5 - How many cores per paddock],"&gt;""",Tbl_Responses[[Resp_Group]:[Resp_Group]],Grower)+COUNTIFS(Tbl_Responses[6 - Type of test],Tbl_Q17_sampling36[[#Headers],[pH]],Tbl_Responses[6 - How many cores per paddock],"&gt;""",Tbl_Responses[[Resp_Group]:[Resp_Group]],Grower)+COUNTIFS(Tbl_Responses[7 - Type of test],Tbl_Q17_sampling36[[#Headers],[pH]],Tbl_Responses[7 - How many cores per paddock],"&gt;""",Tbl_Responses[[Resp_Group]:[Resp_Group]],Grower)+COUNTIFS(Tbl_Responses[8 - Type of test],Tbl_Q17_sampling36[[#Headers],[pH]],Tbl_Responses[8 - How many cores per paddock],"&gt;""",Tbl_Responses[[Resp_Group]:[Resp_Group]],Grower))</f>
        <v>8.3333333333333329E-2</v>
      </c>
      <c r="DL51" s="62">
        <f>(COUNTIFS(Tbl_Responses[1 - Type of test],Tbl_Q17_sampling36[[#Headers],[Trace elements (DTPA) Cu, Zn, Mg, Fe]],Tbl_Responses[1 - How many cores per paddock],$DJ51,Tbl_Responses[[Resp_Group]:[Resp_Group]],Grower)+COUNTIFS(Tbl_Responses[2 - Type of test],Tbl_Q17_sampling36[[#Headers],[Trace elements (DTPA) Cu, Zn, Mg, Fe]],Tbl_Responses[2 - How many cores per paddock],$DJ51,Tbl_Responses[[Resp_Group]:[Resp_Group]],Grower)+COUNTIFS(Tbl_Responses[3 - Type of test],Tbl_Q17_sampling36[[#Headers],[Trace elements (DTPA) Cu, Zn, Mg, Fe]],Tbl_Responses[3 - How many cores per paddock],$DJ51,Tbl_Responses[[Resp_Group]:[Resp_Group]],Grower)+COUNTIFS(Tbl_Responses[4 - Type of test],Tbl_Q17_sampling36[[#Headers],[Trace elements (DTPA) Cu, Zn, Mg, Fe]],Tbl_Responses[4 - How many cores per paddock],$DJ51,Tbl_Responses[[Resp_Group]:[Resp_Group]],Grower)+COUNTIFS(Tbl_Responses[5 - Type of test],Tbl_Q17_sampling36[[#Headers],[Trace elements (DTPA) Cu, Zn, Mg, Fe]],Tbl_Responses[5 - How many cores per paddock],$DJ51,Tbl_Responses[[Resp_Group]:[Resp_Group]],Grower)+COUNTIFS(Tbl_Responses[6 - Type of test],Tbl_Q17_sampling36[[#Headers],[Trace elements (DTPA) Cu, Zn, Mg, Fe]],Tbl_Responses[6 - How many cores per paddock],$DJ51,Tbl_Responses[[Resp_Group]:[Resp_Group]],Grower)+COUNTIFS(Tbl_Responses[7 - Type of test],Tbl_Q17_sampling36[[#Headers],[Trace elements (DTPA) Cu, Zn, Mg, Fe]],Tbl_Responses[7 - How many cores per paddock],$DJ51,Tbl_Responses[[Resp_Group]:[Resp_Group]],Grower)+COUNTIFS(Tbl_Responses[8 - Type of test],Tbl_Q17_sampling36[[#Headers],[Trace elements (DTPA) Cu, Zn, Mg, Fe]],Tbl_Responses[8 - How many cores per paddock],$DJ51,Tbl_Responses[[Resp_Group]:[Resp_Group]],Grower))/(COUNTIFS(Tbl_Responses[1 - Type of test],Tbl_Q17_sampling36[[#Headers],[Trace elements (DTPA) Cu, Zn, Mg, Fe]],Tbl_Responses[1 - How many cores per paddock],"&gt;""",Tbl_Responses[[Resp_Group]:[Resp_Group]],Grower)+COUNTIFS(Tbl_Responses[2 - Type of test],Tbl_Q17_sampling36[[#Headers],[Trace elements (DTPA) Cu, Zn, Mg, Fe]],Tbl_Responses[2 - How many cores per paddock],"&gt;""",Tbl_Responses[[Resp_Group]:[Resp_Group]],Grower)+COUNTIFS(Tbl_Responses[3 - Type of test],Tbl_Q17_sampling36[[#Headers],[Trace elements (DTPA) Cu, Zn, Mg, Fe]],Tbl_Responses[3 - How many cores per paddock],"&gt;""",Tbl_Responses[[Resp_Group]:[Resp_Group]],Grower)+COUNTIFS(Tbl_Responses[4 - Type of test],Tbl_Q17_sampling36[[#Headers],[Trace elements (DTPA) Cu, Zn, Mg, Fe]],Tbl_Responses[4 - How many cores per paddock],"&gt;""",Tbl_Responses[[Resp_Group]:[Resp_Group]],Grower)+COUNTIFS(Tbl_Responses[5 - Type of test],Tbl_Q17_sampling36[[#Headers],[Trace elements (DTPA) Cu, Zn, Mg, Fe]],Tbl_Responses[5 - How many cores per paddock],"&gt;""",Tbl_Responses[[Resp_Group]:[Resp_Group]],Grower)+COUNTIFS(Tbl_Responses[6 - Type of test],Tbl_Q17_sampling36[[#Headers],[Trace elements (DTPA) Cu, Zn, Mg, Fe]],Tbl_Responses[6 - How many cores per paddock],"&gt;""",Tbl_Responses[[Resp_Group]:[Resp_Group]],Grower)+COUNTIFS(Tbl_Responses[7 - Type of test],Tbl_Q17_sampling36[[#Headers],[Trace elements (DTPA) Cu, Zn, Mg, Fe]],Tbl_Responses[7 - How many cores per paddock],"&gt;""",Tbl_Responses[[Resp_Group]:[Resp_Group]],Grower)+COUNTIFS(Tbl_Responses[8 - Type of test],Tbl_Q17_sampling36[[#Headers],[Trace elements (DTPA) Cu, Zn, Mg, Fe]],Tbl_Responses[8 - How many cores per paddock],"&gt;""",Tbl_Responses[[Resp_Group]:[Resp_Group]],Grower))</f>
        <v>7.6923076923076927E-2</v>
      </c>
      <c r="DM51" s="62">
        <f>(COUNTIFS(Tbl_Responses[1 - Type of test],Tbl_Q17_sampling36[[#Headers],[Trace elements (EDTA) Cu, Zn, Mg, Fe]],Tbl_Responses[1 - How many cores per paddock],$DJ51,Tbl_Responses[[Resp_Group]:[Resp_Group]],Grower)+COUNTIFS(Tbl_Responses[2 - Type of test],Tbl_Q17_sampling36[[#Headers],[Trace elements (EDTA) Cu, Zn, Mg, Fe]],Tbl_Responses[2 - How many cores per paddock],$DJ51,Tbl_Responses[[Resp_Group]:[Resp_Group]],Grower)+COUNTIFS(Tbl_Responses[3 - Type of test],Tbl_Q17_sampling36[[#Headers],[Trace elements (EDTA) Cu, Zn, Mg, Fe]],Tbl_Responses[3 - How many cores per paddock],$DJ51,Tbl_Responses[[Resp_Group]:[Resp_Group]],Grower)+COUNTIFS(Tbl_Responses[4 - Type of test],Tbl_Q17_sampling36[[#Headers],[Trace elements (EDTA) Cu, Zn, Mg, Fe]],Tbl_Responses[4 - How many cores per paddock],$DJ51,Tbl_Responses[[Resp_Group]:[Resp_Group]],Grower)+COUNTIFS(Tbl_Responses[5 - Type of test],Tbl_Q17_sampling36[[#Headers],[Trace elements (EDTA) Cu, Zn, Mg, Fe]],Tbl_Responses[5 - How many cores per paddock],$DJ51,Tbl_Responses[[Resp_Group]:[Resp_Group]],Grower)+COUNTIFS(Tbl_Responses[6 - Type of test],Tbl_Q17_sampling36[[#Headers],[Trace elements (EDTA) Cu, Zn, Mg, Fe]],Tbl_Responses[6 - How many cores per paddock],$DJ51,Tbl_Responses[[Resp_Group]:[Resp_Group]],Grower)+COUNTIFS(Tbl_Responses[7 - Type of test],Tbl_Q17_sampling36[[#Headers],[Trace elements (EDTA) Cu, Zn, Mg, Fe]],Tbl_Responses[7 - How many cores per paddock],$DJ51,Tbl_Responses[[Resp_Group]:[Resp_Group]],Grower)+COUNTIFS(Tbl_Responses[8 - Type of test],Tbl_Q17_sampling36[[#Headers],[Trace elements (EDTA) Cu, Zn, Mg, Fe]],Tbl_Responses[8 - How many cores per paddock],$DJ51,Tbl_Responses[[Resp_Group]:[Resp_Group]],Grower))/(COUNTIFS(Tbl_Responses[1 - Type of test],Tbl_Q17_sampling36[[#Headers],[Trace elements (EDTA) Cu, Zn, Mg, Fe]],Tbl_Responses[1 - How many cores per paddock],"&gt;""",Tbl_Responses[[Resp_Group]:[Resp_Group]],Grower)+COUNTIFS(Tbl_Responses[2 - Type of test],Tbl_Q17_sampling36[[#Headers],[Trace elements (EDTA) Cu, Zn, Mg, Fe]],Tbl_Responses[2 - How many cores per paddock],"&gt;""",Tbl_Responses[[Resp_Group]:[Resp_Group]],Grower)+COUNTIFS(Tbl_Responses[3 - Type of test],Tbl_Q17_sampling36[[#Headers],[Trace elements (EDTA) Cu, Zn, Mg, Fe]],Tbl_Responses[3 - How many cores per paddock],"&gt;""",Tbl_Responses[[Resp_Group]:[Resp_Group]],Grower)+COUNTIFS(Tbl_Responses[4 - Type of test],Tbl_Q17_sampling36[[#Headers],[Trace elements (EDTA) Cu, Zn, Mg, Fe]],Tbl_Responses[4 - How many cores per paddock],"&gt;""",Tbl_Responses[[Resp_Group]:[Resp_Group]],Grower)+COUNTIFS(Tbl_Responses[5 - Type of test],Tbl_Q17_sampling36[[#Headers],[Trace elements (EDTA) Cu, Zn, Mg, Fe]],Tbl_Responses[5 - How many cores per paddock],"&gt;""",Tbl_Responses[[Resp_Group]:[Resp_Group]],Grower)+COUNTIFS(Tbl_Responses[6 - Type of test],Tbl_Q17_sampling36[[#Headers],[Trace elements (EDTA) Cu, Zn, Mg, Fe]],Tbl_Responses[6 - How many cores per paddock],"&gt;""",Tbl_Responses[[Resp_Group]:[Resp_Group]],Grower)+COUNTIFS(Tbl_Responses[7 - Type of test],Tbl_Q17_sampling36[[#Headers],[Trace elements (EDTA) Cu, Zn, Mg, Fe]],Tbl_Responses[7 - How many cores per paddock],"&gt;""",Tbl_Responses[[Resp_Group]:[Resp_Group]],Grower)+COUNTIFS(Tbl_Responses[8 - Type of test],Tbl_Q17_sampling36[[#Headers],[Trace elements (EDTA) Cu, Zn, Mg, Fe]],Tbl_Responses[8 - How many cores per paddock],"&gt;""",Tbl_Responses[[Resp_Group]:[Resp_Group]],Grower))</f>
        <v>0</v>
      </c>
      <c r="DN51" s="62">
        <f>(COUNTIFS(Tbl_Responses[1 - Type of test],Tbl_Q17_sampling36[[#Headers],[Exchangable cations - Ca, Mg, Na, K]],Tbl_Responses[1 - How many cores per paddock],$DJ51,Tbl_Responses[[Resp_Group]:[Resp_Group]],Grower)+COUNTIFS(Tbl_Responses[2 - Type of test],Tbl_Q17_sampling36[[#Headers],[Exchangable cations - Ca, Mg, Na, K]],Tbl_Responses[2 - How many cores per paddock],$DJ51,Tbl_Responses[[Resp_Group]:[Resp_Group]],Grower)+COUNTIFS(Tbl_Responses[3 - Type of test],Tbl_Q17_sampling36[[#Headers],[Exchangable cations - Ca, Mg, Na, K]],Tbl_Responses[3 - How many cores per paddock],$DJ51,Tbl_Responses[[Resp_Group]:[Resp_Group]],Grower)+COUNTIFS(Tbl_Responses[4 - Type of test],Tbl_Q17_sampling36[[#Headers],[Exchangable cations - Ca, Mg, Na, K]],Tbl_Responses[4 - How many cores per paddock],$DJ51,Tbl_Responses[[Resp_Group]:[Resp_Group]],Grower)+COUNTIFS(Tbl_Responses[5 - Type of test],Tbl_Q17_sampling36[[#Headers],[Exchangable cations - Ca, Mg, Na, K]],Tbl_Responses[5 - How many cores per paddock],$DJ51,Tbl_Responses[[Resp_Group]:[Resp_Group]],Grower)+COUNTIFS(Tbl_Responses[6 - Type of test],Tbl_Q17_sampling36[[#Headers],[Exchangable cations - Ca, Mg, Na, K]],Tbl_Responses[6 - How many cores per paddock],$DJ51,Tbl_Responses[[Resp_Group]:[Resp_Group]],Grower)+COUNTIFS(Tbl_Responses[7 - Type of test],Tbl_Q17_sampling36[[#Headers],[Exchangable cations - Ca, Mg, Na, K]],Tbl_Responses[7 - How many cores per paddock],$DJ51,Tbl_Responses[[Resp_Group]:[Resp_Group]],Grower)+COUNTIFS(Tbl_Responses[8 - Type of test],Tbl_Q17_sampling36[[#Headers],[Exchangable cations - Ca, Mg, Na, K]],Tbl_Responses[8 - How many cores per paddock],$DJ51,Tbl_Responses[[Resp_Group]:[Resp_Group]],Grower))/(COUNTIFS(Tbl_Responses[1 - Type of test],Tbl_Q17_sampling36[[#Headers],[Exchangable cations - Ca, Mg, Na, K]],Tbl_Responses[1 - How many cores per paddock],"&gt;""",Tbl_Responses[[Resp_Group]:[Resp_Group]],Grower)+COUNTIFS(Tbl_Responses[2 - Type of test],Tbl_Q17_sampling36[[#Headers],[Exchangable cations - Ca, Mg, Na, K]],Tbl_Responses[2 - How many cores per paddock],"&gt;""",Tbl_Responses[[Resp_Group]:[Resp_Group]],Grower)+COUNTIFS(Tbl_Responses[3 - Type of test],Tbl_Q17_sampling36[[#Headers],[Exchangable cations - Ca, Mg, Na, K]],Tbl_Responses[3 - How many cores per paddock],"&gt;""",Tbl_Responses[[Resp_Group]:[Resp_Group]],Grower)+COUNTIFS(Tbl_Responses[4 - Type of test],Tbl_Q17_sampling36[[#Headers],[Exchangable cations - Ca, Mg, Na, K]],Tbl_Responses[4 - How many cores per paddock],"&gt;""",Tbl_Responses[[Resp_Group]:[Resp_Group]],Grower)+COUNTIFS(Tbl_Responses[5 - Type of test],Tbl_Q17_sampling36[[#Headers],[Exchangable cations - Ca, Mg, Na, K]],Tbl_Responses[5 - How many cores per paddock],"&gt;""",Tbl_Responses[[Resp_Group]:[Resp_Group]],Grower)+COUNTIFS(Tbl_Responses[6 - Type of test],Tbl_Q17_sampling36[[#Headers],[Exchangable cations - Ca, Mg, Na, K]],Tbl_Responses[6 - How many cores per paddock],"&gt;""",Tbl_Responses[[Resp_Group]:[Resp_Group]],Grower)+COUNTIFS(Tbl_Responses[7 - Type of test],Tbl_Q17_sampling36[[#Headers],[Exchangable cations - Ca, Mg, Na, K]],Tbl_Responses[7 - How many cores per paddock],"&gt;""",Tbl_Responses[[Resp_Group]:[Resp_Group]],Grower)+COUNTIFS(Tbl_Responses[8 - Type of test],Tbl_Q17_sampling36[[#Headers],[Exchangable cations - Ca, Mg, Na, K]],Tbl_Responses[8 - How many cores per paddock],"&gt;""",Tbl_Responses[[Resp_Group]:[Resp_Group]],Grower))</f>
        <v>0.125</v>
      </c>
      <c r="DO51" s="62">
        <f>(COUNTIFS(Tbl_Responses[1 - Type of test],Tbl_Q17_sampling36[[#Headers],[Texture]],Tbl_Responses[1 - How many cores per paddock],$DJ51,Tbl_Responses[[Resp_Group]:[Resp_Group]],Grower)+COUNTIFS(Tbl_Responses[2 - Type of test],Tbl_Q17_sampling36[[#Headers],[Texture]],Tbl_Responses[2 - How many cores per paddock],$DJ51,Tbl_Responses[[Resp_Group]:[Resp_Group]],Grower)+COUNTIFS(Tbl_Responses[3 - Type of test],Tbl_Q17_sampling36[[#Headers],[Texture]],Tbl_Responses[3 - How many cores per paddock],$DJ51,Tbl_Responses[[Resp_Group]:[Resp_Group]],Grower)+COUNTIFS(Tbl_Responses[4 - Type of test],Tbl_Q17_sampling36[[#Headers],[Texture]],Tbl_Responses[4 - How many cores per paddock],$DJ51,Tbl_Responses[[Resp_Group]:[Resp_Group]],Grower)+COUNTIFS(Tbl_Responses[5 - Type of test],Tbl_Q17_sampling36[[#Headers],[Texture]],Tbl_Responses[5 - How many cores per paddock],$DJ51,Tbl_Responses[[Resp_Group]:[Resp_Group]],Grower)+COUNTIFS(Tbl_Responses[6 - Type of test],Tbl_Q17_sampling36[[#Headers],[Texture]],Tbl_Responses[6 - How many cores per paddock],$DJ51,Tbl_Responses[[Resp_Group]:[Resp_Group]],Grower)+COUNTIFS(Tbl_Responses[7 - Type of test],Tbl_Q17_sampling36[[#Headers],[Texture]],Tbl_Responses[7 - How many cores per paddock],$DJ51,Tbl_Responses[[Resp_Group]:[Resp_Group]],Grower)+COUNTIFS(Tbl_Responses[8 - Type of test],Tbl_Q17_sampling36[[#Headers],[Texture]],Tbl_Responses[8 - How many cores per paddock],$DJ51,Tbl_Responses[[Resp_Group]:[Resp_Group]],Grower))/(COUNTIFS(Tbl_Responses[1 - Type of test],Tbl_Q17_sampling36[[#Headers],[Texture]],Tbl_Responses[1 - How many cores per paddock],"&gt;""",Tbl_Responses[[Resp_Group]:[Resp_Group]],Grower)+COUNTIFS(Tbl_Responses[2 - Type of test],Tbl_Q17_sampling36[[#Headers],[Texture]],Tbl_Responses[2 - How many cores per paddock],"&gt;""",Tbl_Responses[[Resp_Group]:[Resp_Group]],Grower)+COUNTIFS(Tbl_Responses[3 - Type of test],Tbl_Q17_sampling36[[#Headers],[Texture]],Tbl_Responses[3 - How many cores per paddock],"&gt;""",Tbl_Responses[[Resp_Group]:[Resp_Group]],Grower)+COUNTIFS(Tbl_Responses[4 - Type of test],Tbl_Q17_sampling36[[#Headers],[Texture]],Tbl_Responses[4 - How many cores per paddock],"&gt;""",Tbl_Responses[[Resp_Group]:[Resp_Group]],Grower)+COUNTIFS(Tbl_Responses[5 - Type of test],Tbl_Q17_sampling36[[#Headers],[Texture]],Tbl_Responses[5 - How many cores per paddock],"&gt;""",Tbl_Responses[[Resp_Group]:[Resp_Group]],Grower)+COUNTIFS(Tbl_Responses[6 - Type of test],Tbl_Q17_sampling36[[#Headers],[Texture]],Tbl_Responses[6 - How many cores per paddock],"&gt;""",Tbl_Responses[[Resp_Group]:[Resp_Group]],Grower)+COUNTIFS(Tbl_Responses[7 - Type of test],Tbl_Q17_sampling36[[#Headers],[Texture]],Tbl_Responses[7 - How many cores per paddock],"&gt;""",Tbl_Responses[[Resp_Group]:[Resp_Group]],Grower)+COUNTIFS(Tbl_Responses[8 - Type of test],Tbl_Q17_sampling36[[#Headers],[Texture]],Tbl_Responses[8 - How many cores per paddock],"&gt;""",Tbl_Responses[[Resp_Group]:[Resp_Group]],Grower))</f>
        <v>0</v>
      </c>
      <c r="DP51" s="62">
        <f>(COUNTIFS(Tbl_Responses[1 - Type of test],Tbl_Q17_sampling36[[#Headers],[Aluminium (CaCl2)]],Tbl_Responses[1 - How many cores per paddock],$DJ51,Tbl_Responses[[Resp_Group]:[Resp_Group]],Grower)+COUNTIFS(Tbl_Responses[2 - Type of test],Tbl_Q17_sampling36[[#Headers],[Aluminium (CaCl2)]],Tbl_Responses[2 - How many cores per paddock],$DJ51,Tbl_Responses[[Resp_Group]:[Resp_Group]],Grower)+COUNTIFS(Tbl_Responses[3 - Type of test],Tbl_Q17_sampling36[[#Headers],[Aluminium (CaCl2)]],Tbl_Responses[3 - How many cores per paddock],$DJ51,Tbl_Responses[[Resp_Group]:[Resp_Group]],Grower)+COUNTIFS(Tbl_Responses[4 - Type of test],Tbl_Q17_sampling36[[#Headers],[Aluminium (CaCl2)]],Tbl_Responses[4 - How many cores per paddock],$DJ51,Tbl_Responses[[Resp_Group]:[Resp_Group]],Grower)+COUNTIFS(Tbl_Responses[5 - Type of test],Tbl_Q17_sampling36[[#Headers],[Aluminium (CaCl2)]],Tbl_Responses[5 - How many cores per paddock],$DJ51,Tbl_Responses[[Resp_Group]:[Resp_Group]],Grower)+COUNTIFS(Tbl_Responses[6 - Type of test],Tbl_Q17_sampling36[[#Headers],[Aluminium (CaCl2)]],Tbl_Responses[6 - How many cores per paddock],$DJ51,Tbl_Responses[[Resp_Group]:[Resp_Group]],Grower)+COUNTIFS(Tbl_Responses[7 - Type of test],Tbl_Q17_sampling36[[#Headers],[Aluminium (CaCl2)]],Tbl_Responses[7 - How many cores per paddock],$DJ51,Tbl_Responses[[Resp_Group]:[Resp_Group]],Grower)+COUNTIFS(Tbl_Responses[8 - Type of test],Tbl_Q17_sampling36[[#Headers],[Aluminium (CaCl2)]],Tbl_Responses[8 - How many cores per paddock],$DJ51,Tbl_Responses[[Resp_Group]:[Resp_Group]],Grower))/(COUNTIFS(Tbl_Responses[1 - Type of test],Tbl_Q17_sampling36[[#Headers],[Aluminium (CaCl2)]],Tbl_Responses[1 - How many cores per paddock],"&gt;""",Tbl_Responses[[Resp_Group]:[Resp_Group]],Grower)+COUNTIFS(Tbl_Responses[2 - Type of test],Tbl_Q17_sampling36[[#Headers],[Aluminium (CaCl2)]],Tbl_Responses[2 - How many cores per paddock],"&gt;""",Tbl_Responses[[Resp_Group]:[Resp_Group]],Grower)+COUNTIFS(Tbl_Responses[3 - Type of test],Tbl_Q17_sampling36[[#Headers],[Aluminium (CaCl2)]],Tbl_Responses[3 - How many cores per paddock],"&gt;""",Tbl_Responses[[Resp_Group]:[Resp_Group]],Grower)+COUNTIFS(Tbl_Responses[4 - Type of test],Tbl_Q17_sampling36[[#Headers],[Aluminium (CaCl2)]],Tbl_Responses[4 - How many cores per paddock],"&gt;""",Tbl_Responses[[Resp_Group]:[Resp_Group]],Grower)+COUNTIFS(Tbl_Responses[5 - Type of test],Tbl_Q17_sampling36[[#Headers],[Aluminium (CaCl2)]],Tbl_Responses[5 - How many cores per paddock],"&gt;""",Tbl_Responses[[Resp_Group]:[Resp_Group]],Grower)+COUNTIFS(Tbl_Responses[6 - Type of test],Tbl_Q17_sampling36[[#Headers],[Aluminium (CaCl2)]],Tbl_Responses[6 - How many cores per paddock],"&gt;""",Tbl_Responses[[Resp_Group]:[Resp_Group]],Grower)+COUNTIFS(Tbl_Responses[7 - Type of test],Tbl_Q17_sampling36[[#Headers],[Aluminium (CaCl2)]],Tbl_Responses[7 - How many cores per paddock],"&gt;""",Tbl_Responses[[Resp_Group]:[Resp_Group]],Grower)+COUNTIFS(Tbl_Responses[8 - Type of test],Tbl_Q17_sampling36[[#Headers],[Aluminium (CaCl2)]],Tbl_Responses[8 - How many cores per paddock],"&gt;""",Tbl_Responses[[Resp_Group]:[Resp_Group]],Grower))</f>
        <v>0.25</v>
      </c>
      <c r="DQ51" s="62">
        <f>(COUNTIFS(Tbl_Responses[1 - Type of test],Tbl_Q17_sampling36[[#Headers],[Chloride]],Tbl_Responses[1 - How many cores per paddock],$DJ51,Tbl_Responses[[Resp_Group]:[Resp_Group]],Grower)+COUNTIFS(Tbl_Responses[2 - Type of test],Tbl_Q17_sampling36[[#Headers],[Chloride]],Tbl_Responses[2 - How many cores per paddock],$DJ51,Tbl_Responses[[Resp_Group]:[Resp_Group]],Grower)+COUNTIFS(Tbl_Responses[3 - Type of test],Tbl_Q17_sampling36[[#Headers],[Chloride]],Tbl_Responses[3 - How many cores per paddock],$DJ51,Tbl_Responses[[Resp_Group]:[Resp_Group]],Grower)+COUNTIFS(Tbl_Responses[4 - Type of test],Tbl_Q17_sampling36[[#Headers],[Chloride]],Tbl_Responses[4 - How many cores per paddock],$DJ51,Tbl_Responses[[Resp_Group]:[Resp_Group]],Grower)+COUNTIFS(Tbl_Responses[5 - Type of test],Tbl_Q17_sampling36[[#Headers],[Chloride]],Tbl_Responses[5 - How many cores per paddock],$DJ51,Tbl_Responses[[Resp_Group]:[Resp_Group]],Grower)+COUNTIFS(Tbl_Responses[6 - Type of test],Tbl_Q17_sampling36[[#Headers],[Chloride]],Tbl_Responses[6 - How many cores per paddock],$DJ51,Tbl_Responses[[Resp_Group]:[Resp_Group]],Grower)+COUNTIFS(Tbl_Responses[7 - Type of test],Tbl_Q17_sampling36[[#Headers],[Chloride]],Tbl_Responses[7 - How many cores per paddock],$DJ51,Tbl_Responses[[Resp_Group]:[Resp_Group]],Grower)+COUNTIFS(Tbl_Responses[8 - Type of test],Tbl_Q17_sampling36[[#Headers],[Chloride]],Tbl_Responses[8 - How many cores per paddock],$DJ51,Tbl_Responses[[Resp_Group]:[Resp_Group]],Grower))/(COUNTIFS(Tbl_Responses[1 - Type of test],Tbl_Q17_sampling36[[#Headers],[Chloride]],Tbl_Responses[1 - How many cores per paddock],"&gt;""",Tbl_Responses[[Resp_Group]:[Resp_Group]],Grower)+COUNTIFS(Tbl_Responses[2 - Type of test],Tbl_Q17_sampling36[[#Headers],[Chloride]],Tbl_Responses[2 - How many cores per paddock],"&gt;""",Tbl_Responses[[Resp_Group]:[Resp_Group]],Grower)+COUNTIFS(Tbl_Responses[3 - Type of test],Tbl_Q17_sampling36[[#Headers],[Chloride]],Tbl_Responses[3 - How many cores per paddock],"&gt;""",Tbl_Responses[[Resp_Group]:[Resp_Group]],Grower)+COUNTIFS(Tbl_Responses[4 - Type of test],Tbl_Q17_sampling36[[#Headers],[Chloride]],Tbl_Responses[4 - How many cores per paddock],"&gt;""",Tbl_Responses[[Resp_Group]:[Resp_Group]],Grower)+COUNTIFS(Tbl_Responses[5 - Type of test],Tbl_Q17_sampling36[[#Headers],[Chloride]],Tbl_Responses[5 - How many cores per paddock],"&gt;""",Tbl_Responses[[Resp_Group]:[Resp_Group]],Grower)+COUNTIFS(Tbl_Responses[6 - Type of test],Tbl_Q17_sampling36[[#Headers],[Chloride]],Tbl_Responses[6 - How many cores per paddock],"&gt;""",Tbl_Responses[[Resp_Group]:[Resp_Group]],Grower)+COUNTIFS(Tbl_Responses[7 - Type of test],Tbl_Q17_sampling36[[#Headers],[Chloride]],Tbl_Responses[7 - How many cores per paddock],"&gt;""",Tbl_Responses[[Resp_Group]:[Resp_Group]],Grower)+COUNTIFS(Tbl_Responses[8 - Type of test],Tbl_Q17_sampling36[[#Headers],[Chloride]],Tbl_Responses[8 - How many cores per paddock],"&gt;""",Tbl_Responses[[Resp_Group]:[Resp_Group]],Grower))</f>
        <v>0</v>
      </c>
      <c r="DR51" s="62">
        <f>(COUNTIFS(Tbl_Responses[1 - Type of test],Tbl_Q17_sampling36[[#Headers],[Boron]],Tbl_Responses[1 - How many cores per paddock],$DJ51,Tbl_Responses[[Resp_Group]:[Resp_Group]],Grower)+COUNTIFS(Tbl_Responses[2 - Type of test],Tbl_Q17_sampling36[[#Headers],[Boron]],Tbl_Responses[2 - How many cores per paddock],$DJ51,Tbl_Responses[[Resp_Group]:[Resp_Group]],Grower)+COUNTIFS(Tbl_Responses[3 - Type of test],Tbl_Q17_sampling36[[#Headers],[Boron]],Tbl_Responses[3 - How many cores per paddock],$DJ51,Tbl_Responses[[Resp_Group]:[Resp_Group]],Grower)+COUNTIFS(Tbl_Responses[4 - Type of test],Tbl_Q17_sampling36[[#Headers],[Boron]],Tbl_Responses[4 - How many cores per paddock],$DJ51,Tbl_Responses[[Resp_Group]:[Resp_Group]],Grower)+COUNTIFS(Tbl_Responses[5 - Type of test],Tbl_Q17_sampling36[[#Headers],[Boron]],Tbl_Responses[5 - How many cores per paddock],$DJ51,Tbl_Responses[[Resp_Group]:[Resp_Group]],Grower)+COUNTIFS(Tbl_Responses[6 - Type of test],Tbl_Q17_sampling36[[#Headers],[Boron]],Tbl_Responses[6 - How many cores per paddock],$DJ51,Tbl_Responses[[Resp_Group]:[Resp_Group]],Grower)+COUNTIFS(Tbl_Responses[7 - Type of test],Tbl_Q17_sampling36[[#Headers],[Boron]],Tbl_Responses[7 - How many cores per paddock],$DJ51,Tbl_Responses[[Resp_Group]:[Resp_Group]],Grower)+COUNTIFS(Tbl_Responses[8 - Type of test],Tbl_Q17_sampling36[[#Headers],[Boron]],Tbl_Responses[8 - How many cores per paddock],$DJ51,Tbl_Responses[[Resp_Group]:[Resp_Group]],Grower))/(COUNTIFS(Tbl_Responses[1 - Type of test],Tbl_Q17_sampling36[[#Headers],[Boron]],Tbl_Responses[1 - How many cores per paddock],"&gt;""",Tbl_Responses[[Resp_Group]:[Resp_Group]],Grower)+COUNTIFS(Tbl_Responses[2 - Type of test],Tbl_Q17_sampling36[[#Headers],[Boron]],Tbl_Responses[2 - How many cores per paddock],"&gt;""",Tbl_Responses[[Resp_Group]:[Resp_Group]],Grower)+COUNTIFS(Tbl_Responses[3 - Type of test],Tbl_Q17_sampling36[[#Headers],[Boron]],Tbl_Responses[3 - How many cores per paddock],"&gt;""",Tbl_Responses[[Resp_Group]:[Resp_Group]],Grower)+COUNTIFS(Tbl_Responses[4 - Type of test],Tbl_Q17_sampling36[[#Headers],[Boron]],Tbl_Responses[4 - How many cores per paddock],"&gt;""",Tbl_Responses[[Resp_Group]:[Resp_Group]],Grower)+COUNTIFS(Tbl_Responses[5 - Type of test],Tbl_Q17_sampling36[[#Headers],[Boron]],Tbl_Responses[5 - How many cores per paddock],"&gt;""",Tbl_Responses[[Resp_Group]:[Resp_Group]],Grower)+COUNTIFS(Tbl_Responses[6 - Type of test],Tbl_Q17_sampling36[[#Headers],[Boron]],Tbl_Responses[6 - How many cores per paddock],"&gt;""",Tbl_Responses[[Resp_Group]:[Resp_Group]],Grower)+COUNTIFS(Tbl_Responses[7 - Type of test],Tbl_Q17_sampling36[[#Headers],[Boron]],Tbl_Responses[7 - How many cores per paddock],"&gt;""",Tbl_Responses[[Resp_Group]:[Resp_Group]],Grower)+COUNTIFS(Tbl_Responses[8 - Type of test],Tbl_Q17_sampling36[[#Headers],[Boron]],Tbl_Responses[8 - How many cores per paddock],"&gt;""",Tbl_Responses[[Resp_Group]:[Resp_Group]],Grower))</f>
        <v>0.14285714285714285</v>
      </c>
      <c r="DS51" s="62">
        <f>(COUNTIFS(Tbl_Responses[1 - Type of test],Tbl_Q17_sampling36[[#Headers],[Sulfur (KCl40)]],Tbl_Responses[1 - How many cores per paddock],$DJ51,Tbl_Responses[[Resp_Group]:[Resp_Group]],Grower)+COUNTIFS(Tbl_Responses[2 - Type of test],Tbl_Q17_sampling36[[#Headers],[Sulfur (KCl40)]],Tbl_Responses[2 - How many cores per paddock],$DJ51,Tbl_Responses[[Resp_Group]:[Resp_Group]],Grower)+COUNTIFS(Tbl_Responses[3 - Type of test],Tbl_Q17_sampling36[[#Headers],[Sulfur (KCl40)]],Tbl_Responses[3 - How many cores per paddock],$DJ51,Tbl_Responses[[Resp_Group]:[Resp_Group]],Grower)+COUNTIFS(Tbl_Responses[4 - Type of test],Tbl_Q17_sampling36[[#Headers],[Sulfur (KCl40)]],Tbl_Responses[4 - How many cores per paddock],$DJ51,Tbl_Responses[[Resp_Group]:[Resp_Group]],Grower)+COUNTIFS(Tbl_Responses[5 - Type of test],Tbl_Q17_sampling36[[#Headers],[Sulfur (KCl40)]],Tbl_Responses[5 - How many cores per paddock],$DJ51,Tbl_Responses[[Resp_Group]:[Resp_Group]],Grower)+COUNTIFS(Tbl_Responses[6 - Type of test],Tbl_Q17_sampling36[[#Headers],[Sulfur (KCl40)]],Tbl_Responses[6 - How many cores per paddock],$DJ51,Tbl_Responses[[Resp_Group]:[Resp_Group]],Grower)+COUNTIFS(Tbl_Responses[7 - Type of test],Tbl_Q17_sampling36[[#Headers],[Sulfur (KCl40)]],Tbl_Responses[7 - How many cores per paddock],$DJ51,Tbl_Responses[[Resp_Group]:[Resp_Group]],Grower)+COUNTIFS(Tbl_Responses[8 - Type of test],Tbl_Q17_sampling36[[#Headers],[Sulfur (KCl40)]],Tbl_Responses[8 - How many cores per paddock],$DJ51,Tbl_Responses[[Resp_Group]:[Resp_Group]],Grower))/(COUNTIFS(Tbl_Responses[1 - Type of test],Tbl_Q17_sampling36[[#Headers],[Sulfur (KCl40)]],Tbl_Responses[1 - How many cores per paddock],"&gt;""",Tbl_Responses[[Resp_Group]:[Resp_Group]],Grower)+COUNTIFS(Tbl_Responses[2 - Type of test],Tbl_Q17_sampling36[[#Headers],[Sulfur (KCl40)]],Tbl_Responses[2 - How many cores per paddock],"&gt;""",Tbl_Responses[[Resp_Group]:[Resp_Group]],Grower)+COUNTIFS(Tbl_Responses[3 - Type of test],Tbl_Q17_sampling36[[#Headers],[Sulfur (KCl40)]],Tbl_Responses[3 - How many cores per paddock],"&gt;""",Tbl_Responses[[Resp_Group]:[Resp_Group]],Grower)+COUNTIFS(Tbl_Responses[4 - Type of test],Tbl_Q17_sampling36[[#Headers],[Sulfur (KCl40)]],Tbl_Responses[4 - How many cores per paddock],"&gt;""",Tbl_Responses[[Resp_Group]:[Resp_Group]],Grower)+COUNTIFS(Tbl_Responses[5 - Type of test],Tbl_Q17_sampling36[[#Headers],[Sulfur (KCl40)]],Tbl_Responses[5 - How many cores per paddock],"&gt;""",Tbl_Responses[[Resp_Group]:[Resp_Group]],Grower)+COUNTIFS(Tbl_Responses[6 - Type of test],Tbl_Q17_sampling36[[#Headers],[Sulfur (KCl40)]],Tbl_Responses[6 - How many cores per paddock],"&gt;""",Tbl_Responses[[Resp_Group]:[Resp_Group]],Grower)+COUNTIFS(Tbl_Responses[7 - Type of test],Tbl_Q17_sampling36[[#Headers],[Sulfur (KCl40)]],Tbl_Responses[7 - How many cores per paddock],"&gt;""",Tbl_Responses[[Resp_Group]:[Resp_Group]],Grower)+COUNTIFS(Tbl_Responses[8 - Type of test],Tbl_Q17_sampling36[[#Headers],[Sulfur (KCl40)]],Tbl_Responses[8 - How many cores per paddock],"&gt;""",Tbl_Responses[[Resp_Group]:[Resp_Group]],Grower))</f>
        <v>0.125</v>
      </c>
      <c r="DT51" s="62">
        <f>(COUNTIFS(Tbl_Responses[1 - Type of test],Tbl_Q17_sampling36[[#Headers],[Calcium carbonate %]],Tbl_Responses[1 - How many cores per paddock],$DJ51,Tbl_Responses[[Resp_Group]:[Resp_Group]],Grower)+COUNTIFS(Tbl_Responses[2 - Type of test],Tbl_Q17_sampling36[[#Headers],[Calcium carbonate %]],Tbl_Responses[2 - How many cores per paddock],$DJ51,Tbl_Responses[[Resp_Group]:[Resp_Group]],Grower)+COUNTIFS(Tbl_Responses[3 - Type of test],Tbl_Q17_sampling36[[#Headers],[Calcium carbonate %]],Tbl_Responses[3 - How many cores per paddock],$DJ51,Tbl_Responses[[Resp_Group]:[Resp_Group]],Grower)+COUNTIFS(Tbl_Responses[4 - Type of test],Tbl_Q17_sampling36[[#Headers],[Calcium carbonate %]],Tbl_Responses[4 - How many cores per paddock],$DJ51,Tbl_Responses[[Resp_Group]:[Resp_Group]],Grower)+COUNTIFS(Tbl_Responses[5 - Type of test],Tbl_Q17_sampling36[[#Headers],[Calcium carbonate %]],Tbl_Responses[5 - How many cores per paddock],$DJ51,Tbl_Responses[[Resp_Group]:[Resp_Group]],Grower)+COUNTIFS(Tbl_Responses[6 - Type of test],Tbl_Q17_sampling36[[#Headers],[Calcium carbonate %]],Tbl_Responses[6 - How many cores per paddock],$DJ51,Tbl_Responses[[Resp_Group]:[Resp_Group]],Grower)+COUNTIFS(Tbl_Responses[7 - Type of test],Tbl_Q17_sampling36[[#Headers],[Calcium carbonate %]],Tbl_Responses[7 - How many cores per paddock],$DJ51,Tbl_Responses[[Resp_Group]:[Resp_Group]],Grower)+COUNTIFS(Tbl_Responses[8 - Type of test],Tbl_Q17_sampling36[[#Headers],[Calcium carbonate %]],Tbl_Responses[8 - How many cores per paddock],$DJ51,Tbl_Responses[[Resp_Group]:[Resp_Group]],Grower))/(COUNTIFS(Tbl_Responses[1 - Type of test],Tbl_Q17_sampling36[[#Headers],[Calcium carbonate %]],Tbl_Responses[1 - How many cores per paddock],"&gt;""",Tbl_Responses[[Resp_Group]:[Resp_Group]],Grower)+COUNTIFS(Tbl_Responses[2 - Type of test],Tbl_Q17_sampling36[[#Headers],[Calcium carbonate %]],Tbl_Responses[2 - How many cores per paddock],"&gt;""",Tbl_Responses[[Resp_Group]:[Resp_Group]],Grower)+COUNTIFS(Tbl_Responses[3 - Type of test],Tbl_Q17_sampling36[[#Headers],[Calcium carbonate %]],Tbl_Responses[3 - How many cores per paddock],"&gt;""",Tbl_Responses[[Resp_Group]:[Resp_Group]],Grower)+COUNTIFS(Tbl_Responses[4 - Type of test],Tbl_Q17_sampling36[[#Headers],[Calcium carbonate %]],Tbl_Responses[4 - How many cores per paddock],"&gt;""",Tbl_Responses[[Resp_Group]:[Resp_Group]],Grower)+COUNTIFS(Tbl_Responses[5 - Type of test],Tbl_Q17_sampling36[[#Headers],[Calcium carbonate %]],Tbl_Responses[5 - How many cores per paddock],"&gt;""",Tbl_Responses[[Resp_Group]:[Resp_Group]],Grower)+COUNTIFS(Tbl_Responses[6 - Type of test],Tbl_Q17_sampling36[[#Headers],[Calcium carbonate %]],Tbl_Responses[6 - How many cores per paddock],"&gt;""",Tbl_Responses[[Resp_Group]:[Resp_Group]],Grower)+COUNTIFS(Tbl_Responses[7 - Type of test],Tbl_Q17_sampling36[[#Headers],[Calcium carbonate %]],Tbl_Responses[7 - How many cores per paddock],"&gt;""",Tbl_Responses[[Resp_Group]:[Resp_Group]],Grower)+COUNTIFS(Tbl_Responses[8 - Type of test],Tbl_Q17_sampling36[[#Headers],[Calcium carbonate %]],Tbl_Responses[8 - How many cores per paddock],"&gt;""",Tbl_Responses[[Resp_Group]:[Resp_Group]],Grower))</f>
        <v>0.33333333333333331</v>
      </c>
      <c r="DU51" s="62">
        <f>(COUNTIFS(Tbl_Responses[1 - Type of test],Tbl_Q17_sampling36[[#Headers],[Sulfur (MCP)]],Tbl_Responses[1 - How many cores per paddock],$DJ51,Tbl_Responses[[Resp_Group]:[Resp_Group]],Grower)+COUNTIFS(Tbl_Responses[2 - Type of test],Tbl_Q17_sampling36[[#Headers],[Sulfur (MCP)]],Tbl_Responses[2 - How many cores per paddock],$DJ51,Tbl_Responses[[Resp_Group]:[Resp_Group]],Grower)+COUNTIFS(Tbl_Responses[3 - Type of test],Tbl_Q17_sampling36[[#Headers],[Sulfur (MCP)]],Tbl_Responses[3 - How many cores per paddock],$DJ51,Tbl_Responses[[Resp_Group]:[Resp_Group]],Grower)+COUNTIFS(Tbl_Responses[4 - Type of test],Tbl_Q17_sampling36[[#Headers],[Sulfur (MCP)]],Tbl_Responses[4 - How many cores per paddock],$DJ51,Tbl_Responses[[Resp_Group]:[Resp_Group]],Grower)+COUNTIFS(Tbl_Responses[5 - Type of test],Tbl_Q17_sampling36[[#Headers],[Sulfur (MCP)]],Tbl_Responses[5 - How many cores per paddock],$DJ51,Tbl_Responses[[Resp_Group]:[Resp_Group]],Grower)+COUNTIFS(Tbl_Responses[6 - Type of test],Tbl_Q17_sampling36[[#Headers],[Sulfur (MCP)]],Tbl_Responses[6 - How many cores per paddock],$DJ51,Tbl_Responses[[Resp_Group]:[Resp_Group]],Grower)+COUNTIFS(Tbl_Responses[7 - Type of test],Tbl_Q17_sampling36[[#Headers],[Sulfur (MCP)]],Tbl_Responses[7 - How many cores per paddock],$DJ51,Tbl_Responses[[Resp_Group]:[Resp_Group]],Grower)+COUNTIFS(Tbl_Responses[8 - Type of test],Tbl_Q17_sampling36[[#Headers],[Sulfur (MCP)]],Tbl_Responses[8 - How many cores per paddock],$DJ51,Tbl_Responses[[Resp_Group]:[Resp_Group]],Grower))/(COUNTIFS(Tbl_Responses[1 - Type of test],Tbl_Q17_sampling36[[#Headers],[Sulfur (MCP)]],Tbl_Responses[1 - How many cores per paddock],"&gt;""",Tbl_Responses[[Resp_Group]:[Resp_Group]],Grower)+COUNTIFS(Tbl_Responses[2 - Type of test],Tbl_Q17_sampling36[[#Headers],[Sulfur (MCP)]],Tbl_Responses[2 - How many cores per paddock],"&gt;""",Tbl_Responses[[Resp_Group]:[Resp_Group]],Grower)+COUNTIFS(Tbl_Responses[3 - Type of test],Tbl_Q17_sampling36[[#Headers],[Sulfur (MCP)]],Tbl_Responses[3 - How many cores per paddock],"&gt;""",Tbl_Responses[[Resp_Group]:[Resp_Group]],Grower)+COUNTIFS(Tbl_Responses[4 - Type of test],Tbl_Q17_sampling36[[#Headers],[Sulfur (MCP)]],Tbl_Responses[4 - How many cores per paddock],"&gt;""",Tbl_Responses[[Resp_Group]:[Resp_Group]],Grower)+COUNTIFS(Tbl_Responses[5 - Type of test],Tbl_Q17_sampling36[[#Headers],[Sulfur (MCP)]],Tbl_Responses[5 - How many cores per paddock],"&gt;""",Tbl_Responses[[Resp_Group]:[Resp_Group]],Grower)+COUNTIFS(Tbl_Responses[6 - Type of test],Tbl_Q17_sampling36[[#Headers],[Sulfur (MCP)]],Tbl_Responses[6 - How many cores per paddock],"&gt;""",Tbl_Responses[[Resp_Group]:[Resp_Group]],Grower)+COUNTIFS(Tbl_Responses[7 - Type of test],Tbl_Q17_sampling36[[#Headers],[Sulfur (MCP)]],Tbl_Responses[7 - How many cores per paddock],"&gt;""",Tbl_Responses[[Resp_Group]:[Resp_Group]],Grower)+COUNTIFS(Tbl_Responses[8 - Type of test],Tbl_Q17_sampling36[[#Headers],[Sulfur (MCP)]],Tbl_Responses[8 - How many cores per paddock],"&gt;""",Tbl_Responses[[Resp_Group]:[Resp_Group]],Grower))</f>
        <v>0</v>
      </c>
      <c r="DV51" s="82">
        <f>(COUNTIFS(Tbl_Responses[1 - How many cores per paddock],$DJ51,Tbl_Responses[[Resp_Group]:[Resp_Group]],Grower)+COUNTIFS(Tbl_Responses[2 - How many cores per paddock],$DJ51,Tbl_Responses[[Resp_Group]:[Resp_Group]],Grower)+COUNTIFS(Tbl_Responses[3 - How many cores per paddock],$DJ51,Tbl_Responses[[Resp_Group]:[Resp_Group]],Grower)+COUNTIFS(Tbl_Responses[4 - How many cores per paddock],$DJ51,Tbl_Responses[[Resp_Group]:[Resp_Group]],Grower)+COUNTIFS(Tbl_Responses[5 - How many cores per paddock],$DJ51,Tbl_Responses[[Resp_Group]:[Resp_Group]],Grower)+COUNTIFS(Tbl_Responses[6 - How many cores per paddock],$DJ51,Tbl_Responses[[Resp_Group]:[Resp_Group]],Grower)+COUNTIFS(Tbl_Responses[7 - How many cores per paddock],$DJ51,Tbl_Responses[[Resp_Group]:[Resp_Group]],Grower))/(COUNTIFS(Tbl_Responses[1 - How many cores per paddock],"&gt;""",Tbl_Responses[[Resp_Group]:[Resp_Group]],Grower)+COUNTIFS(Tbl_Responses[2 - How many cores per paddock],"&gt;""",Tbl_Responses[[Resp_Group]:[Resp_Group]],Grower)+COUNTIFS(Tbl_Responses[3 - How many cores per paddock],"&gt;""",Tbl_Responses[[Resp_Group]:[Resp_Group]],Grower)+COUNTIFS(Tbl_Responses[4 - How many cores per paddock],"&gt;""",Tbl_Responses[[Resp_Group]:[Resp_Group]],Grower)+COUNTIFS(Tbl_Responses[5 - How many cores per paddock],"&gt;""",Tbl_Responses[[Resp_Group]:[Resp_Group]],Grower)+COUNTIFS(Tbl_Responses[6 - How many cores per paddock],"&gt;""",Tbl_Responses[[Resp_Group]:[Resp_Group]],Grower)+COUNTIFS(Tbl_Responses[7 - How many cores per paddock],"&gt;""",Tbl_Responses[[Resp_Group]:[Resp_Group]],Grower))</f>
        <v>0.1044776119402985</v>
      </c>
      <c r="EC51" t="s">
        <v>113</v>
      </c>
      <c r="ED51" s="3">
        <f>COUNTIFS(Tbl_Responses[The difficulty in being able to represent the variability in a paddock],$EC51,Tbl_Responses[[Resp_Group]:[Resp_Group]],Grower)</f>
        <v>5</v>
      </c>
      <c r="EE51" s="4">
        <f>Tbl_1944[[#This Row],[No. Responses]]/SUM(Tbl_1944[No. Responses])</f>
        <v>5.7471264367816091E-2</v>
      </c>
      <c r="EH51" t="s">
        <v>113</v>
      </c>
      <c r="EI51" s="3">
        <f>COUNTIFS(Tbl_Responses[The difficulty in being able to represent the variability in a paddockP],$EC51,Tbl_Responses[[Resp_Group]:[Resp_Group]],Grower)</f>
        <v>8</v>
      </c>
      <c r="EJ51" s="4">
        <f>Tbl_Q2045[[#This Row],[No. Responses]]/SUM(Tbl_Q2045[No. Responses])</f>
        <v>8.3333333333333329E-2</v>
      </c>
      <c r="EM51" t="s">
        <v>1415</v>
      </c>
      <c r="EN51" s="85">
        <f>COUNTIFS(Tbl_Responses[[The use of soil testing on my farm increases my profitability (Grower only Q)]:[The use of soil testing on my farm increases my profitability (Grower only Q)]],Tbl_Q2146[[#Headers],[Disagree]],Tbl_Responses[[Resp_Group]:[Resp_Group]],Grower)</f>
        <v>1</v>
      </c>
      <c r="EO51" s="85">
        <f>COUNTIFS(Tbl_Responses[[The use of soil testing on my farm increases my profitability (Grower only Q)]:[The use of soil testing on my farm increases my profitability (Grower only Q)]],Tbl_Q2146[[#Headers],[Neutral]],Tbl_Responses[[Resp_Group]:[Resp_Group]],Grower)</f>
        <v>6</v>
      </c>
      <c r="EP51" s="85">
        <f>COUNTIFS(Tbl_Responses[[The use of soil testing on my farm increases my profitability (Grower only Q)]:[The use of soil testing on my farm increases my profitability (Grower only Q)]],Tbl_Q2146[[#Headers],[Agree]],Tbl_Responses[[Resp_Group]:[Resp_Group]],Grower)</f>
        <v>34</v>
      </c>
      <c r="EQ51" s="85">
        <f>COUNTIFS(Tbl_Responses[[The use of soil testing on my farm increases my profitability (Grower only Q)]:[The use of soil testing on my farm increases my profitability (Grower only Q)]],Tbl_Q2146[[#Headers],[Strongly Agree]],Tbl_Responses[[Resp_Group]:[Resp_Group]],Grower)</f>
        <v>4</v>
      </c>
      <c r="ET51" t="s">
        <v>1451</v>
      </c>
      <c r="EU51" s="3">
        <f>COUNTIFS(Tbl_Responses[Soil testing annual spend],$ET51,Tbl_Responses[[Resp_Group]:[Resp_Group]],Agronomist)</f>
        <v>0</v>
      </c>
      <c r="EV51" s="4">
        <f>Tbl_Q2248[[#This Row],[No. Respondants]]/SUM(Tbl_Q2248[No. Respondants])</f>
        <v>0</v>
      </c>
      <c r="EY51" t="s">
        <v>326</v>
      </c>
      <c r="EZ51" s="3">
        <f>COUNTIFS(Tbl_Responses[5 year change in testing],$EY51,Tbl_Responses[[Resp_Group]:[Resp_Group]],Grower)</f>
        <v>1</v>
      </c>
      <c r="FA51" s="4">
        <f>Tbl_Q2350[[#This Row],[No. Respondants]]/SUM(Tbl_Q2350[No. Respondants])</f>
        <v>1.8518518518518517E-2</v>
      </c>
      <c r="FD51" t="s">
        <v>433</v>
      </c>
      <c r="FE51" s="3">
        <f>COUNTIFS(Tbl_Responses[5 year future testing plan],$FD51,Tbl_Responses[[Resp_Group]:[Resp_Group]],Grower)</f>
        <v>3</v>
      </c>
      <c r="FF51" s="4">
        <f>Tbl_Q2452[[#This Row],[No. Respondants]]/SUM(Tbl_Q2452[No. Respondants])</f>
        <v>5.6603773584905662E-2</v>
      </c>
      <c r="FN51" s="87" t="s">
        <v>113</v>
      </c>
      <c r="FO51" s="3">
        <f>COUNTIFS(Tbl_Responses[The difficulty in being able to represent the variability in a paddock_Plant],$FN51,Tbl_Responses[[Resp_Group]:[Resp_Group]],Grower)</f>
        <v>5</v>
      </c>
      <c r="FP51" s="4">
        <f>Tbl_Q2655[[#This Row],[No. Respondants]]/SUM(Tbl_Q2655[No. Respondants])</f>
        <v>0.1</v>
      </c>
      <c r="FS51" s="87" t="s">
        <v>2392</v>
      </c>
      <c r="FT51" s="88">
        <f>COUNTIFS(Tbl_Responses[[The use of plant testing on my farm increases my profitability(Grower Only Q)]:[The use of plant testing on my farm increases my profitability(Grower Only Q)]],Tbl_Q2758[[#Headers],[Disagree]],Tbl_Responses[[Resp_Group]:[Resp_Group]],Grower)</f>
        <v>0</v>
      </c>
      <c r="FU51" s="88">
        <f>COUNTIFS(Tbl_Responses[[The use of plant testing on my farm increases my profitability(Grower Only Q)]:[The use of plant testing on my farm increases my profitability(Grower Only Q)]],Tbl_Q2758[[#Headers],[Neutral]],Tbl_Responses[[Resp_Group]:[Resp_Group]],Grower)</f>
        <v>13</v>
      </c>
      <c r="FV51" s="88">
        <f>COUNTIFS(Tbl_Responses[[The use of plant testing on my farm increases my profitability(Grower Only Q)]:[The use of plant testing on my farm increases my profitability(Grower Only Q)]],Tbl_Q2758[[#Headers],[Agree]],Tbl_Responses[[Resp_Group]:[Resp_Group]],Grower)</f>
        <v>10</v>
      </c>
      <c r="FW51" s="88">
        <f>COUNTIFS(Tbl_Responses[[The use of plant testing on my farm increases my profitability(Grower Only Q)]:[The use of plant testing on my farm increases my profitability(Grower Only Q)]],Tbl_Q2758[[#Headers],[Strongly Agree]],Tbl_Responses[[Resp_Group]:[Resp_Group]],Grower)</f>
        <v>0</v>
      </c>
      <c r="FZ51" t="s">
        <v>1451</v>
      </c>
      <c r="GA51" s="3">
        <f>COUNTIFS(Tbl_Responses[Average annual spend - Plant testing],$FZ51,Tbl_Responses[[Resp_Group]:[Resp_Group]],Grower)</f>
        <v>0</v>
      </c>
      <c r="GB51" s="4">
        <f>Tbl_Q2860[[#This Row],[No. Respondants]]/SUM(Tbl_Q2860[No. Respondants])</f>
        <v>0</v>
      </c>
      <c r="GE51" t="s">
        <v>326</v>
      </c>
      <c r="GF51" s="3">
        <f>COUNTIFS(Tbl_Responses[5 years ago_Plant],$GE51,Tbl_Responses[[Resp_Group]:[Resp_Group]],Grower)</f>
        <v>0</v>
      </c>
      <c r="GG51" s="4">
        <f>Tbl_Q236163[[#This Row],[No. Respondants]]/SUM(Tbl_Q236163[No. Respondants])</f>
        <v>0</v>
      </c>
      <c r="GJ51" t="s">
        <v>433</v>
      </c>
      <c r="GK51" s="3">
        <f>COUNTIFS(Tbl_Responses[5 years'' time_Plant],$GJ51,Tbl_Responses[[Resp_Group]:[Resp_Group]],Grower)</f>
        <v>2</v>
      </c>
      <c r="GL51" s="4">
        <f>Tbl_Q246264[[#This Row],[No. Respondants]]/SUM(Tbl_Q246264[No. Respondants])</f>
        <v>7.1428571428571425E-2</v>
      </c>
      <c r="GO51" t="s">
        <v>113</v>
      </c>
      <c r="GP51" s="3">
        <f>COUNTIFS(Tbl_Responses[The difficulty in being able to represent the variability in a paddock_PL],$GO51,Tbl_Responses[[Resp_Group]:[Resp_Group]],Grower)</f>
        <v>1</v>
      </c>
      <c r="GQ51" s="4">
        <f>Tbl_196567[[#This Row],[No. Responses]]/SUM(Tbl_196567[No. Responses])</f>
        <v>0.14285714285714285</v>
      </c>
      <c r="GT51" t="s">
        <v>113</v>
      </c>
      <c r="GU51" s="3">
        <f>COUNTIFS(Tbl_Responses[The difficulty in being able to represent the variability in a paddock_PLP],$GT51,Tbl_Responses[[Resp_Group]:[Resp_Group]],Grower)</f>
        <v>1</v>
      </c>
      <c r="GV51" s="4">
        <f>Tbl_19656668[[#This Row],[No. Responses]]/SUM(Tbl_19656668[No. Responses])</f>
        <v>0.25</v>
      </c>
      <c r="HA51" s="87" t="s">
        <v>153</v>
      </c>
      <c r="HB51" s="3">
        <f>COUNTIFS(Tbl_Responses[Merchandise companies],$HA51,Tbl_Responses[[Resp_Group]:[Resp_Group]],Grower)</f>
        <v>1</v>
      </c>
      <c r="HC51" s="4">
        <f>Tbl_infoSources70[[#This Row],[No. Responses]]/SUM(Tbl_infoSources70[No. Responses])</f>
        <v>3.472222222222222E-3</v>
      </c>
    </row>
    <row r="52" spans="1:211" x14ac:dyDescent="0.25">
      <c r="A52" t="s">
        <v>948</v>
      </c>
      <c r="B52" s="3">
        <f>COUNTIFS(Tbl_Responses[Q1: region],Results!$A52,Tbl_Responses[Resp_Group],Grower)</f>
        <v>7</v>
      </c>
      <c r="C52" s="4">
        <f>B52/SUM(Tbl_Q19[Respondants])</f>
        <v>7.0707070707070704E-2</v>
      </c>
      <c r="D52" s="7">
        <f>AVERAGEIFS(Tbl_Responses[Q2: Cropped Area],Tbl_Responses[Q1: region],Tbl_Q19[[#This Row],[Region]],Tbl_Responses[[Resp_Group]:[Resp_Group]],Grower)</f>
        <v>4528.5714285714284</v>
      </c>
      <c r="F52">
        <v>20001</v>
      </c>
      <c r="G52">
        <v>30000</v>
      </c>
      <c r="H52" t="str">
        <f t="shared" si="2"/>
        <v>20001-30000</v>
      </c>
      <c r="I52" s="3">
        <f>COUNTIFS(Tbl_Responses[Q2: Cropped Area],"&gt;"&amp;F52,Tbl_Responses[Q2: Cropped Area],"&lt;="&amp;G52,Tbl_Responses[Resp_Group],Grower)</f>
        <v>0</v>
      </c>
      <c r="J52" s="4">
        <f>I52/SUM(Tbl_Q210[Number])</f>
        <v>0</v>
      </c>
      <c r="M52" t="s">
        <v>39</v>
      </c>
      <c r="N52" s="4">
        <f>AVERAGEIF(Tbl_Responses[Resp_Group],Grower,Tbl_Responses[Hay])/100</f>
        <v>4.8585858585858593E-2</v>
      </c>
      <c r="O52" s="6">
        <f>SUMPRODUCT(--(Group="Grower"),Tbl_Responses[Q2: Cropped Area],Tbl_Responses[Hay])/100</f>
        <v>20061.759999999998</v>
      </c>
      <c r="P52" s="4">
        <f t="shared" si="3"/>
        <v>1.7271512596939265E-2</v>
      </c>
      <c r="S52" t="s">
        <v>279</v>
      </c>
      <c r="T52" s="4">
        <f>COUNTIFS(Tbl_Responses[[Variable Costs]:[Variable Costs]],T$3,Tbl_Responses[[Q1: region]:[Q1: region]],$S52,Tbl_Responses[[Resp_Group]:[Resp_Group]],Grower)/COUNTIFS(Tbl_Responses[[Q1: region]:[Q1: region]],$S52,Tbl_Responses[[Resp_Group]:[Resp_Group]],Grower)</f>
        <v>0</v>
      </c>
      <c r="U52" s="4">
        <f>COUNTIFS(Tbl_Responses[[Variable Costs]:[Variable Costs]],U$3,Tbl_Responses[[Q1: region]:[Q1: region]],$S52,Tbl_Responses[[Resp_Group]:[Resp_Group]],Grower)/COUNTIFS(Tbl_Responses[[Q1: region]:[Q1: region]],$S52,Tbl_Responses[[Resp_Group]:[Resp_Group]],Grower)</f>
        <v>0</v>
      </c>
      <c r="V52" s="4">
        <f>COUNTIFS(Tbl_Responses[[Variable Costs]:[Variable Costs]],V$3,Tbl_Responses[[Q1: region]:[Q1: region]],$S52,Tbl_Responses[[Resp_Group]:[Resp_Group]],Grower)/COUNTIFS(Tbl_Responses[[Q1: region]:[Q1: region]],$S52,Tbl_Responses[[Resp_Group]:[Resp_Group]],Grower)</f>
        <v>0</v>
      </c>
      <c r="W52" s="4">
        <f>COUNTIFS(Tbl_Responses[[Variable Costs]:[Variable Costs]],W$3,Tbl_Responses[[Q1: region]:[Q1: region]],$S52,Tbl_Responses[[Resp_Group]:[Resp_Group]],Grower)/COUNTIFS(Tbl_Responses[[Q1: region]:[Q1: region]],$S52,Tbl_Responses[[Resp_Group]:[Resp_Group]],Grower)</f>
        <v>0</v>
      </c>
      <c r="X52" s="4">
        <f>COUNTIFS(Tbl_Responses[[Variable Costs]:[Variable Costs]],X$3,Tbl_Responses[[Q1: region]:[Q1: region]],$S52,Tbl_Responses[[Resp_Group]:[Resp_Group]],Grower)/COUNTIFS(Tbl_Responses[[Q1: region]:[Q1: region]],$S52,Tbl_Responses[[Resp_Group]:[Resp_Group]],Grower)</f>
        <v>0.25</v>
      </c>
      <c r="Y52" s="4">
        <f>COUNTIFS(Tbl_Responses[[Variable Costs]:[Variable Costs]],Y$3,Tbl_Responses[[Q1: region]:[Q1: region]],$S52,Tbl_Responses[[Resp_Group]:[Resp_Group]],Grower)/COUNTIFS(Tbl_Responses[[Q1: region]:[Q1: region]],$S52,Tbl_Responses[[Resp_Group]:[Resp_Group]],Grower)</f>
        <v>0</v>
      </c>
      <c r="Z52" s="4">
        <f>COUNTIFS(Tbl_Responses[[Variable Costs]:[Variable Costs]],Z$3,Tbl_Responses[[Q1: region]:[Q1: region]],$S52,Tbl_Responses[[Resp_Group]:[Resp_Group]],Grower)/COUNTIFS(Tbl_Responses[[Q1: region]:[Q1: region]],$S52,Tbl_Responses[[Resp_Group]:[Resp_Group]],Grower)</f>
        <v>0</v>
      </c>
      <c r="AA52" s="4">
        <f>COUNTIFS(Tbl_Responses[[Variable Costs]:[Variable Costs]],AA$3,Tbl_Responses[[Q1: region]:[Q1: region]],$S52,Tbl_Responses[[Resp_Group]:[Resp_Group]],Grower)/COUNTIFS(Tbl_Responses[[Q1: region]:[Q1: region]],$S52,Tbl_Responses[[Resp_Group]:[Resp_Group]],Grower)</f>
        <v>0</v>
      </c>
      <c r="AB52" s="4">
        <f>COUNTIFS(Tbl_Responses[[Variable Costs]:[Variable Costs]],AB$3,Tbl_Responses[[Q1: region]:[Q1: region]],$S52,Tbl_Responses[[Resp_Group]:[Resp_Group]],Grower)/COUNTIFS(Tbl_Responses[[Q1: region]:[Q1: region]],$S52,Tbl_Responses[[Resp_Group]:[Resp_Group]],Grower)</f>
        <v>0</v>
      </c>
      <c r="AG52" t="s">
        <v>279</v>
      </c>
      <c r="AH52" s="4">
        <f>COUNTIFS(Tbl_Responses[[Def_Nutrient_ID]:[Def_Nutrient_ID]],"*N*",Tbl_Responses[[Q1: region]:[Q1: region]],$AG52,Tbl_Responses[[Resp_Group]:[Resp_Group]],Grower)/COUNTIFS(Tbl_Responses[[Def_Nutrient_ID]:[Def_Nutrient_ID]],"&lt;&gt;"&amp;"",Tbl_Responses[[Q1: region]:[Q1: region]],$AG52,Tbl_Responses[[Resp_Group]:[Resp_Group]],Grower)</f>
        <v>0.75</v>
      </c>
      <c r="AI52" s="4">
        <f>COUNTIFS(Tbl_Responses[[Def_Nutrient_ID]:[Def_Nutrient_ID]],"*P*",Tbl_Responses[[Q1: region]:[Q1: region]],$AG52,Tbl_Responses[[Resp_Group]:[Resp_Group]],Grower)/COUNTIFS(Tbl_Responses[[Def_Nutrient_ID]:[Def_Nutrient_ID]],"&lt;&gt;"&amp;"",Tbl_Responses[[Q1: region]:[Q1: region]],$AG52,Tbl_Responses[[Resp_Group]:[Resp_Group]],Grower)</f>
        <v>0.25</v>
      </c>
      <c r="AJ52" s="4">
        <f>COUNTIFS(Tbl_Responses[[Def_Nutrient_ID]:[Def_Nutrient_ID]],"*K*",Tbl_Responses[[Q1: region]:[Q1: region]],$AG52,Tbl_Responses[[Resp_Group]:[Resp_Group]],Grower)/COUNTIFS(Tbl_Responses[[Def_Nutrient_ID]:[Def_Nutrient_ID]],"&lt;&gt;"&amp;"",Tbl_Responses[[Q1: region]:[Q1: region]],$AG52,Tbl_Responses[[Resp_Group]:[Resp_Group]],Grower)</f>
        <v>0</v>
      </c>
      <c r="AK52" s="4">
        <f>COUNTIFS(Tbl_Responses[[Def_Nutrient_ID]:[Def_Nutrient_ID]],"*S*",Tbl_Responses[[Q1: region]:[Q1: region]],$AG52,Tbl_Responses[[Resp_Group]:[Resp_Group]],Grower)/COUNTIFS(Tbl_Responses[[Def_Nutrient_ID]:[Def_Nutrient_ID]],"&lt;&gt;"&amp;"",Tbl_Responses[[Q1: region]:[Q1: region]],$AG52,Tbl_Responses[[Resp_Group]:[Resp_Group]],Grower)</f>
        <v>0.5</v>
      </c>
      <c r="AL52" s="4">
        <f>COUNTIFS(Tbl_Responses[[Def_Nutrient_ID]:[Def_Nutrient_ID]],"*Zn*",Tbl_Responses[[Q1: region]:[Q1: region]],$AG52,Tbl_Responses[[Resp_Group]:[Resp_Group]],Grower)/COUNTIFS(Tbl_Responses[[Def_Nutrient_ID]:[Def_Nutrient_ID]],"&lt;&gt;"&amp;"",Tbl_Responses[[Q1: region]:[Q1: region]],$AG52,Tbl_Responses[[Resp_Group]:[Resp_Group]],Grower)</f>
        <v>0.75</v>
      </c>
      <c r="AM52" s="4">
        <f>COUNTIFS(Tbl_Responses[[Def_Nutrient_ID]:[Def_Nutrient_ID]],"*Mn*",Tbl_Responses[[Q1: region]:[Q1: region]],$AG52,Tbl_Responses[[Resp_Group]:[Resp_Group]],Grower)/COUNTIFS(Tbl_Responses[[Def_Nutrient_ID]:[Def_Nutrient_ID]],"&lt;&gt;"&amp;"",Tbl_Responses[[Q1: region]:[Q1: region]],$AG52,Tbl_Responses[[Resp_Group]:[Resp_Group]],Grower)</f>
        <v>0.25</v>
      </c>
      <c r="AN52" s="4">
        <f>COUNTIFS(Tbl_Responses[[Def_Nutrient_ID]:[Def_Nutrient_ID]],"*Mg*",Tbl_Responses[[Q1: region]:[Q1: region]],$AG52,Tbl_Responses[[Resp_Group]:[Resp_Group]],Grower)/COUNTIFS(Tbl_Responses[[Def_Nutrient_ID]:[Def_Nutrient_ID]],"&lt;&gt;"&amp;"",Tbl_Responses[[Q1: region]:[Q1: region]],$AG52,Tbl_Responses[[Resp_Group]:[Resp_Group]],Grower)</f>
        <v>0</v>
      </c>
      <c r="AO52" s="4">
        <f>COUNTIFS(Tbl_Responses[[Def_Nutrient_ID]:[Def_Nutrient_ID]],"*Cu*",Tbl_Responses[[Q1: region]:[Q1: region]],$AG52,Tbl_Responses[[Resp_Group]:[Resp_Group]],Grower)/COUNTIFS(Tbl_Responses[[Def_Nutrient_ID]:[Def_Nutrient_ID]],"&lt;&gt;"&amp;"",Tbl_Responses[[Q1: region]:[Q1: region]],$AG52,Tbl_Responses[[Resp_Group]:[Resp_Group]],Grower)</f>
        <v>0.5</v>
      </c>
      <c r="AP52" s="4">
        <f>COUNTIFS(Tbl_Responses[[Def_Nutrient_ID]:[Def_Nutrient_ID]],"*B*",Tbl_Responses[[Q1: region]:[Q1: region]],$AG52,Tbl_Responses[[Resp_Group]:[Resp_Group]],Grower)/COUNTIFS(Tbl_Responses[[Def_Nutrient_ID]:[Def_Nutrient_ID]],"&lt;&gt;"&amp;"",Tbl_Responses[[Q1: region]:[Q1: region]],$AG52,Tbl_Responses[[Resp_Group]:[Resp_Group]],Grower)</f>
        <v>0</v>
      </c>
      <c r="AQ52" s="4">
        <f>COUNTIFS(Tbl_Responses[[Def_Nutrient_ID]:[Def_Nutrient_ID]],"*Ca*",Tbl_Responses[[Q1: region]:[Q1: region]],$AG52,Tbl_Responses[[Resp_Group]:[Resp_Group]],Grower)/COUNTIFS(Tbl_Responses[[Def_Nutrient_ID]:[Def_Nutrient_ID]],"&lt;&gt;"&amp;"",Tbl_Responses[[Q1: region]:[Q1: region]],$AG52,Tbl_Responses[[Resp_Group]:[Resp_Group]],Grower)</f>
        <v>0</v>
      </c>
      <c r="AR52" s="4">
        <f>COUNTIFS(Tbl_Responses[[Def_Nutrient_ID]:[Def_Nutrient_ID]],"*pH*",Tbl_Responses[[Q1: region]:[Q1: region]],$AG52,Tbl_Responses[[Resp_Group]:[Resp_Group]],Grower)/COUNTIFS(Tbl_Responses[[Def_Nutrient_ID]:[Def_Nutrient_ID]],"&lt;&gt;"&amp;"",Tbl_Responses[[Q1: region]:[Q1: region]],$AG52,Tbl_Responses[[Resp_Group]:[Resp_Group]],Grower)</f>
        <v>0</v>
      </c>
      <c r="AS52" s="4">
        <f>COUNTIFS(Tbl_Responses[[Def_Nutrient_ID]:[Def_Nutrient_ID]],"*T*",Tbl_Responses[[Q1: region]:[Q1: region]],$AG52,Tbl_Responses[[Resp_Group]:[Resp_Group]],Grower)/COUNTIFS(Tbl_Responses[[Def_Nutrient_ID]:[Def_Nutrient_ID]],"&lt;&gt;"&amp;"",Tbl_Responses[[Q1: region]:[Q1: region]],$AG52,Tbl_Responses[[Resp_Group]:[Resp_Group]],Grower)</f>
        <v>0.25</v>
      </c>
      <c r="AV52" t="s">
        <v>279</v>
      </c>
      <c r="AW52" s="4">
        <f>COUNTIFS(Tbl_Responses[[Q6: Do you do/recommend soil and/or plant testing?]:[Q6: Do you do/recommend soil and/or plant testing?]],"Yes",Tbl_Responses[[Q1: region]:[Q1: region]],$AV52,Tbl_Responses[[Resp_Group]:[Resp_Group]],Grower)/COUNTIFS(Tbl_Responses[[Q6: Do you do/recommend soil and/or plant testing?]:[Q6: Do you do/recommend soil and/or plant testing?]],"&lt;&gt;"&amp;"",Tbl_Responses[[Q1: region]:[Q1: region]],$AV52,Tbl_Responses[[Resp_Group]:[Resp_Group]],Grower)</f>
        <v>0.75</v>
      </c>
      <c r="AX52" s="4">
        <f>COUNTIFS(Tbl_Responses[[Q6: Do you do/recommend soil and/or plant testing?]:[Q6: Do you do/recommend soil and/or plant testing?]],"No",Tbl_Responses[[Q1: region]:[Q1: region]],$AV52,Tbl_Responses[[Resp_Group]:[Resp_Group]],Grower)/COUNTIFS(Tbl_Responses[[Q6: Do you do/recommend soil and/or plant testing?]:[Q6: Do you do/recommend soil and/or plant testing?]],"&lt;&gt;"&amp;"",Tbl_Responses[[Q1: region]:[Q1: region]],$AV52,Tbl_Responses[[Resp_Group]:[Resp_Group]],Grower)</f>
        <v>0.25</v>
      </c>
      <c r="AY52" s="3">
        <f>COUNTIFS(Tbl_Responses[[Q6: Do you do/recommend soil and/or plant testing?]:[Q6: Do you do/recommend soil and/or plant testing?]],"&gt;""",Tbl_Responses[[Q1: region]:[Q1: region]],$AV8,Tbl_Responses[[Resp_Group]:[Resp_Group]],Grower)</f>
        <v>4</v>
      </c>
      <c r="BA52" s="47"/>
      <c r="BB52" s="48">
        <f>COUNTIFS(Tbl_Responses[Q7: Who makes the nurtient decisions on your farm (grower only)],$BA52,Tbl_Responses[[Resp_Group]:[Resp_Group]],Grower)</f>
        <v>0</v>
      </c>
      <c r="BC52" s="53">
        <f>COUNTIFS(Tbl_Responses[Q7: Who makes the nurtient decisions on your farm (grower only)],$BA52,Tbl_Responses[[Resp_Group]:[Resp_Group]],Grower)/COUNTIFS(Tbl_Responses[Q7: Who makes the nurtient decisions on your farm (grower only)],"&gt;""",Tbl_Responses[[Resp_Group]:[Resp_Group]],Grower)</f>
        <v>0</v>
      </c>
      <c r="BD52" s="48" t="s">
        <v>167</v>
      </c>
      <c r="BE52" s="48">
        <f>COUNTIFS(Tbl_Responses[Response6],$BD52,Tbl_Responses[[Resp_Group]:[Resp_Group]],Grower)</f>
        <v>5</v>
      </c>
      <c r="BF52" s="48">
        <f>COUNTIFS(Tbl_Responses[Response7],$BD52,Tbl_Responses[[Resp_Group]:[Resp_Group]],Grower)</f>
        <v>12</v>
      </c>
      <c r="BH52" t="s">
        <v>412</v>
      </c>
      <c r="BI52" s="3">
        <f>COUNTIFS(Tbl_Responses[Source_1_ID],$BH52,Tbl_Responses[[Resp_Group]:[Resp_Group]],Grower)+COUNTIFS(Tbl_Responses[Source_2_ID],$BH52,Tbl_Responses[[Resp_Group]:[Resp_Group]],Grower)+COUNTIFS(Tbl_Responses[Source_3_ID],$BH52,Tbl_Responses[[Resp_Group]:[Resp_Group]],Grower)</f>
        <v>0</v>
      </c>
      <c r="BJ52" s="4">
        <f>Tbl_Q1120[[#This Row],[Q11 Response]]/SUM(Tbl_Q1120[Q11 Response])</f>
        <v>0</v>
      </c>
      <c r="BQ52" s="38" t="s">
        <v>245</v>
      </c>
      <c r="BR52" s="4">
        <f>COUNTIFS(Tbl_Responses[What % of your clients soil tested in 2018?],$BQ52,Tbl_Responses[[Resp_Group]:[Resp_Group]],Grower)/COUNTIFS(Tbl_Responses[What % of your clients soil tested in 2018?],"&gt;""",Tbl_Responses[[Resp_Group]:[Resp_Group]],Grower)</f>
        <v>0.12</v>
      </c>
      <c r="BS52" s="4">
        <f>COUNTIFS(Tbl_Responses[What % of your clients tested for N in 2018?],$BQ52,Tbl_Responses[[Resp_Group]:[Resp_Group]],Grower)/COUNTIFS(Tbl_Responses[What % of your clients tested for N in 2018?],"&gt;""",Tbl_Responses[[Resp_Group]:[Resp_Group]],Grower)</f>
        <v>0.12244897959183673</v>
      </c>
      <c r="BT52" s="4">
        <f>COUNTIFS(Tbl_Responses[What % of your clients tested for N to at least 60cm in 2018?],$BQ52,Tbl_Responses[[Resp_Group]:[Resp_Group]],Grower)/COUNTIFS(Tbl_Responses[What % of your clients tested for N to at least 60cm in 2018?],"&gt;""",Tbl_Responses[[Resp_Group]:[Resp_Group]],Grower)</f>
        <v>0.14285714285714285</v>
      </c>
      <c r="BU52" s="4">
        <f>COUNTIFS(Tbl_Responses[What % of your clients tested for P in 2018?],$BQ52,Tbl_Responses[[Resp_Group]:[Resp_Group]],Grower)/COUNTIFS(Tbl_Responses[What % of your clients tested for P in 2018?],"&gt;""",Tbl_Responses[[Resp_Group]:[Resp_Group]],Grower)</f>
        <v>0.14583333333333334</v>
      </c>
      <c r="CB52" s="47" t="s">
        <v>592</v>
      </c>
      <c r="CC52" s="64">
        <f>(COUNTIFS(Tbl_Responses[Nitrogen 1 - Type of test],Tbl_14_sampling33[[#Headers],[Organic Carbon]],Tbl_Responses[Nitrogen 1 - How many representative samples per paddock],$CB52,Tbl_Responses[[Resp_Group]:[Resp_Group]],Grower)+COUNTIFS(Tbl_Responses[Nitrogen 2 - Type of test],Tbl_14_sampling33[[#Headers],[Organic Carbon]],Tbl_Responses[Nitrogen 2 - How many representative samples per paddock],$CB52,Tbl_Responses[[Resp_Group]:[Resp_Group]],Grower)+COUNTIFS(Tbl_Responses[Nitrogen 3 - Type of test],Tbl_14_sampling33[[#Headers],[Organic Carbon]],Tbl_Responses[Nitrogen 3 - How many representative samples per paddock],$CB52,Tbl_Responses[[Resp_Group]:[Resp_Group]],Grower))/(COUNTIFS(Tbl_Responses[Nitrogen 1 - Type of test],Tbl_14_sampling33[[#Headers],[Organic Carbon]],Tbl_Responses[Nitrogen 1 - How many representative samples per paddock],"&gt;""",Tbl_Responses[[Resp_Group]:[Resp_Group]],Grower)+COUNTIFS(Tbl_Responses[Nitrogen 2 - Type of test],Tbl_14_sampling33[[#Headers],[Organic Carbon]],Tbl_Responses[Nitrogen 2 - How many representative samples per paddock],"&gt;""",Tbl_Responses[[Resp_Group]:[Resp_Group]],Grower)+COUNTIFS(Tbl_Responses[Nitrogen 3 - Type of test],Tbl_14_sampling33[[#Headers],[Organic Carbon]],Tbl_Responses[Nitrogen 3 - How many representative samples per paddock],"&gt;""",Tbl_Responses[[Resp_Group]:[Resp_Group]],Grower))</f>
        <v>0</v>
      </c>
      <c r="CD52" s="64">
        <f>(COUNTIFS(Tbl_Responses[Nitrogen 1 - Type of test],Tbl_14_sampling33[[#Headers],[Mineral N (Nitrate/Ammonium)]],Tbl_Responses[Nitrogen 1 - How many representative samples per paddock],$CB52,Tbl_Responses[[Resp_Group]:[Resp_Group]],Grower)+COUNTIFS(Tbl_Responses[Nitrogen 2 - Type of test],Tbl_14_sampling33[[#Headers],[Mineral N (Nitrate/Ammonium)]],Tbl_Responses[Nitrogen 2 - How many representative samples per paddock],$CB52,Tbl_Responses[[Resp_Group]:[Resp_Group]],Grower)+COUNTIFS(Tbl_Responses[Nitrogen 3 - Type of test],Tbl_14_sampling33[[#Headers],[Mineral N (Nitrate/Ammonium)]],Tbl_Responses[Nitrogen 3 - How many representative samples per paddock],$CB52,Tbl_Responses[[Resp_Group]:[Resp_Group]],Grower))/(COUNTIFS(Tbl_Responses[Nitrogen 1 - Type of test],Tbl_14_sampling33[[#Headers],[Mineral N (Nitrate/Ammonium)]],Tbl_Responses[Nitrogen 1 - How many representative samples per paddock],"&gt;""",Tbl_Responses[[Resp_Group]:[Resp_Group]],Grower)+COUNTIFS(Tbl_Responses[Nitrogen 2 - Type of test],Tbl_14_sampling33[[#Headers],[Mineral N (Nitrate/Ammonium)]],Tbl_Responses[Nitrogen 2 - How many representative samples per paddock],"&gt;""",Tbl_Responses[[Resp_Group]:[Resp_Group]],Grower)+COUNTIFS(Tbl_Responses[Nitrogen 3 - Type of test],Tbl_14_sampling33[[#Headers],[Mineral N (Nitrate/Ammonium)]],Tbl_Responses[Nitrogen 3 - How many representative samples per paddock],"&gt;""",Tbl_Responses[[Resp_Group]:[Resp_Group]],Grower))</f>
        <v>0</v>
      </c>
      <c r="CE52" s="64">
        <f>(COUNTIFS(Tbl_Responses[Nitrogen 1 - Type of test],Tbl_14_sampling33[[#Headers],[Total N]],Tbl_Responses[Nitrogen 1 - How many representative samples per paddock],$CB52,Tbl_Responses[[Resp_Group]:[Resp_Group]],Grower)+COUNTIFS(Tbl_Responses[Nitrogen 2 - Type of test],Tbl_14_sampling33[[#Headers],[Total N]],Tbl_Responses[Nitrogen 2 - How many representative samples per paddock],$CB52,Tbl_Responses[[Resp_Group]:[Resp_Group]],Grower)+COUNTIFS(Tbl_Responses[Nitrogen 3 - Type of test],Tbl_14_sampling33[[#Headers],[Total N]],Tbl_Responses[Nitrogen 3 - How many representative samples per paddock],$CB52,Tbl_Responses[[Resp_Group]:[Resp_Group]],Grower))/(COUNTIFS(Tbl_Responses[Nitrogen 1 - Type of test],Tbl_14_sampling33[[#Headers],[Total N]],Tbl_Responses[Nitrogen 1 - How many representative samples per paddock],"&gt;""",Tbl_Responses[[Resp_Group]:[Resp_Group]],Grower)+COUNTIFS(Tbl_Responses[Nitrogen 2 - Type of test],Tbl_14_sampling33[[#Headers],[Total N]],Tbl_Responses[Nitrogen 2 - How many representative samples per paddock],"&gt;""",Tbl_Responses[[Resp_Group]:[Resp_Group]],Grower)+COUNTIFS(Tbl_Responses[Nitrogen 3 - Type of test],Tbl_14_sampling33[[#Headers],[Total N]],Tbl_Responses[Nitrogen 3 - How many representative samples per paddock],"&gt;""",Tbl_Responses[[Resp_Group]:[Resp_Group]],Grower))</f>
        <v>0</v>
      </c>
      <c r="CF52" s="64">
        <f>(COUNTIFS(Tbl_Responses[Nitrogen 1 - How many representative samples per paddock],$CB52,Tbl_Responses[[Resp_Group]:[Resp_Group]],Grower)+COUNTIFS(Tbl_Responses[Nitrogen 2 - How many representative samples per paddock],$CB52,Tbl_Responses[[Resp_Group]:[Resp_Group]],Grower)+COUNTIFS(Tbl_Responses[Nitrogen 3 - How many representative samples per paddock],$CB52,Tbl_Responses[[Resp_Group]:[Resp_Group]],Grower))/(COUNTIFS(Tbl_Responses[Nitrogen 1 - How many representative samples per paddock],"&gt;""",Tbl_Responses[[Resp_Group]:[Resp_Group]],Grower)+COUNTIFS(Tbl_Responses[Nitrogen 2 - How many representative samples per paddock],"&gt;""",Tbl_Responses[[Resp_Group]:[Resp_Group]],Grower)+COUNTIFS(Tbl_Responses[Nitrogen 3 - How many representative samples per paddock],"&gt;""",Tbl_Responses[[Resp_Group]:[Resp_Group]],Grower))</f>
        <v>0</v>
      </c>
      <c r="CG52" s="72"/>
      <c r="CH52" s="72"/>
      <c r="CI52" s="80" t="s">
        <v>679</v>
      </c>
      <c r="CJ52" s="72">
        <f>(COUNTIFS(Tbl_Responses[Phosphorus 1 - Type of test],CI52,Tbl_Responses[[Resp_Group]:[Resp_Group]],Grower)+COUNTIFS(Tbl_Responses[Phosphorus 2 - Type of test],CI52,Tbl_Responses[[Resp_Group]:[Resp_Group]],Grower)+COUNTIFS(Tbl_Responses[Phosphorus 3 - Type of test],CI52,Tbl_Responses[[Resp_Group]:[Resp_Group]],Grower)+COUNTIFS(Tbl_Responses[Phosphorus 4 - Type of test],CI52,Tbl_Responses[[Resp_Group]:[Resp_Group]],Grower)+COUNTIFS(Tbl_Responses[Phosphorus 5 - Type of test],CI52,Tbl_Responses[[Resp_Group]:[Resp_Group]],Grower))/(COUNTIFS(Tbl_Responses[Phosphorus 1 - Type of test],"&gt;""",Tbl_Responses[[Resp_Group]:[Resp_Group]],Grower)+COUNTIFS(Tbl_Responses[Phosphorus 2 - Type of test],"&gt;""",Tbl_Responses[[Resp_Group]:[Resp_Group]],Grower)+COUNTIFS(Tbl_Responses[Phosphorus 3 - Type of test],"&gt;""",Tbl_Responses[[Resp_Group]:[Resp_Group]],Grower)+COUNTIFS(Tbl_Responses[Phosphorus 4 - Type of test],"&gt;""",Tbl_Responses[[Resp_Group]:[Resp_Group]],Grower)+COUNTIFS(Tbl_Responses[Phosphorus 5 - Type of test],"&gt;""",Tbl_Responses[[Resp_Group]:[Resp_Group]],Grower))</f>
        <v>0.1095890410958904</v>
      </c>
      <c r="CK52" s="72"/>
      <c r="CL52" s="72"/>
      <c r="CM52" s="55" t="s">
        <v>592</v>
      </c>
      <c r="CN52" s="68">
        <f>(COUNTIFS(Tbl_Responses[Phosphorus 1 - Type of test],Tbl_Q15_sampling34[[#Headers],[Colwell P]],Tbl_Responses[Phosphorus 1 - How many representative samples per paddock],$CM52,Tbl_Responses[[Resp_Group]:[Resp_Group]],Grower)+COUNTIFS(Tbl_Responses[Phosphorus 2 - Type of test],Tbl_Q15_sampling34[[#Headers],[Colwell P]],Tbl_Responses[Phosphorus 2 - How many representative samples per paddock],$CM52,Tbl_Responses[[Resp_Group]:[Resp_Group]],Grower)+COUNTIFS(Tbl_Responses[Phosphorus 3 - Type of test],Tbl_Q15_sampling34[[#Headers],[Colwell P]],Tbl_Responses[Phosphorus 3 - How many representative samples per paddock],$CM52,Tbl_Responses[[Resp_Group]:[Resp_Group]],Grower)+COUNTIFS(Tbl_Responses[Phosphorus 4 - Type of test],Tbl_Q15_sampling34[[#Headers],[Colwell P]],Tbl_Responses[Phosphorus 4 - How many representative samples per paddock],$CM52,Tbl_Responses[[Resp_Group]:[Resp_Group]],Grower)+COUNTIFS(Tbl_Responses[Phosphorus 5 - Type of test],Tbl_Q15_sampling34[[#Headers],[Colwell P]],Tbl_Responses[Phosphorus 5 - How many representative samples per paddock],$CM52,Tbl_Responses[[Resp_Group]:[Resp_Group]],Grower))/(COUNTIFS(Tbl_Responses[Phosphorus 1 - Type of test],Tbl_Q15_sampling34[[#Headers],[Colwell P]],Tbl_Responses[Phosphorus 1 - How many representative samples per paddock],"&gt;""",Tbl_Responses[[Resp_Group]:[Resp_Group]],Grower)+COUNTIFS(Tbl_Responses[Phosphorus 2 - Type of test],Tbl_Q15_sampling34[[#Headers],[Colwell P]],Tbl_Responses[Phosphorus 2 - How many representative samples per paddock],"&gt;""",Tbl_Responses[[Resp_Group]:[Resp_Group]],Grower)+COUNTIFS(Tbl_Responses[Phosphorus 3 - Type of test],Tbl_Q15_sampling34[[#Headers],[Colwell P]],Tbl_Responses[Phosphorus 3 - How many representative samples per paddock],"&gt;""",Tbl_Responses[[Resp_Group]:[Resp_Group]],Grower)+COUNTIFS(Tbl_Responses[Phosphorus 4 - Type of test],Tbl_Q15_sampling34[[#Headers],[Colwell P]],Tbl_Responses[Phosphorus 4 - How many representative samples per paddock],"&gt;""",Tbl_Responses[[Resp_Group]:[Resp_Group]],Grower)+COUNTIFS(Tbl_Responses[Phosphorus 5 - Type of test],Tbl_Q15_sampling34[[#Headers],[Colwell P]],Tbl_Responses[Phosphorus 5 - How many representative samples per paddock],"&gt;""",Tbl_Responses[[Resp_Group]:[Resp_Group]],Grower))</f>
        <v>0</v>
      </c>
      <c r="CO52" s="64">
        <f>(COUNTIFS(Tbl_Responses[Phosphorus 1 - Type of test],Tbl_Q15_sampling34[[#Headers],[Olsen-Bray P]],Tbl_Responses[Phosphorus 1 - How many representative samples per paddock],$CM52,Tbl_Responses[[Resp_Group]:[Resp_Group]],Grower)+COUNTIFS(Tbl_Responses[Phosphorus 2 - Type of test],Tbl_Q15_sampling34[[#Headers],[Olsen-Bray P]],Tbl_Responses[Phosphorus 2 - How many representative samples per paddock],$CM52,Tbl_Responses[[Resp_Group]:[Resp_Group]],Grower)+COUNTIFS(Tbl_Responses[Phosphorus 3 - Type of test],Tbl_Q15_sampling34[[#Headers],[Olsen-Bray P]],Tbl_Responses[Phosphorus 3 - How many representative samples per paddock],$CM52,Tbl_Responses[[Resp_Group]:[Resp_Group]],Grower)+COUNTIFS(Tbl_Responses[Phosphorus 4 - Type of test],Tbl_Q15_sampling34[[#Headers],[Olsen-Bray P]],Tbl_Responses[Phosphorus 4 - How many representative samples per paddock],$CM52,Tbl_Responses[[Resp_Group]:[Resp_Group]],Grower)+COUNTIFS(Tbl_Responses[Phosphorus 5 - Type of test],Tbl_Q15_sampling34[[#Headers],[Olsen-Bray P]],Tbl_Responses[Phosphorus 5 - How many representative samples per paddock],$CM52,Tbl_Responses[[Resp_Group]:[Resp_Group]],Grower))/(COUNTIFS(Tbl_Responses[Phosphorus 1 - Type of test],Tbl_Q15_sampling34[[#Headers],[Olsen-Bray P]],Tbl_Responses[Phosphorus 1 - How many representative samples per paddock],"&gt;""",Tbl_Responses[[Resp_Group]:[Resp_Group]],Grower)+COUNTIFS(Tbl_Responses[Phosphorus 2 - Type of test],Tbl_Q15_sampling34[[#Headers],[Olsen-Bray P]],Tbl_Responses[Phosphorus 2 - How many representative samples per paddock],"&gt;""",Tbl_Responses[[Resp_Group]:[Resp_Group]],Grower)+COUNTIFS(Tbl_Responses[Phosphorus 3 - Type of test],Tbl_Q15_sampling34[[#Headers],[Olsen-Bray P]],Tbl_Responses[Phosphorus 3 - How many representative samples per paddock],"&gt;""",Tbl_Responses[[Resp_Group]:[Resp_Group]],Grower)+COUNTIFS(Tbl_Responses[Phosphorus 4 - Type of test],Tbl_Q15_sampling34[[#Headers],[Olsen-Bray P]],Tbl_Responses[Phosphorus 4 - How many representative samples per paddock],"&gt;""",Tbl_Responses[[Resp_Group]:[Resp_Group]],Grower)+COUNTIFS(Tbl_Responses[Phosphorus 5 - Type of test],Tbl_Q15_sampling34[[#Headers],[Olsen-Bray P]],Tbl_Responses[Phosphorus 5 - How many representative samples per paddock],"&gt;""",Tbl_Responses[[Resp_Group]:[Resp_Group]],Grower))</f>
        <v>0</v>
      </c>
      <c r="CP52" s="64">
        <f>(COUNTIFS(Tbl_Responses[Phosphorus 1 - Type of test],Tbl_Q15_sampling34[[#Headers],[PBI (Phosphorus Buffering Index)]],Tbl_Responses[Phosphorus 1 - How many representative samples per paddock],$CM52,Tbl_Responses[[Resp_Group]:[Resp_Group]],Grower)+COUNTIFS(Tbl_Responses[Phosphorus 2 - Type of test],Tbl_Q15_sampling34[[#Headers],[PBI (Phosphorus Buffering Index)]],Tbl_Responses[Phosphorus 2 - How many representative samples per paddock],$CM52,Tbl_Responses[[Resp_Group]:[Resp_Group]],Grower)+COUNTIFS(Tbl_Responses[Phosphorus 3 - Type of test],Tbl_Q15_sampling34[[#Headers],[PBI (Phosphorus Buffering Index)]],Tbl_Responses[Phosphorus 3 - How many representative samples per paddock],$CM52,Tbl_Responses[[Resp_Group]:[Resp_Group]],Grower)+COUNTIFS(Tbl_Responses[Phosphorus 4 - Type of test],Tbl_Q15_sampling34[[#Headers],[PBI (Phosphorus Buffering Index)]],Tbl_Responses[Phosphorus 4 - How many representative samples per paddock],$CM52,Tbl_Responses[[Resp_Group]:[Resp_Group]],Grower)+COUNTIFS(Tbl_Responses[Phosphorus 5 - Type of test],Tbl_Q15_sampling34[[#Headers],[PBI (Phosphorus Buffering Index)]],Tbl_Responses[Phosphorus 5 - How many representative samples per paddock],$CM52,Tbl_Responses[[Resp_Group]:[Resp_Group]],Grower))/(COUNTIFS(Tbl_Responses[Phosphorus 1 - Type of test],Tbl_Q15_sampling34[[#Headers],[PBI (Phosphorus Buffering Index)]],Tbl_Responses[Phosphorus 1 - How many representative samples per paddock],"&gt;""",Tbl_Responses[[Resp_Group]:[Resp_Group]],Grower)+COUNTIFS(Tbl_Responses[Phosphorus 2 - Type of test],Tbl_Q15_sampling34[[#Headers],[PBI (Phosphorus Buffering Index)]],Tbl_Responses[Phosphorus 2 - How many representative samples per paddock],"&gt;""",Tbl_Responses[[Resp_Group]:[Resp_Group]],Grower)+COUNTIFS(Tbl_Responses[Phosphorus 3 - Type of test],Tbl_Q15_sampling34[[#Headers],[PBI (Phosphorus Buffering Index)]],Tbl_Responses[Phosphorus 3 - How many representative samples per paddock],"&gt;""",Tbl_Responses[[Resp_Group]:[Resp_Group]],Grower)+COUNTIFS(Tbl_Responses[Phosphorus 4 - Type of test],Tbl_Q15_sampling34[[#Headers],[PBI (Phosphorus Buffering Index)]],Tbl_Responses[Phosphorus 4 - How many representative samples per paddock],"&gt;""",Tbl_Responses[[Resp_Group]:[Resp_Group]],Grower)+COUNTIFS(Tbl_Responses[Phosphorus 5 - Type of test],Tbl_Q15_sampling34[[#Headers],[PBI (Phosphorus Buffering Index)]],Tbl_Responses[Phosphorus 5 - How many representative samples per paddock],"&gt;""",Tbl_Responses[[Resp_Group]:[Resp_Group]],Grower))</f>
        <v>0</v>
      </c>
      <c r="CQ52" s="64">
        <f>(COUNTIFS(Tbl_Responses[Phosphorus 1 - Type of test],Tbl_Q15_sampling34[[#Headers],[DGT]],Tbl_Responses[Phosphorus 1 - How many representative samples per paddock],$CM52,Tbl_Responses[[Resp_Group]:[Resp_Group]],Grower)+COUNTIFS(Tbl_Responses[Phosphorus 2 - Type of test],Tbl_Q15_sampling34[[#Headers],[DGT]],Tbl_Responses[Phosphorus 2 - How many representative samples per paddock],$CM52,Tbl_Responses[[Resp_Group]:[Resp_Group]],Grower)+COUNTIFS(Tbl_Responses[Phosphorus 3 - Type of test],Tbl_Q15_sampling34[[#Headers],[DGT]],Tbl_Responses[Phosphorus 3 - How many representative samples per paddock],$CM52,Tbl_Responses[[Resp_Group]:[Resp_Group]],Grower)+COUNTIFS(Tbl_Responses[Phosphorus 4 - Type of test],Tbl_Q15_sampling34[[#Headers],[DGT]],Tbl_Responses[Phosphorus 4 - How many representative samples per paddock],$CM52,Tbl_Responses[[Resp_Group]:[Resp_Group]],Grower)+COUNTIFS(Tbl_Responses[Phosphorus 5 - Type of test],Tbl_Q15_sampling34[[#Headers],[DGT]],Tbl_Responses[Phosphorus 5 - How many representative samples per paddock],$CM52,Tbl_Responses[[Resp_Group]:[Resp_Group]],Grower))/(COUNTIFS(Tbl_Responses[Phosphorus 1 - Type of test],Tbl_Q15_sampling34[[#Headers],[DGT]],Tbl_Responses[Phosphorus 1 - How many representative samples per paddock],"&gt;""",Tbl_Responses[[Resp_Group]:[Resp_Group]],Grower)+COUNTIFS(Tbl_Responses[Phosphorus 2 - Type of test],Tbl_Q15_sampling34[[#Headers],[DGT]],Tbl_Responses[Phosphorus 2 - How many representative samples per paddock],"&gt;""",Tbl_Responses[[Resp_Group]:[Resp_Group]],Grower)+COUNTIFS(Tbl_Responses[Phosphorus 3 - Type of test],Tbl_Q15_sampling34[[#Headers],[DGT]],Tbl_Responses[Phosphorus 3 - How many representative samples per paddock],"&gt;""",Tbl_Responses[[Resp_Group]:[Resp_Group]],Grower)+COUNTIFS(Tbl_Responses[Phosphorus 4 - Type of test],Tbl_Q15_sampling34[[#Headers],[DGT]],Tbl_Responses[Phosphorus 4 - How many representative samples per paddock],"&gt;""",Tbl_Responses[[Resp_Group]:[Resp_Group]],Grower)+COUNTIFS(Tbl_Responses[Phosphorus 5 - Type of test],Tbl_Q15_sampling34[[#Headers],[DGT]],Tbl_Responses[Phosphorus 5 - How many representative samples per paddock],"&gt;""",Tbl_Responses[[Resp_Group]:[Resp_Group]],Grower))</f>
        <v>0</v>
      </c>
      <c r="CR52" s="64">
        <f>(COUNTIFS(Tbl_Responses[Phosphorus 1 - Type of test],Tbl_Q15_sampling34[[#Headers],[Total P]],Tbl_Responses[Phosphorus 1 - How many representative samples per paddock],$CM52,Tbl_Responses[[Resp_Group]:[Resp_Group]],Grower)+COUNTIFS(Tbl_Responses[Phosphorus 2 - Type of test],Tbl_Q15_sampling34[[#Headers],[Total P]],Tbl_Responses[Phosphorus 2 - How many representative samples per paddock],$CM52,Tbl_Responses[[Resp_Group]:[Resp_Group]],Grower)+COUNTIFS(Tbl_Responses[Phosphorus 3 - Type of test],Tbl_Q15_sampling34[[#Headers],[Total P]],Tbl_Responses[Phosphorus 3 - How many representative samples per paddock],$CM52,Tbl_Responses[[Resp_Group]:[Resp_Group]],Grower)+COUNTIFS(Tbl_Responses[Phosphorus 4 - Type of test],Tbl_Q15_sampling34[[#Headers],[Total P]],Tbl_Responses[Phosphorus 4 - How many representative samples per paddock],$CM52,Tbl_Responses[[Resp_Group]:[Resp_Group]],Grower)+COUNTIFS(Tbl_Responses[Phosphorus 5 - Type of test],Tbl_Q15_sampling34[[#Headers],[Total P]],Tbl_Responses[Phosphorus 5 - How many representative samples per paddock],$CM52,Tbl_Responses[[Resp_Group]:[Resp_Group]],Grower))/(COUNTIFS(Tbl_Responses[Phosphorus 1 - Type of test],Tbl_Q15_sampling34[[#Headers],[Total P]],Tbl_Responses[Phosphorus 1 - How many representative samples per paddock],"&gt;""",Tbl_Responses[[Resp_Group]:[Resp_Group]],Grower)+COUNTIFS(Tbl_Responses[Phosphorus 2 - Type of test],Tbl_Q15_sampling34[[#Headers],[Total P]],Tbl_Responses[Phosphorus 2 - How many representative samples per paddock],"&gt;""",Tbl_Responses[[Resp_Group]:[Resp_Group]],Grower)+COUNTIFS(Tbl_Responses[Phosphorus 3 - Type of test],Tbl_Q15_sampling34[[#Headers],[Total P]],Tbl_Responses[Phosphorus 3 - How many representative samples per paddock],"&gt;""",Tbl_Responses[[Resp_Group]:[Resp_Group]],Grower)+COUNTIFS(Tbl_Responses[Phosphorus 4 - Type of test],Tbl_Q15_sampling34[[#Headers],[Total P]],Tbl_Responses[Phosphorus 4 - How many representative samples per paddock],"&gt;""",Tbl_Responses[[Resp_Group]:[Resp_Group]],Grower)+COUNTIFS(Tbl_Responses[Phosphorus 5 - Type of test],Tbl_Q15_sampling34[[#Headers],[Total P]],Tbl_Responses[Phosphorus 5 - How many representative samples per paddock],"&gt;""",Tbl_Responses[[Resp_Group]:[Resp_Group]],Grower))</f>
        <v>0</v>
      </c>
      <c r="CS52" s="82">
        <f>(COUNTIFS(Tbl_Responses[Phosphorus 1 - How many representative samples per paddock],$CM52,Tbl_Responses[[Resp_Group]:[Resp_Group]],Grower)+COUNTIFS(Tbl_Responses[Phosphorus 2 - How many representative samples per paddock],$CM52,Tbl_Responses[[Resp_Group]:[Resp_Group]],Grower)+COUNTIFS(Tbl_Responses[Phosphorus 3 - How many representative samples per paddock],$CM52,Tbl_Responses[[Resp_Group]:[Resp_Group]],Grower)+COUNTIFS(Tbl_Responses[Phosphorus 4 - How many representative samples per paddock],$CM52,Tbl_Responses[[Resp_Group]:[Resp_Group]],Grower)+COUNTIFS(Tbl_Responses[Phosphorus 5 - How many representative samples per paddock],$CM52,Tbl_Responses[[Resp_Group]:[Resp_Group]],Grower))/(COUNTIFS(Tbl_Responses[Phosphorus 1 - How many representative samples per paddock],"&gt;""",Tbl_Responses[[Resp_Group]:[Resp_Group]],Grower)+COUNTIFS(Tbl_Responses[Phosphorus 2 - How many representative samples per paddock],"&gt;""",Tbl_Responses[[Resp_Group]:[Resp_Group]],Grower)+COUNTIFS(Tbl_Responses[Phosphorus 3 - How many representative samples per paddock],"&gt;""",Tbl_Responses[[Resp_Group]:[Resp_Group]],Grower)+COUNTIFS(Tbl_Responses[Phosphorus 4 - How many representative samples per paddock],"&gt;""",Tbl_Responses[[Resp_Group]:[Resp_Group]],Grower)+COUNTIFS(Tbl_Responses[Phosphorus 5 - How many representative samples per paddock],"&gt;""",Tbl_Responses[[Resp_Group]:[Resp_Group]],Grower))</f>
        <v>0</v>
      </c>
      <c r="CT52" s="72"/>
      <c r="CU52" s="72"/>
      <c r="CV52" s="72"/>
      <c r="CW52" s="72"/>
      <c r="CX52" s="72"/>
      <c r="CY52" s="72"/>
      <c r="CZ52" s="55" t="s">
        <v>592</v>
      </c>
      <c r="DA52" s="68">
        <f>(COUNTIFS(Tbl_Responses[Potassium 1 - Type of test],Tbl_Q16_sampling35[[#Headers],[Colwell K]],Tbl_Responses[Potassium 1 - How many representative samples per paddock],$CZ52,Tbl_Responses[[Resp_Group]:[Resp_Group]],Grower)+COUNTIFS(Tbl_Responses[Potassium 2 - Type of test],Tbl_Q16_sampling35[[#Headers],[Colwell K]],Tbl_Responses[Potassium 2 - How many representative samples per paddock],$CZ52,Tbl_Responses[[Resp_Group]:[Resp_Group]],Grower)+COUNTIFS(Tbl_Responses[Potassium 3 - Type of test],Tbl_Q16_sampling35[[#Headers],[Colwell K]],Tbl_Responses[Potassium 3 - How many representative samples per paddock],$CZ52,Tbl_Responses[[Resp_Group]:[Resp_Group]],Grower))/(COUNTIFS(Tbl_Responses[Potassium 1 - Type of test],Tbl_Q16_sampling35[[#Headers],[Colwell K]],Tbl_Responses[Potassium 1 - How many representative samples per paddock],"&gt;""",Tbl_Responses[[Resp_Group]:[Resp_Group]],Grower)+COUNTIFS(Tbl_Responses[Potassium 2 - Type of test],Tbl_Q16_sampling35[[#Headers],[Colwell K]],Tbl_Responses[Potassium 2 - How many representative samples per paddock],"&gt;""",Tbl_Responses[[Resp_Group]:[Resp_Group]],Grower)+COUNTIFS(Tbl_Responses[Potassium 3 - Type of test],Tbl_Q16_sampling35[[#Headers],[Colwell K]],Tbl_Responses[Potassium 3 - How many representative samples per paddock],"&gt;""",Tbl_Responses[[Resp_Group]:[Resp_Group]],Grower))</f>
        <v>0</v>
      </c>
      <c r="DB52" s="64">
        <f>(COUNTIFS(Tbl_Responses[Potassium 1 - Type of test],Tbl_Q16_sampling35[[#Headers],[Exchangable Cations (Ca, Mg, K, Na)]],Tbl_Responses[Potassium 1 - How many representative samples per paddock],$CZ52,Tbl_Responses[[Resp_Group]:[Resp_Group]],Grower)+COUNTIFS(Tbl_Responses[Potassium 2 - Type of test],Tbl_Q16_sampling35[[#Headers],[Exchangable Cations (Ca, Mg, K, Na)]],Tbl_Responses[Potassium 2 - How many representative samples per paddock],$CZ52,Tbl_Responses[[Resp_Group]:[Resp_Group]],Grower)+COUNTIFS(Tbl_Responses[Potassium 3 - Type of test],Tbl_Q16_sampling35[[#Headers],[Exchangable Cations (Ca, Mg, K, Na)]],Tbl_Responses[Potassium 3 - How many representative samples per paddock],$CZ52,Tbl_Responses[[Resp_Group]:[Resp_Group]],Grower))/(COUNTIFS(Tbl_Responses[Potassium 1 - Type of test],Tbl_Q16_sampling35[[#Headers],[Exchangable Cations (Ca, Mg, K, Na)]],Tbl_Responses[Potassium 1 - How many representative samples per paddock],"&gt;""",Tbl_Responses[[Resp_Group]:[Resp_Group]],Grower)+COUNTIFS(Tbl_Responses[Potassium 2 - Type of test],Tbl_Q16_sampling35[[#Headers],[Exchangable Cations (Ca, Mg, K, Na)]],Tbl_Responses[Potassium 2 - How many representative samples per paddock],"&gt;""",Tbl_Responses[[Resp_Group]:[Resp_Group]],Grower)+COUNTIFS(Tbl_Responses[Potassium 3 - Type of test],Tbl_Q16_sampling35[[#Headers],[Exchangable Cations (Ca, Mg, K, Na)]],Tbl_Responses[Potassium 3 - How many representative samples per paddock],"&gt;""",Tbl_Responses[[Resp_Group]:[Resp_Group]],Grower))</f>
        <v>0</v>
      </c>
      <c r="DC52" s="69">
        <f>(COUNTIFS(Tbl_Responses[Potassium 1 - How many representative samples per paddock],$CZ52,Tbl_Responses[[Resp_Group]:[Resp_Group]],Grower)+COUNTIFS(Tbl_Responses[Potassium 2 - How many representative samples per paddock],$CZ52,Tbl_Responses[[Resp_Group]:[Resp_Group]],Grower)+COUNTIFS(Tbl_Responses[Potassium 3 - How many representative samples per paddock],$CZ52,Tbl_Responses[[Resp_Group]:[Resp_Group]],Grower))/(COUNTIFS(Tbl_Responses[Potassium 1 - How many representative samples per paddock],"&gt;""",Tbl_Responses[[Resp_Group]:[Resp_Group]],Grower)+COUNTIFS(Tbl_Responses[Potassium 2 - How many representative samples per paddock],"&gt;""",Tbl_Responses[[Resp_Group]:[Resp_Group]],Grower)+COUNTIFS(Tbl_Responses[Potassium 3 - How many representative samples per paddock],"&gt;""",Tbl_Responses[[Resp_Group]:[Resp_Group]],Grower))</f>
        <v>0</v>
      </c>
      <c r="DD52" s="72"/>
      <c r="DE52" s="72"/>
      <c r="DF52" s="80" t="s">
        <v>187</v>
      </c>
      <c r="DG52" s="72">
        <f>(COUNTIFS(Tbl_Responses[1 - Type of test],DF52,Tbl_Responses[[Resp_Group]:[Resp_Group]],Grower)+COUNTIFS(Tbl_Responses[2 - Type of test],DF52,Tbl_Responses[[Resp_Group]:[Resp_Group]],Grower)+COUNTIFS(Tbl_Responses[3 - Type of test],DF52,Tbl_Responses[[Resp_Group]:[Resp_Group]],Grower)+COUNTIFS(Tbl_Responses[4 - Type of test],DF52,Tbl_Responses[[Resp_Group]:[Resp_Group]],Grower)+COUNTIFS(Tbl_Responses[5 - Type of test],DF52,Tbl_Responses[[Resp_Group]:[Resp_Group]],Grower))/(COUNTIFS(Tbl_Responses[1 - Type of test],"&gt;""",Tbl_Responses[[Resp_Group]:[Resp_Group]],Grower)+COUNTIFS(Tbl_Responses[2 - Type of test],"&gt;""",Tbl_Responses[[Resp_Group]:[Resp_Group]],Grower)+COUNTIFS(Tbl_Responses[3 - Type of test],"&gt;""",Tbl_Responses[[Resp_Group]:[Resp_Group]],Grower)+COUNTIFS(Tbl_Responses[4 - Type of test],"&gt;""",Tbl_Responses[[Resp_Group]:[Resp_Group]],Grower)+COUNTIFS(Tbl_Responses[5 - Type of test],"&gt;""",Tbl_Responses[[Resp_Group]:[Resp_Group]],Grower))</f>
        <v>9.7826086956521743E-2</v>
      </c>
      <c r="DH52" s="72"/>
      <c r="DI52" s="72"/>
      <c r="DJ52" s="55" t="s">
        <v>592</v>
      </c>
      <c r="DK52" s="68">
        <f>(COUNTIFS(Tbl_Responses[1 - Type of test],Tbl_Q17_sampling36[[#Headers],[pH]],Tbl_Responses[1 - How many cores per paddock],$DJ52,Tbl_Responses[[Resp_Group]:[Resp_Group]],Grower)+COUNTIFS(Tbl_Responses[2 - Type of test],Tbl_Q17_sampling36[[#Headers],[pH]],Tbl_Responses[2 - How many cores per paddock],$DJ52,Tbl_Responses[[Resp_Group]:[Resp_Group]],Grower)+COUNTIFS(Tbl_Responses[3 - Type of test],Tbl_Q17_sampling36[[#Headers],[pH]],Tbl_Responses[3 - How many cores per paddock],$DJ52,Tbl_Responses[[Resp_Group]:[Resp_Group]],Grower)+COUNTIFS(Tbl_Responses[4 - Type of test],Tbl_Q17_sampling36[[#Headers],[pH]],Tbl_Responses[4 - How many cores per paddock],$DJ52,Tbl_Responses[[Resp_Group]:[Resp_Group]],Grower)+COUNTIFS(Tbl_Responses[5 - Type of test],Tbl_Q17_sampling36[[#Headers],[pH]],Tbl_Responses[5 - How many cores per paddock],$DJ52,Tbl_Responses[[Resp_Group]:[Resp_Group]],Grower)+COUNTIFS(Tbl_Responses[6 - Type of test],Tbl_Q17_sampling36[[#Headers],[pH]],Tbl_Responses[6 - How many cores per paddock],$DJ52,Tbl_Responses[[Resp_Group]:[Resp_Group]],Grower)+COUNTIFS(Tbl_Responses[7 - Type of test],Tbl_Q17_sampling36[[#Headers],[pH]],Tbl_Responses[7 - How many cores per paddock],$DJ52,Tbl_Responses[[Resp_Group]:[Resp_Group]],Grower)+COUNTIFS(Tbl_Responses[8 - Type of test],Tbl_Q17_sampling36[[#Headers],[pH]],Tbl_Responses[8 - How many cores per paddock],$DJ52,Tbl_Responses[[Resp_Group]:[Resp_Group]],Grower))/(COUNTIFS(Tbl_Responses[1 - Type of test],Tbl_Q17_sampling36[[#Headers],[pH]],Tbl_Responses[1 - How many cores per paddock],"&gt;""",Tbl_Responses[[Resp_Group]:[Resp_Group]],Grower)+COUNTIFS(Tbl_Responses[2 - Type of test],Tbl_Q17_sampling36[[#Headers],[pH]],Tbl_Responses[2 - How many cores per paddock],"&gt;""",Tbl_Responses[[Resp_Group]:[Resp_Group]],Grower)+COUNTIFS(Tbl_Responses[3 - Type of test],Tbl_Q17_sampling36[[#Headers],[pH]],Tbl_Responses[3 - How many cores per paddock],"&gt;""",Tbl_Responses[[Resp_Group]:[Resp_Group]],Grower)+COUNTIFS(Tbl_Responses[4 - Type of test],Tbl_Q17_sampling36[[#Headers],[pH]],Tbl_Responses[4 - How many cores per paddock],"&gt;""",Tbl_Responses[[Resp_Group]:[Resp_Group]],Grower)+COUNTIFS(Tbl_Responses[5 - Type of test],Tbl_Q17_sampling36[[#Headers],[pH]],Tbl_Responses[5 - How many cores per paddock],"&gt;""",Tbl_Responses[[Resp_Group]:[Resp_Group]],Grower)+COUNTIFS(Tbl_Responses[6 - Type of test],Tbl_Q17_sampling36[[#Headers],[pH]],Tbl_Responses[6 - How many cores per paddock],"&gt;""",Tbl_Responses[[Resp_Group]:[Resp_Group]],Grower)+COUNTIFS(Tbl_Responses[7 - Type of test],Tbl_Q17_sampling36[[#Headers],[pH]],Tbl_Responses[7 - How many cores per paddock],"&gt;""",Tbl_Responses[[Resp_Group]:[Resp_Group]],Grower)+COUNTIFS(Tbl_Responses[8 - Type of test],Tbl_Q17_sampling36[[#Headers],[pH]],Tbl_Responses[8 - How many cores per paddock],"&gt;""",Tbl_Responses[[Resp_Group]:[Resp_Group]],Grower))</f>
        <v>0</v>
      </c>
      <c r="DL52" s="64">
        <f>(COUNTIFS(Tbl_Responses[1 - Type of test],Tbl_Q17_sampling36[[#Headers],[Trace elements (DTPA) Cu, Zn, Mg, Fe]],Tbl_Responses[1 - How many cores per paddock],$DJ52,Tbl_Responses[[Resp_Group]:[Resp_Group]],Grower)+COUNTIFS(Tbl_Responses[2 - Type of test],Tbl_Q17_sampling36[[#Headers],[Trace elements (DTPA) Cu, Zn, Mg, Fe]],Tbl_Responses[2 - How many cores per paddock],$DJ52,Tbl_Responses[[Resp_Group]:[Resp_Group]],Grower)+COUNTIFS(Tbl_Responses[3 - Type of test],Tbl_Q17_sampling36[[#Headers],[Trace elements (DTPA) Cu, Zn, Mg, Fe]],Tbl_Responses[3 - How many cores per paddock],$DJ52,Tbl_Responses[[Resp_Group]:[Resp_Group]],Grower)+COUNTIFS(Tbl_Responses[4 - Type of test],Tbl_Q17_sampling36[[#Headers],[Trace elements (DTPA) Cu, Zn, Mg, Fe]],Tbl_Responses[4 - How many cores per paddock],$DJ52,Tbl_Responses[[Resp_Group]:[Resp_Group]],Grower)+COUNTIFS(Tbl_Responses[5 - Type of test],Tbl_Q17_sampling36[[#Headers],[Trace elements (DTPA) Cu, Zn, Mg, Fe]],Tbl_Responses[5 - How many cores per paddock],$DJ52,Tbl_Responses[[Resp_Group]:[Resp_Group]],Grower)+COUNTIFS(Tbl_Responses[6 - Type of test],Tbl_Q17_sampling36[[#Headers],[Trace elements (DTPA) Cu, Zn, Mg, Fe]],Tbl_Responses[6 - How many cores per paddock],$DJ52,Tbl_Responses[[Resp_Group]:[Resp_Group]],Grower)+COUNTIFS(Tbl_Responses[7 - Type of test],Tbl_Q17_sampling36[[#Headers],[Trace elements (DTPA) Cu, Zn, Mg, Fe]],Tbl_Responses[7 - How many cores per paddock],$DJ52,Tbl_Responses[[Resp_Group]:[Resp_Group]],Grower)+COUNTIFS(Tbl_Responses[8 - Type of test],Tbl_Q17_sampling36[[#Headers],[Trace elements (DTPA) Cu, Zn, Mg, Fe]],Tbl_Responses[8 - How many cores per paddock],$DJ52,Tbl_Responses[[Resp_Group]:[Resp_Group]],Grower))/(COUNTIFS(Tbl_Responses[1 - Type of test],Tbl_Q17_sampling36[[#Headers],[Trace elements (DTPA) Cu, Zn, Mg, Fe]],Tbl_Responses[1 - How many cores per paddock],"&gt;""",Tbl_Responses[[Resp_Group]:[Resp_Group]],Grower)+COUNTIFS(Tbl_Responses[2 - Type of test],Tbl_Q17_sampling36[[#Headers],[Trace elements (DTPA) Cu, Zn, Mg, Fe]],Tbl_Responses[2 - How many cores per paddock],"&gt;""",Tbl_Responses[[Resp_Group]:[Resp_Group]],Grower)+COUNTIFS(Tbl_Responses[3 - Type of test],Tbl_Q17_sampling36[[#Headers],[Trace elements (DTPA) Cu, Zn, Mg, Fe]],Tbl_Responses[3 - How many cores per paddock],"&gt;""",Tbl_Responses[[Resp_Group]:[Resp_Group]],Grower)+COUNTIFS(Tbl_Responses[4 - Type of test],Tbl_Q17_sampling36[[#Headers],[Trace elements (DTPA) Cu, Zn, Mg, Fe]],Tbl_Responses[4 - How many cores per paddock],"&gt;""",Tbl_Responses[[Resp_Group]:[Resp_Group]],Grower)+COUNTIFS(Tbl_Responses[5 - Type of test],Tbl_Q17_sampling36[[#Headers],[Trace elements (DTPA) Cu, Zn, Mg, Fe]],Tbl_Responses[5 - How many cores per paddock],"&gt;""",Tbl_Responses[[Resp_Group]:[Resp_Group]],Grower)+COUNTIFS(Tbl_Responses[6 - Type of test],Tbl_Q17_sampling36[[#Headers],[Trace elements (DTPA) Cu, Zn, Mg, Fe]],Tbl_Responses[6 - How many cores per paddock],"&gt;""",Tbl_Responses[[Resp_Group]:[Resp_Group]],Grower)+COUNTIFS(Tbl_Responses[7 - Type of test],Tbl_Q17_sampling36[[#Headers],[Trace elements (DTPA) Cu, Zn, Mg, Fe]],Tbl_Responses[7 - How many cores per paddock],"&gt;""",Tbl_Responses[[Resp_Group]:[Resp_Group]],Grower)+COUNTIFS(Tbl_Responses[8 - Type of test],Tbl_Q17_sampling36[[#Headers],[Trace elements (DTPA) Cu, Zn, Mg, Fe]],Tbl_Responses[8 - How many cores per paddock],"&gt;""",Tbl_Responses[[Resp_Group]:[Resp_Group]],Grower))</f>
        <v>0</v>
      </c>
      <c r="DM52" s="64">
        <f>(COUNTIFS(Tbl_Responses[1 - Type of test],Tbl_Q17_sampling36[[#Headers],[Trace elements (EDTA) Cu, Zn, Mg, Fe]],Tbl_Responses[1 - How many cores per paddock],$DJ52,Tbl_Responses[[Resp_Group]:[Resp_Group]],Grower)+COUNTIFS(Tbl_Responses[2 - Type of test],Tbl_Q17_sampling36[[#Headers],[Trace elements (EDTA) Cu, Zn, Mg, Fe]],Tbl_Responses[2 - How many cores per paddock],$DJ52,Tbl_Responses[[Resp_Group]:[Resp_Group]],Grower)+COUNTIFS(Tbl_Responses[3 - Type of test],Tbl_Q17_sampling36[[#Headers],[Trace elements (EDTA) Cu, Zn, Mg, Fe]],Tbl_Responses[3 - How many cores per paddock],$DJ52,Tbl_Responses[[Resp_Group]:[Resp_Group]],Grower)+COUNTIFS(Tbl_Responses[4 - Type of test],Tbl_Q17_sampling36[[#Headers],[Trace elements (EDTA) Cu, Zn, Mg, Fe]],Tbl_Responses[4 - How many cores per paddock],$DJ52,Tbl_Responses[[Resp_Group]:[Resp_Group]],Grower)+COUNTIFS(Tbl_Responses[5 - Type of test],Tbl_Q17_sampling36[[#Headers],[Trace elements (EDTA) Cu, Zn, Mg, Fe]],Tbl_Responses[5 - How many cores per paddock],$DJ52,Tbl_Responses[[Resp_Group]:[Resp_Group]],Grower)+COUNTIFS(Tbl_Responses[6 - Type of test],Tbl_Q17_sampling36[[#Headers],[Trace elements (EDTA) Cu, Zn, Mg, Fe]],Tbl_Responses[6 - How many cores per paddock],$DJ52,Tbl_Responses[[Resp_Group]:[Resp_Group]],Grower)+COUNTIFS(Tbl_Responses[7 - Type of test],Tbl_Q17_sampling36[[#Headers],[Trace elements (EDTA) Cu, Zn, Mg, Fe]],Tbl_Responses[7 - How many cores per paddock],$DJ52,Tbl_Responses[[Resp_Group]:[Resp_Group]],Grower)+COUNTIFS(Tbl_Responses[8 - Type of test],Tbl_Q17_sampling36[[#Headers],[Trace elements (EDTA) Cu, Zn, Mg, Fe]],Tbl_Responses[8 - How many cores per paddock],$DJ52,Tbl_Responses[[Resp_Group]:[Resp_Group]],Grower))/(COUNTIFS(Tbl_Responses[1 - Type of test],Tbl_Q17_sampling36[[#Headers],[Trace elements (EDTA) Cu, Zn, Mg, Fe]],Tbl_Responses[1 - How many cores per paddock],"&gt;""",Tbl_Responses[[Resp_Group]:[Resp_Group]],Grower)+COUNTIFS(Tbl_Responses[2 - Type of test],Tbl_Q17_sampling36[[#Headers],[Trace elements (EDTA) Cu, Zn, Mg, Fe]],Tbl_Responses[2 - How many cores per paddock],"&gt;""",Tbl_Responses[[Resp_Group]:[Resp_Group]],Grower)+COUNTIFS(Tbl_Responses[3 - Type of test],Tbl_Q17_sampling36[[#Headers],[Trace elements (EDTA) Cu, Zn, Mg, Fe]],Tbl_Responses[3 - How many cores per paddock],"&gt;""",Tbl_Responses[[Resp_Group]:[Resp_Group]],Grower)+COUNTIFS(Tbl_Responses[4 - Type of test],Tbl_Q17_sampling36[[#Headers],[Trace elements (EDTA) Cu, Zn, Mg, Fe]],Tbl_Responses[4 - How many cores per paddock],"&gt;""",Tbl_Responses[[Resp_Group]:[Resp_Group]],Grower)+COUNTIFS(Tbl_Responses[5 - Type of test],Tbl_Q17_sampling36[[#Headers],[Trace elements (EDTA) Cu, Zn, Mg, Fe]],Tbl_Responses[5 - How many cores per paddock],"&gt;""",Tbl_Responses[[Resp_Group]:[Resp_Group]],Grower)+COUNTIFS(Tbl_Responses[6 - Type of test],Tbl_Q17_sampling36[[#Headers],[Trace elements (EDTA) Cu, Zn, Mg, Fe]],Tbl_Responses[6 - How many cores per paddock],"&gt;""",Tbl_Responses[[Resp_Group]:[Resp_Group]],Grower)+COUNTIFS(Tbl_Responses[7 - Type of test],Tbl_Q17_sampling36[[#Headers],[Trace elements (EDTA) Cu, Zn, Mg, Fe]],Tbl_Responses[7 - How many cores per paddock],"&gt;""",Tbl_Responses[[Resp_Group]:[Resp_Group]],Grower)+COUNTIFS(Tbl_Responses[8 - Type of test],Tbl_Q17_sampling36[[#Headers],[Trace elements (EDTA) Cu, Zn, Mg, Fe]],Tbl_Responses[8 - How many cores per paddock],"&gt;""",Tbl_Responses[[Resp_Group]:[Resp_Group]],Grower))</f>
        <v>0</v>
      </c>
      <c r="DN52" s="64">
        <f>(COUNTIFS(Tbl_Responses[1 - Type of test],Tbl_Q17_sampling36[[#Headers],[Exchangable cations - Ca, Mg, Na, K]],Tbl_Responses[1 - How many cores per paddock],$DJ52,Tbl_Responses[[Resp_Group]:[Resp_Group]],Grower)+COUNTIFS(Tbl_Responses[2 - Type of test],Tbl_Q17_sampling36[[#Headers],[Exchangable cations - Ca, Mg, Na, K]],Tbl_Responses[2 - How many cores per paddock],$DJ52,Tbl_Responses[[Resp_Group]:[Resp_Group]],Grower)+COUNTIFS(Tbl_Responses[3 - Type of test],Tbl_Q17_sampling36[[#Headers],[Exchangable cations - Ca, Mg, Na, K]],Tbl_Responses[3 - How many cores per paddock],$DJ52,Tbl_Responses[[Resp_Group]:[Resp_Group]],Grower)+COUNTIFS(Tbl_Responses[4 - Type of test],Tbl_Q17_sampling36[[#Headers],[Exchangable cations - Ca, Mg, Na, K]],Tbl_Responses[4 - How many cores per paddock],$DJ52,Tbl_Responses[[Resp_Group]:[Resp_Group]],Grower)+COUNTIFS(Tbl_Responses[5 - Type of test],Tbl_Q17_sampling36[[#Headers],[Exchangable cations - Ca, Mg, Na, K]],Tbl_Responses[5 - How many cores per paddock],$DJ52,Tbl_Responses[[Resp_Group]:[Resp_Group]],Grower)+COUNTIFS(Tbl_Responses[6 - Type of test],Tbl_Q17_sampling36[[#Headers],[Exchangable cations - Ca, Mg, Na, K]],Tbl_Responses[6 - How many cores per paddock],$DJ52,Tbl_Responses[[Resp_Group]:[Resp_Group]],Grower)+COUNTIFS(Tbl_Responses[7 - Type of test],Tbl_Q17_sampling36[[#Headers],[Exchangable cations - Ca, Mg, Na, K]],Tbl_Responses[7 - How many cores per paddock],$DJ52,Tbl_Responses[[Resp_Group]:[Resp_Group]],Grower)+COUNTIFS(Tbl_Responses[8 - Type of test],Tbl_Q17_sampling36[[#Headers],[Exchangable cations - Ca, Mg, Na, K]],Tbl_Responses[8 - How many cores per paddock],$DJ52,Tbl_Responses[[Resp_Group]:[Resp_Group]],Grower))/(COUNTIFS(Tbl_Responses[1 - Type of test],Tbl_Q17_sampling36[[#Headers],[Exchangable cations - Ca, Mg, Na, K]],Tbl_Responses[1 - How many cores per paddock],"&gt;""",Tbl_Responses[[Resp_Group]:[Resp_Group]],Grower)+COUNTIFS(Tbl_Responses[2 - Type of test],Tbl_Q17_sampling36[[#Headers],[Exchangable cations - Ca, Mg, Na, K]],Tbl_Responses[2 - How many cores per paddock],"&gt;""",Tbl_Responses[[Resp_Group]:[Resp_Group]],Grower)+COUNTIFS(Tbl_Responses[3 - Type of test],Tbl_Q17_sampling36[[#Headers],[Exchangable cations - Ca, Mg, Na, K]],Tbl_Responses[3 - How many cores per paddock],"&gt;""",Tbl_Responses[[Resp_Group]:[Resp_Group]],Grower)+COUNTIFS(Tbl_Responses[4 - Type of test],Tbl_Q17_sampling36[[#Headers],[Exchangable cations - Ca, Mg, Na, K]],Tbl_Responses[4 - How many cores per paddock],"&gt;""",Tbl_Responses[[Resp_Group]:[Resp_Group]],Grower)+COUNTIFS(Tbl_Responses[5 - Type of test],Tbl_Q17_sampling36[[#Headers],[Exchangable cations - Ca, Mg, Na, K]],Tbl_Responses[5 - How many cores per paddock],"&gt;""",Tbl_Responses[[Resp_Group]:[Resp_Group]],Grower)+COUNTIFS(Tbl_Responses[6 - Type of test],Tbl_Q17_sampling36[[#Headers],[Exchangable cations - Ca, Mg, Na, K]],Tbl_Responses[6 - How many cores per paddock],"&gt;""",Tbl_Responses[[Resp_Group]:[Resp_Group]],Grower)+COUNTIFS(Tbl_Responses[7 - Type of test],Tbl_Q17_sampling36[[#Headers],[Exchangable cations - Ca, Mg, Na, K]],Tbl_Responses[7 - How many cores per paddock],"&gt;""",Tbl_Responses[[Resp_Group]:[Resp_Group]],Grower)+COUNTIFS(Tbl_Responses[8 - Type of test],Tbl_Q17_sampling36[[#Headers],[Exchangable cations - Ca, Mg, Na, K]],Tbl_Responses[8 - How many cores per paddock],"&gt;""",Tbl_Responses[[Resp_Group]:[Resp_Group]],Grower))</f>
        <v>0</v>
      </c>
      <c r="DO52" s="64">
        <f>(COUNTIFS(Tbl_Responses[1 - Type of test],Tbl_Q17_sampling36[[#Headers],[Texture]],Tbl_Responses[1 - How many cores per paddock],$DJ52,Tbl_Responses[[Resp_Group]:[Resp_Group]],Grower)+COUNTIFS(Tbl_Responses[2 - Type of test],Tbl_Q17_sampling36[[#Headers],[Texture]],Tbl_Responses[2 - How many cores per paddock],$DJ52,Tbl_Responses[[Resp_Group]:[Resp_Group]],Grower)+COUNTIFS(Tbl_Responses[3 - Type of test],Tbl_Q17_sampling36[[#Headers],[Texture]],Tbl_Responses[3 - How many cores per paddock],$DJ52,Tbl_Responses[[Resp_Group]:[Resp_Group]],Grower)+COUNTIFS(Tbl_Responses[4 - Type of test],Tbl_Q17_sampling36[[#Headers],[Texture]],Tbl_Responses[4 - How many cores per paddock],$DJ52,Tbl_Responses[[Resp_Group]:[Resp_Group]],Grower)+COUNTIFS(Tbl_Responses[5 - Type of test],Tbl_Q17_sampling36[[#Headers],[Texture]],Tbl_Responses[5 - How many cores per paddock],$DJ52,Tbl_Responses[[Resp_Group]:[Resp_Group]],Grower)+COUNTIFS(Tbl_Responses[6 - Type of test],Tbl_Q17_sampling36[[#Headers],[Texture]],Tbl_Responses[6 - How many cores per paddock],$DJ52,Tbl_Responses[[Resp_Group]:[Resp_Group]],Grower)+COUNTIFS(Tbl_Responses[7 - Type of test],Tbl_Q17_sampling36[[#Headers],[Texture]],Tbl_Responses[7 - How many cores per paddock],$DJ52,Tbl_Responses[[Resp_Group]:[Resp_Group]],Grower)+COUNTIFS(Tbl_Responses[8 - Type of test],Tbl_Q17_sampling36[[#Headers],[Texture]],Tbl_Responses[8 - How many cores per paddock],$DJ52,Tbl_Responses[[Resp_Group]:[Resp_Group]],Grower))/(COUNTIFS(Tbl_Responses[1 - Type of test],Tbl_Q17_sampling36[[#Headers],[Texture]],Tbl_Responses[1 - How many cores per paddock],"&gt;""",Tbl_Responses[[Resp_Group]:[Resp_Group]],Grower)+COUNTIFS(Tbl_Responses[2 - Type of test],Tbl_Q17_sampling36[[#Headers],[Texture]],Tbl_Responses[2 - How many cores per paddock],"&gt;""",Tbl_Responses[[Resp_Group]:[Resp_Group]],Grower)+COUNTIFS(Tbl_Responses[3 - Type of test],Tbl_Q17_sampling36[[#Headers],[Texture]],Tbl_Responses[3 - How many cores per paddock],"&gt;""",Tbl_Responses[[Resp_Group]:[Resp_Group]],Grower)+COUNTIFS(Tbl_Responses[4 - Type of test],Tbl_Q17_sampling36[[#Headers],[Texture]],Tbl_Responses[4 - How many cores per paddock],"&gt;""",Tbl_Responses[[Resp_Group]:[Resp_Group]],Grower)+COUNTIFS(Tbl_Responses[5 - Type of test],Tbl_Q17_sampling36[[#Headers],[Texture]],Tbl_Responses[5 - How many cores per paddock],"&gt;""",Tbl_Responses[[Resp_Group]:[Resp_Group]],Grower)+COUNTIFS(Tbl_Responses[6 - Type of test],Tbl_Q17_sampling36[[#Headers],[Texture]],Tbl_Responses[6 - How many cores per paddock],"&gt;""",Tbl_Responses[[Resp_Group]:[Resp_Group]],Grower)+COUNTIFS(Tbl_Responses[7 - Type of test],Tbl_Q17_sampling36[[#Headers],[Texture]],Tbl_Responses[7 - How many cores per paddock],"&gt;""",Tbl_Responses[[Resp_Group]:[Resp_Group]],Grower)+COUNTIFS(Tbl_Responses[8 - Type of test],Tbl_Q17_sampling36[[#Headers],[Texture]],Tbl_Responses[8 - How many cores per paddock],"&gt;""",Tbl_Responses[[Resp_Group]:[Resp_Group]],Grower))</f>
        <v>0</v>
      </c>
      <c r="DP52" s="64">
        <f>(COUNTIFS(Tbl_Responses[1 - Type of test],Tbl_Q17_sampling36[[#Headers],[Aluminium (CaCl2)]],Tbl_Responses[1 - How many cores per paddock],$DJ52,Tbl_Responses[[Resp_Group]:[Resp_Group]],Grower)+COUNTIFS(Tbl_Responses[2 - Type of test],Tbl_Q17_sampling36[[#Headers],[Aluminium (CaCl2)]],Tbl_Responses[2 - How many cores per paddock],$DJ52,Tbl_Responses[[Resp_Group]:[Resp_Group]],Grower)+COUNTIFS(Tbl_Responses[3 - Type of test],Tbl_Q17_sampling36[[#Headers],[Aluminium (CaCl2)]],Tbl_Responses[3 - How many cores per paddock],$DJ52,Tbl_Responses[[Resp_Group]:[Resp_Group]],Grower)+COUNTIFS(Tbl_Responses[4 - Type of test],Tbl_Q17_sampling36[[#Headers],[Aluminium (CaCl2)]],Tbl_Responses[4 - How many cores per paddock],$DJ52,Tbl_Responses[[Resp_Group]:[Resp_Group]],Grower)+COUNTIFS(Tbl_Responses[5 - Type of test],Tbl_Q17_sampling36[[#Headers],[Aluminium (CaCl2)]],Tbl_Responses[5 - How many cores per paddock],$DJ52,Tbl_Responses[[Resp_Group]:[Resp_Group]],Grower)+COUNTIFS(Tbl_Responses[6 - Type of test],Tbl_Q17_sampling36[[#Headers],[Aluminium (CaCl2)]],Tbl_Responses[6 - How many cores per paddock],$DJ52,Tbl_Responses[[Resp_Group]:[Resp_Group]],Grower)+COUNTIFS(Tbl_Responses[7 - Type of test],Tbl_Q17_sampling36[[#Headers],[Aluminium (CaCl2)]],Tbl_Responses[7 - How many cores per paddock],$DJ52,Tbl_Responses[[Resp_Group]:[Resp_Group]],Grower)+COUNTIFS(Tbl_Responses[8 - Type of test],Tbl_Q17_sampling36[[#Headers],[Aluminium (CaCl2)]],Tbl_Responses[8 - How many cores per paddock],$DJ52,Tbl_Responses[[Resp_Group]:[Resp_Group]],Grower))/(COUNTIFS(Tbl_Responses[1 - Type of test],Tbl_Q17_sampling36[[#Headers],[Aluminium (CaCl2)]],Tbl_Responses[1 - How many cores per paddock],"&gt;""",Tbl_Responses[[Resp_Group]:[Resp_Group]],Grower)+COUNTIFS(Tbl_Responses[2 - Type of test],Tbl_Q17_sampling36[[#Headers],[Aluminium (CaCl2)]],Tbl_Responses[2 - How many cores per paddock],"&gt;""",Tbl_Responses[[Resp_Group]:[Resp_Group]],Grower)+COUNTIFS(Tbl_Responses[3 - Type of test],Tbl_Q17_sampling36[[#Headers],[Aluminium (CaCl2)]],Tbl_Responses[3 - How many cores per paddock],"&gt;""",Tbl_Responses[[Resp_Group]:[Resp_Group]],Grower)+COUNTIFS(Tbl_Responses[4 - Type of test],Tbl_Q17_sampling36[[#Headers],[Aluminium (CaCl2)]],Tbl_Responses[4 - How many cores per paddock],"&gt;""",Tbl_Responses[[Resp_Group]:[Resp_Group]],Grower)+COUNTIFS(Tbl_Responses[5 - Type of test],Tbl_Q17_sampling36[[#Headers],[Aluminium (CaCl2)]],Tbl_Responses[5 - How many cores per paddock],"&gt;""",Tbl_Responses[[Resp_Group]:[Resp_Group]],Grower)+COUNTIFS(Tbl_Responses[6 - Type of test],Tbl_Q17_sampling36[[#Headers],[Aluminium (CaCl2)]],Tbl_Responses[6 - How many cores per paddock],"&gt;""",Tbl_Responses[[Resp_Group]:[Resp_Group]],Grower)+COUNTIFS(Tbl_Responses[7 - Type of test],Tbl_Q17_sampling36[[#Headers],[Aluminium (CaCl2)]],Tbl_Responses[7 - How many cores per paddock],"&gt;""",Tbl_Responses[[Resp_Group]:[Resp_Group]],Grower)+COUNTIFS(Tbl_Responses[8 - Type of test],Tbl_Q17_sampling36[[#Headers],[Aluminium (CaCl2)]],Tbl_Responses[8 - How many cores per paddock],"&gt;""",Tbl_Responses[[Resp_Group]:[Resp_Group]],Grower))</f>
        <v>0</v>
      </c>
      <c r="DQ52" s="64">
        <f>(COUNTIFS(Tbl_Responses[1 - Type of test],Tbl_Q17_sampling36[[#Headers],[Chloride]],Tbl_Responses[1 - How many cores per paddock],$DJ52,Tbl_Responses[[Resp_Group]:[Resp_Group]],Grower)+COUNTIFS(Tbl_Responses[2 - Type of test],Tbl_Q17_sampling36[[#Headers],[Chloride]],Tbl_Responses[2 - How many cores per paddock],$DJ52,Tbl_Responses[[Resp_Group]:[Resp_Group]],Grower)+COUNTIFS(Tbl_Responses[3 - Type of test],Tbl_Q17_sampling36[[#Headers],[Chloride]],Tbl_Responses[3 - How many cores per paddock],$DJ52,Tbl_Responses[[Resp_Group]:[Resp_Group]],Grower)+COUNTIFS(Tbl_Responses[4 - Type of test],Tbl_Q17_sampling36[[#Headers],[Chloride]],Tbl_Responses[4 - How many cores per paddock],$DJ52,Tbl_Responses[[Resp_Group]:[Resp_Group]],Grower)+COUNTIFS(Tbl_Responses[5 - Type of test],Tbl_Q17_sampling36[[#Headers],[Chloride]],Tbl_Responses[5 - How many cores per paddock],$DJ52,Tbl_Responses[[Resp_Group]:[Resp_Group]],Grower)+COUNTIFS(Tbl_Responses[6 - Type of test],Tbl_Q17_sampling36[[#Headers],[Chloride]],Tbl_Responses[6 - How many cores per paddock],$DJ52,Tbl_Responses[[Resp_Group]:[Resp_Group]],Grower)+COUNTIFS(Tbl_Responses[7 - Type of test],Tbl_Q17_sampling36[[#Headers],[Chloride]],Tbl_Responses[7 - How many cores per paddock],$DJ52,Tbl_Responses[[Resp_Group]:[Resp_Group]],Grower)+COUNTIFS(Tbl_Responses[8 - Type of test],Tbl_Q17_sampling36[[#Headers],[Chloride]],Tbl_Responses[8 - How many cores per paddock],$DJ52,Tbl_Responses[[Resp_Group]:[Resp_Group]],Grower))/(COUNTIFS(Tbl_Responses[1 - Type of test],Tbl_Q17_sampling36[[#Headers],[Chloride]],Tbl_Responses[1 - How many cores per paddock],"&gt;""",Tbl_Responses[[Resp_Group]:[Resp_Group]],Grower)+COUNTIFS(Tbl_Responses[2 - Type of test],Tbl_Q17_sampling36[[#Headers],[Chloride]],Tbl_Responses[2 - How many cores per paddock],"&gt;""",Tbl_Responses[[Resp_Group]:[Resp_Group]],Grower)+COUNTIFS(Tbl_Responses[3 - Type of test],Tbl_Q17_sampling36[[#Headers],[Chloride]],Tbl_Responses[3 - How many cores per paddock],"&gt;""",Tbl_Responses[[Resp_Group]:[Resp_Group]],Grower)+COUNTIFS(Tbl_Responses[4 - Type of test],Tbl_Q17_sampling36[[#Headers],[Chloride]],Tbl_Responses[4 - How many cores per paddock],"&gt;""",Tbl_Responses[[Resp_Group]:[Resp_Group]],Grower)+COUNTIFS(Tbl_Responses[5 - Type of test],Tbl_Q17_sampling36[[#Headers],[Chloride]],Tbl_Responses[5 - How many cores per paddock],"&gt;""",Tbl_Responses[[Resp_Group]:[Resp_Group]],Grower)+COUNTIFS(Tbl_Responses[6 - Type of test],Tbl_Q17_sampling36[[#Headers],[Chloride]],Tbl_Responses[6 - How many cores per paddock],"&gt;""",Tbl_Responses[[Resp_Group]:[Resp_Group]],Grower)+COUNTIFS(Tbl_Responses[7 - Type of test],Tbl_Q17_sampling36[[#Headers],[Chloride]],Tbl_Responses[7 - How many cores per paddock],"&gt;""",Tbl_Responses[[Resp_Group]:[Resp_Group]],Grower)+COUNTIFS(Tbl_Responses[8 - Type of test],Tbl_Q17_sampling36[[#Headers],[Chloride]],Tbl_Responses[8 - How many cores per paddock],"&gt;""",Tbl_Responses[[Resp_Group]:[Resp_Group]],Grower))</f>
        <v>0</v>
      </c>
      <c r="DR52" s="64">
        <f>(COUNTIFS(Tbl_Responses[1 - Type of test],Tbl_Q17_sampling36[[#Headers],[Boron]],Tbl_Responses[1 - How many cores per paddock],$DJ52,Tbl_Responses[[Resp_Group]:[Resp_Group]],Grower)+COUNTIFS(Tbl_Responses[2 - Type of test],Tbl_Q17_sampling36[[#Headers],[Boron]],Tbl_Responses[2 - How many cores per paddock],$DJ52,Tbl_Responses[[Resp_Group]:[Resp_Group]],Grower)+COUNTIFS(Tbl_Responses[3 - Type of test],Tbl_Q17_sampling36[[#Headers],[Boron]],Tbl_Responses[3 - How many cores per paddock],$DJ52,Tbl_Responses[[Resp_Group]:[Resp_Group]],Grower)+COUNTIFS(Tbl_Responses[4 - Type of test],Tbl_Q17_sampling36[[#Headers],[Boron]],Tbl_Responses[4 - How many cores per paddock],$DJ52,Tbl_Responses[[Resp_Group]:[Resp_Group]],Grower)+COUNTIFS(Tbl_Responses[5 - Type of test],Tbl_Q17_sampling36[[#Headers],[Boron]],Tbl_Responses[5 - How many cores per paddock],$DJ52,Tbl_Responses[[Resp_Group]:[Resp_Group]],Grower)+COUNTIFS(Tbl_Responses[6 - Type of test],Tbl_Q17_sampling36[[#Headers],[Boron]],Tbl_Responses[6 - How many cores per paddock],$DJ52,Tbl_Responses[[Resp_Group]:[Resp_Group]],Grower)+COUNTIFS(Tbl_Responses[7 - Type of test],Tbl_Q17_sampling36[[#Headers],[Boron]],Tbl_Responses[7 - How many cores per paddock],$DJ52,Tbl_Responses[[Resp_Group]:[Resp_Group]],Grower)+COUNTIFS(Tbl_Responses[8 - Type of test],Tbl_Q17_sampling36[[#Headers],[Boron]],Tbl_Responses[8 - How many cores per paddock],$DJ52,Tbl_Responses[[Resp_Group]:[Resp_Group]],Grower))/(COUNTIFS(Tbl_Responses[1 - Type of test],Tbl_Q17_sampling36[[#Headers],[Boron]],Tbl_Responses[1 - How many cores per paddock],"&gt;""",Tbl_Responses[[Resp_Group]:[Resp_Group]],Grower)+COUNTIFS(Tbl_Responses[2 - Type of test],Tbl_Q17_sampling36[[#Headers],[Boron]],Tbl_Responses[2 - How many cores per paddock],"&gt;""",Tbl_Responses[[Resp_Group]:[Resp_Group]],Grower)+COUNTIFS(Tbl_Responses[3 - Type of test],Tbl_Q17_sampling36[[#Headers],[Boron]],Tbl_Responses[3 - How many cores per paddock],"&gt;""",Tbl_Responses[[Resp_Group]:[Resp_Group]],Grower)+COUNTIFS(Tbl_Responses[4 - Type of test],Tbl_Q17_sampling36[[#Headers],[Boron]],Tbl_Responses[4 - How many cores per paddock],"&gt;""",Tbl_Responses[[Resp_Group]:[Resp_Group]],Grower)+COUNTIFS(Tbl_Responses[5 - Type of test],Tbl_Q17_sampling36[[#Headers],[Boron]],Tbl_Responses[5 - How many cores per paddock],"&gt;""",Tbl_Responses[[Resp_Group]:[Resp_Group]],Grower)+COUNTIFS(Tbl_Responses[6 - Type of test],Tbl_Q17_sampling36[[#Headers],[Boron]],Tbl_Responses[6 - How many cores per paddock],"&gt;""",Tbl_Responses[[Resp_Group]:[Resp_Group]],Grower)+COUNTIFS(Tbl_Responses[7 - Type of test],Tbl_Q17_sampling36[[#Headers],[Boron]],Tbl_Responses[7 - How many cores per paddock],"&gt;""",Tbl_Responses[[Resp_Group]:[Resp_Group]],Grower)+COUNTIFS(Tbl_Responses[8 - Type of test],Tbl_Q17_sampling36[[#Headers],[Boron]],Tbl_Responses[8 - How many cores per paddock],"&gt;""",Tbl_Responses[[Resp_Group]:[Resp_Group]],Grower))</f>
        <v>0</v>
      </c>
      <c r="DS52" s="64">
        <f>(COUNTIFS(Tbl_Responses[1 - Type of test],Tbl_Q17_sampling36[[#Headers],[Sulfur (KCl40)]],Tbl_Responses[1 - How many cores per paddock],$DJ52,Tbl_Responses[[Resp_Group]:[Resp_Group]],Grower)+COUNTIFS(Tbl_Responses[2 - Type of test],Tbl_Q17_sampling36[[#Headers],[Sulfur (KCl40)]],Tbl_Responses[2 - How many cores per paddock],$DJ52,Tbl_Responses[[Resp_Group]:[Resp_Group]],Grower)+COUNTIFS(Tbl_Responses[3 - Type of test],Tbl_Q17_sampling36[[#Headers],[Sulfur (KCl40)]],Tbl_Responses[3 - How many cores per paddock],$DJ52,Tbl_Responses[[Resp_Group]:[Resp_Group]],Grower)+COUNTIFS(Tbl_Responses[4 - Type of test],Tbl_Q17_sampling36[[#Headers],[Sulfur (KCl40)]],Tbl_Responses[4 - How many cores per paddock],$DJ52,Tbl_Responses[[Resp_Group]:[Resp_Group]],Grower)+COUNTIFS(Tbl_Responses[5 - Type of test],Tbl_Q17_sampling36[[#Headers],[Sulfur (KCl40)]],Tbl_Responses[5 - How many cores per paddock],$DJ52,Tbl_Responses[[Resp_Group]:[Resp_Group]],Grower)+COUNTIFS(Tbl_Responses[6 - Type of test],Tbl_Q17_sampling36[[#Headers],[Sulfur (KCl40)]],Tbl_Responses[6 - How many cores per paddock],$DJ52,Tbl_Responses[[Resp_Group]:[Resp_Group]],Grower)+COUNTIFS(Tbl_Responses[7 - Type of test],Tbl_Q17_sampling36[[#Headers],[Sulfur (KCl40)]],Tbl_Responses[7 - How many cores per paddock],$DJ52,Tbl_Responses[[Resp_Group]:[Resp_Group]],Grower)+COUNTIFS(Tbl_Responses[8 - Type of test],Tbl_Q17_sampling36[[#Headers],[Sulfur (KCl40)]],Tbl_Responses[8 - How many cores per paddock],$DJ52,Tbl_Responses[[Resp_Group]:[Resp_Group]],Grower))/(COUNTIFS(Tbl_Responses[1 - Type of test],Tbl_Q17_sampling36[[#Headers],[Sulfur (KCl40)]],Tbl_Responses[1 - How many cores per paddock],"&gt;""",Tbl_Responses[[Resp_Group]:[Resp_Group]],Grower)+COUNTIFS(Tbl_Responses[2 - Type of test],Tbl_Q17_sampling36[[#Headers],[Sulfur (KCl40)]],Tbl_Responses[2 - How many cores per paddock],"&gt;""",Tbl_Responses[[Resp_Group]:[Resp_Group]],Grower)+COUNTIFS(Tbl_Responses[3 - Type of test],Tbl_Q17_sampling36[[#Headers],[Sulfur (KCl40)]],Tbl_Responses[3 - How many cores per paddock],"&gt;""",Tbl_Responses[[Resp_Group]:[Resp_Group]],Grower)+COUNTIFS(Tbl_Responses[4 - Type of test],Tbl_Q17_sampling36[[#Headers],[Sulfur (KCl40)]],Tbl_Responses[4 - How many cores per paddock],"&gt;""",Tbl_Responses[[Resp_Group]:[Resp_Group]],Grower)+COUNTIFS(Tbl_Responses[5 - Type of test],Tbl_Q17_sampling36[[#Headers],[Sulfur (KCl40)]],Tbl_Responses[5 - How many cores per paddock],"&gt;""",Tbl_Responses[[Resp_Group]:[Resp_Group]],Grower)+COUNTIFS(Tbl_Responses[6 - Type of test],Tbl_Q17_sampling36[[#Headers],[Sulfur (KCl40)]],Tbl_Responses[6 - How many cores per paddock],"&gt;""",Tbl_Responses[[Resp_Group]:[Resp_Group]],Grower)+COUNTIFS(Tbl_Responses[7 - Type of test],Tbl_Q17_sampling36[[#Headers],[Sulfur (KCl40)]],Tbl_Responses[7 - How many cores per paddock],"&gt;""",Tbl_Responses[[Resp_Group]:[Resp_Group]],Grower)+COUNTIFS(Tbl_Responses[8 - Type of test],Tbl_Q17_sampling36[[#Headers],[Sulfur (KCl40)]],Tbl_Responses[8 - How many cores per paddock],"&gt;""",Tbl_Responses[[Resp_Group]:[Resp_Group]],Grower))</f>
        <v>0</v>
      </c>
      <c r="DT52" s="64">
        <f>(COUNTIFS(Tbl_Responses[1 - Type of test],Tbl_Q17_sampling36[[#Headers],[Calcium carbonate %]],Tbl_Responses[1 - How many cores per paddock],$DJ52,Tbl_Responses[[Resp_Group]:[Resp_Group]],Grower)+COUNTIFS(Tbl_Responses[2 - Type of test],Tbl_Q17_sampling36[[#Headers],[Calcium carbonate %]],Tbl_Responses[2 - How many cores per paddock],$DJ52,Tbl_Responses[[Resp_Group]:[Resp_Group]],Grower)+COUNTIFS(Tbl_Responses[3 - Type of test],Tbl_Q17_sampling36[[#Headers],[Calcium carbonate %]],Tbl_Responses[3 - How many cores per paddock],$DJ52,Tbl_Responses[[Resp_Group]:[Resp_Group]],Grower)+COUNTIFS(Tbl_Responses[4 - Type of test],Tbl_Q17_sampling36[[#Headers],[Calcium carbonate %]],Tbl_Responses[4 - How many cores per paddock],$DJ52,Tbl_Responses[[Resp_Group]:[Resp_Group]],Grower)+COUNTIFS(Tbl_Responses[5 - Type of test],Tbl_Q17_sampling36[[#Headers],[Calcium carbonate %]],Tbl_Responses[5 - How many cores per paddock],$DJ52,Tbl_Responses[[Resp_Group]:[Resp_Group]],Grower)+COUNTIFS(Tbl_Responses[6 - Type of test],Tbl_Q17_sampling36[[#Headers],[Calcium carbonate %]],Tbl_Responses[6 - How many cores per paddock],$DJ52,Tbl_Responses[[Resp_Group]:[Resp_Group]],Grower)+COUNTIFS(Tbl_Responses[7 - Type of test],Tbl_Q17_sampling36[[#Headers],[Calcium carbonate %]],Tbl_Responses[7 - How many cores per paddock],$DJ52,Tbl_Responses[[Resp_Group]:[Resp_Group]],Grower)+COUNTIFS(Tbl_Responses[8 - Type of test],Tbl_Q17_sampling36[[#Headers],[Calcium carbonate %]],Tbl_Responses[8 - How many cores per paddock],$DJ52,Tbl_Responses[[Resp_Group]:[Resp_Group]],Grower))/(COUNTIFS(Tbl_Responses[1 - Type of test],Tbl_Q17_sampling36[[#Headers],[Calcium carbonate %]],Tbl_Responses[1 - How many cores per paddock],"&gt;""",Tbl_Responses[[Resp_Group]:[Resp_Group]],Grower)+COUNTIFS(Tbl_Responses[2 - Type of test],Tbl_Q17_sampling36[[#Headers],[Calcium carbonate %]],Tbl_Responses[2 - How many cores per paddock],"&gt;""",Tbl_Responses[[Resp_Group]:[Resp_Group]],Grower)+COUNTIFS(Tbl_Responses[3 - Type of test],Tbl_Q17_sampling36[[#Headers],[Calcium carbonate %]],Tbl_Responses[3 - How many cores per paddock],"&gt;""",Tbl_Responses[[Resp_Group]:[Resp_Group]],Grower)+COUNTIFS(Tbl_Responses[4 - Type of test],Tbl_Q17_sampling36[[#Headers],[Calcium carbonate %]],Tbl_Responses[4 - How many cores per paddock],"&gt;""",Tbl_Responses[[Resp_Group]:[Resp_Group]],Grower)+COUNTIFS(Tbl_Responses[5 - Type of test],Tbl_Q17_sampling36[[#Headers],[Calcium carbonate %]],Tbl_Responses[5 - How many cores per paddock],"&gt;""",Tbl_Responses[[Resp_Group]:[Resp_Group]],Grower)+COUNTIFS(Tbl_Responses[6 - Type of test],Tbl_Q17_sampling36[[#Headers],[Calcium carbonate %]],Tbl_Responses[6 - How many cores per paddock],"&gt;""",Tbl_Responses[[Resp_Group]:[Resp_Group]],Grower)+COUNTIFS(Tbl_Responses[7 - Type of test],Tbl_Q17_sampling36[[#Headers],[Calcium carbonate %]],Tbl_Responses[7 - How many cores per paddock],"&gt;""",Tbl_Responses[[Resp_Group]:[Resp_Group]],Grower)+COUNTIFS(Tbl_Responses[8 - Type of test],Tbl_Q17_sampling36[[#Headers],[Calcium carbonate %]],Tbl_Responses[8 - How many cores per paddock],"&gt;""",Tbl_Responses[[Resp_Group]:[Resp_Group]],Grower))</f>
        <v>0</v>
      </c>
      <c r="DU52" s="64">
        <f>(COUNTIFS(Tbl_Responses[1 - Type of test],Tbl_Q17_sampling36[[#Headers],[Sulfur (MCP)]],Tbl_Responses[1 - How many cores per paddock],$DJ52,Tbl_Responses[[Resp_Group]:[Resp_Group]],Grower)+COUNTIFS(Tbl_Responses[2 - Type of test],Tbl_Q17_sampling36[[#Headers],[Sulfur (MCP)]],Tbl_Responses[2 - How many cores per paddock],$DJ52,Tbl_Responses[[Resp_Group]:[Resp_Group]],Grower)+COUNTIFS(Tbl_Responses[3 - Type of test],Tbl_Q17_sampling36[[#Headers],[Sulfur (MCP)]],Tbl_Responses[3 - How many cores per paddock],$DJ52,Tbl_Responses[[Resp_Group]:[Resp_Group]],Grower)+COUNTIFS(Tbl_Responses[4 - Type of test],Tbl_Q17_sampling36[[#Headers],[Sulfur (MCP)]],Tbl_Responses[4 - How many cores per paddock],$DJ52,Tbl_Responses[[Resp_Group]:[Resp_Group]],Grower)+COUNTIFS(Tbl_Responses[5 - Type of test],Tbl_Q17_sampling36[[#Headers],[Sulfur (MCP)]],Tbl_Responses[5 - How many cores per paddock],$DJ52,Tbl_Responses[[Resp_Group]:[Resp_Group]],Grower)+COUNTIFS(Tbl_Responses[6 - Type of test],Tbl_Q17_sampling36[[#Headers],[Sulfur (MCP)]],Tbl_Responses[6 - How many cores per paddock],$DJ52,Tbl_Responses[[Resp_Group]:[Resp_Group]],Grower)+COUNTIFS(Tbl_Responses[7 - Type of test],Tbl_Q17_sampling36[[#Headers],[Sulfur (MCP)]],Tbl_Responses[7 - How many cores per paddock],$DJ52,Tbl_Responses[[Resp_Group]:[Resp_Group]],Grower)+COUNTIFS(Tbl_Responses[8 - Type of test],Tbl_Q17_sampling36[[#Headers],[Sulfur (MCP)]],Tbl_Responses[8 - How many cores per paddock],$DJ52,Tbl_Responses[[Resp_Group]:[Resp_Group]],Grower))/(COUNTIFS(Tbl_Responses[1 - Type of test],Tbl_Q17_sampling36[[#Headers],[Sulfur (MCP)]],Tbl_Responses[1 - How many cores per paddock],"&gt;""",Tbl_Responses[[Resp_Group]:[Resp_Group]],Grower)+COUNTIFS(Tbl_Responses[2 - Type of test],Tbl_Q17_sampling36[[#Headers],[Sulfur (MCP)]],Tbl_Responses[2 - How many cores per paddock],"&gt;""",Tbl_Responses[[Resp_Group]:[Resp_Group]],Grower)+COUNTIFS(Tbl_Responses[3 - Type of test],Tbl_Q17_sampling36[[#Headers],[Sulfur (MCP)]],Tbl_Responses[3 - How many cores per paddock],"&gt;""",Tbl_Responses[[Resp_Group]:[Resp_Group]],Grower)+COUNTIFS(Tbl_Responses[4 - Type of test],Tbl_Q17_sampling36[[#Headers],[Sulfur (MCP)]],Tbl_Responses[4 - How many cores per paddock],"&gt;""",Tbl_Responses[[Resp_Group]:[Resp_Group]],Grower)+COUNTIFS(Tbl_Responses[5 - Type of test],Tbl_Q17_sampling36[[#Headers],[Sulfur (MCP)]],Tbl_Responses[5 - How many cores per paddock],"&gt;""",Tbl_Responses[[Resp_Group]:[Resp_Group]],Grower)+COUNTIFS(Tbl_Responses[6 - Type of test],Tbl_Q17_sampling36[[#Headers],[Sulfur (MCP)]],Tbl_Responses[6 - How many cores per paddock],"&gt;""",Tbl_Responses[[Resp_Group]:[Resp_Group]],Grower)+COUNTIFS(Tbl_Responses[7 - Type of test],Tbl_Q17_sampling36[[#Headers],[Sulfur (MCP)]],Tbl_Responses[7 - How many cores per paddock],"&gt;""",Tbl_Responses[[Resp_Group]:[Resp_Group]],Grower)+COUNTIFS(Tbl_Responses[8 - Type of test],Tbl_Q17_sampling36[[#Headers],[Sulfur (MCP)]],Tbl_Responses[8 - How many cores per paddock],"&gt;""",Tbl_Responses[[Resp_Group]:[Resp_Group]],Grower))</f>
        <v>0</v>
      </c>
      <c r="DV52" s="82">
        <f>(COUNTIFS(Tbl_Responses[1 - How many cores per paddock],$DJ52,Tbl_Responses[[Resp_Group]:[Resp_Group]],Grower)+COUNTIFS(Tbl_Responses[2 - How many cores per paddock],$DJ52,Tbl_Responses[[Resp_Group]:[Resp_Group]],Grower)+COUNTIFS(Tbl_Responses[3 - How many cores per paddock],$DJ52,Tbl_Responses[[Resp_Group]:[Resp_Group]],Grower)+COUNTIFS(Tbl_Responses[4 - How many cores per paddock],$DJ52,Tbl_Responses[[Resp_Group]:[Resp_Group]],Grower)+COUNTIFS(Tbl_Responses[5 - How many cores per paddock],$DJ52,Tbl_Responses[[Resp_Group]:[Resp_Group]],Grower)+COUNTIFS(Tbl_Responses[6 - How many cores per paddock],$DJ52,Tbl_Responses[[Resp_Group]:[Resp_Group]],Grower)+COUNTIFS(Tbl_Responses[7 - How many cores per paddock],$DJ52,Tbl_Responses[[Resp_Group]:[Resp_Group]],Grower))/(COUNTIFS(Tbl_Responses[1 - How many cores per paddock],"&gt;""",Tbl_Responses[[Resp_Group]:[Resp_Group]],Grower)+COUNTIFS(Tbl_Responses[2 - How many cores per paddock],"&gt;""",Tbl_Responses[[Resp_Group]:[Resp_Group]],Grower)+COUNTIFS(Tbl_Responses[3 - How many cores per paddock],"&gt;""",Tbl_Responses[[Resp_Group]:[Resp_Group]],Grower)+COUNTIFS(Tbl_Responses[4 - How many cores per paddock],"&gt;""",Tbl_Responses[[Resp_Group]:[Resp_Group]],Grower)+COUNTIFS(Tbl_Responses[5 - How many cores per paddock],"&gt;""",Tbl_Responses[[Resp_Group]:[Resp_Group]],Grower)+COUNTIFS(Tbl_Responses[6 - How many cores per paddock],"&gt;""",Tbl_Responses[[Resp_Group]:[Resp_Group]],Grower)+COUNTIFS(Tbl_Responses[7 - How many cores per paddock],"&gt;""",Tbl_Responses[[Resp_Group]:[Resp_Group]],Grower))</f>
        <v>0</v>
      </c>
      <c r="EC52" t="s">
        <v>114</v>
      </c>
      <c r="ED52" s="3">
        <f>COUNTIFS(Tbl_Responses[The level of accuracy of soil testing lab analysis],$EC52,Tbl_Responses[[Resp_Group]:[Resp_Group]],Grower)</f>
        <v>3</v>
      </c>
      <c r="EE52" s="4">
        <f>Tbl_1944[[#This Row],[No. Responses]]/SUM(Tbl_1944[No. Responses])</f>
        <v>3.4482758620689655E-2</v>
      </c>
      <c r="EH52" t="s">
        <v>114</v>
      </c>
      <c r="EI52" s="3">
        <f>COUNTIFS(Tbl_Responses[The level of accuracy of soil testing lab analysisP],$EC52,Tbl_Responses[[Resp_Group]:[Resp_Group]],Grower)</f>
        <v>5</v>
      </c>
      <c r="EJ52" s="4">
        <f>Tbl_Q2045[[#This Row],[No. Responses]]/SUM(Tbl_Q2045[No. Responses])</f>
        <v>5.2083333333333336E-2</v>
      </c>
      <c r="ET52" t="s">
        <v>2337</v>
      </c>
      <c r="EU52" s="3">
        <f>COUNTIFS(Tbl_Responses[Soil testing annual spend],$ET52,Tbl_Responses[[Resp_Group]:[Resp_Group]],Agronomist)</f>
        <v>0</v>
      </c>
      <c r="EV52" s="4">
        <f>Tbl_Q2248[[#This Row],[No. Respondants]]/SUM(Tbl_Q2248[No. Respondants])</f>
        <v>0</v>
      </c>
      <c r="FN52" s="87" t="s">
        <v>125</v>
      </c>
      <c r="FO52" s="3">
        <f>COUNTIFS(Tbl_Responses[The level of accuracy of lab analysis_Plant],$FN52,Tbl_Responses[[Resp_Group]:[Resp_Group]],Grower)</f>
        <v>0</v>
      </c>
      <c r="FP52" s="4">
        <f>Tbl_Q2655[[#This Row],[No. Respondants]]/SUM(Tbl_Q2655[No. Respondants])</f>
        <v>0</v>
      </c>
      <c r="FZ52" t="s">
        <v>2337</v>
      </c>
      <c r="GA52" s="3">
        <f>COUNTIFS(Tbl_Responses[Average annual spend - Plant testing],$FZ52,Tbl_Responses[[Resp_Group]:[Resp_Group]],Grower)</f>
        <v>0</v>
      </c>
      <c r="GB52" s="4">
        <f>Tbl_Q2860[[#This Row],[No. Respondants]]/SUM(Tbl_Q2860[No. Respondants])</f>
        <v>0</v>
      </c>
      <c r="GO52" t="s">
        <v>114</v>
      </c>
      <c r="GP52" s="3">
        <f>COUNTIFS(Tbl_Responses[The level of accuracy of soil testing lab analysis_PL],$GO52,Tbl_Responses[[Resp_Group]:[Resp_Group]],Grower)</f>
        <v>0</v>
      </c>
      <c r="GQ52" s="4">
        <f>Tbl_196567[[#This Row],[No. Responses]]/SUM(Tbl_196567[No. Responses])</f>
        <v>0</v>
      </c>
      <c r="GT52" t="s">
        <v>114</v>
      </c>
      <c r="GU52" s="3">
        <f>COUNTIFS(Tbl_Responses[The level of accuracy of soil testing lab analysis_PLP],$GT52,Tbl_Responses[[Resp_Group]:[Resp_Group]],Grower)</f>
        <v>0</v>
      </c>
      <c r="GV52" s="4">
        <f>Tbl_19656668[[#This Row],[No. Responses]]/SUM(Tbl_19656668[No. Responses])</f>
        <v>0</v>
      </c>
      <c r="HA52" s="87" t="s">
        <v>154</v>
      </c>
      <c r="HB52" s="3">
        <f>COUNTIFS(Tbl_Responses[Government agencies],$HA52,Tbl_Responses[[Resp_Group]:[Resp_Group]],Grower)</f>
        <v>3</v>
      </c>
      <c r="HC52" s="4">
        <f>Tbl_infoSources70[[#This Row],[No. Responses]]/SUM(Tbl_infoSources70[No. Responses])</f>
        <v>1.0416666666666666E-2</v>
      </c>
    </row>
    <row r="53" spans="1:211" x14ac:dyDescent="0.25">
      <c r="A53" t="s">
        <v>164</v>
      </c>
      <c r="B53" s="3">
        <f>COUNTIFS(Tbl_Responses[Q1: region],Results!$A53,Tbl_Responses[Resp_Group],Grower)</f>
        <v>5</v>
      </c>
      <c r="C53" s="4">
        <f>B53/SUM(Tbl_Q19[Respondants])</f>
        <v>5.0505050505050504E-2</v>
      </c>
      <c r="D53" s="7">
        <f>AVERAGEIFS(Tbl_Responses[Q2: Cropped Area],Tbl_Responses[Q1: region],Tbl_Q19[[#This Row],[Region]],Tbl_Responses[[Resp_Group]:[Resp_Group]],Grower)</f>
        <v>1040</v>
      </c>
      <c r="F53">
        <v>30001</v>
      </c>
      <c r="G53">
        <v>40000</v>
      </c>
      <c r="H53" t="str">
        <f t="shared" si="2"/>
        <v>30001-40000</v>
      </c>
      <c r="I53" s="3">
        <f>COUNTIFS(Tbl_Responses[Q2: Cropped Area],"&gt;"&amp;F53,Tbl_Responses[Q2: Cropped Area],"&lt;="&amp;G53,Tbl_Responses[Resp_Group],Grower)</f>
        <v>0</v>
      </c>
      <c r="J53" s="4">
        <f>I53/SUM(Tbl_Q210[Number])</f>
        <v>0</v>
      </c>
      <c r="M53" t="s">
        <v>40</v>
      </c>
      <c r="N53" s="4">
        <f>AVERAGEIF(Tbl_Responses[Resp_Group],Grower,Tbl_Responses[Fallow])/100</f>
        <v>2.4747474747474751E-2</v>
      </c>
      <c r="O53" s="6">
        <f>SUMPRODUCT(--(Group="Grower"),Tbl_Responses[Q2: Cropped Area],Tbl_Responses[Fallow])/100</f>
        <v>4107.1000000000004</v>
      </c>
      <c r="P53" s="4">
        <f t="shared" si="3"/>
        <v>3.5358726944639588E-3</v>
      </c>
      <c r="S53" t="s">
        <v>948</v>
      </c>
      <c r="T53" s="4">
        <f>COUNTIFS(Tbl_Responses[[Variable Costs]:[Variable Costs]],T$3,Tbl_Responses[[Q1: region]:[Q1: region]],$S53,Tbl_Responses[[Resp_Group]:[Resp_Group]],Grower)/COUNTIFS(Tbl_Responses[[Q1: region]:[Q1: region]],$S53,Tbl_Responses[[Resp_Group]:[Resp_Group]],Grower)</f>
        <v>0</v>
      </c>
      <c r="U53" s="4">
        <f>COUNTIFS(Tbl_Responses[[Variable Costs]:[Variable Costs]],U$3,Tbl_Responses[[Q1: region]:[Q1: region]],$S53,Tbl_Responses[[Resp_Group]:[Resp_Group]],Grower)/COUNTIFS(Tbl_Responses[[Q1: region]:[Q1: region]],$S53,Tbl_Responses[[Resp_Group]:[Resp_Group]],Grower)</f>
        <v>0</v>
      </c>
      <c r="V53" s="4">
        <f>COUNTIFS(Tbl_Responses[[Variable Costs]:[Variable Costs]],V$3,Tbl_Responses[[Q1: region]:[Q1: region]],$S53,Tbl_Responses[[Resp_Group]:[Resp_Group]],Grower)/COUNTIFS(Tbl_Responses[[Q1: region]:[Q1: region]],$S53,Tbl_Responses[[Resp_Group]:[Resp_Group]],Grower)</f>
        <v>0</v>
      </c>
      <c r="W53" s="4">
        <f>COUNTIFS(Tbl_Responses[[Variable Costs]:[Variable Costs]],W$3,Tbl_Responses[[Q1: region]:[Q1: region]],$S53,Tbl_Responses[[Resp_Group]:[Resp_Group]],Grower)/COUNTIFS(Tbl_Responses[[Q1: region]:[Q1: region]],$S53,Tbl_Responses[[Resp_Group]:[Resp_Group]],Grower)</f>
        <v>0.42857142857142855</v>
      </c>
      <c r="X53" s="4">
        <f>COUNTIFS(Tbl_Responses[[Variable Costs]:[Variable Costs]],X$3,Tbl_Responses[[Q1: region]:[Q1: region]],$S53,Tbl_Responses[[Resp_Group]:[Resp_Group]],Grower)/COUNTIFS(Tbl_Responses[[Q1: region]:[Q1: region]],$S53,Tbl_Responses[[Resp_Group]:[Resp_Group]],Grower)</f>
        <v>0.5714285714285714</v>
      </c>
      <c r="Y53" s="4">
        <f>COUNTIFS(Tbl_Responses[[Variable Costs]:[Variable Costs]],Y$3,Tbl_Responses[[Q1: region]:[Q1: region]],$S53,Tbl_Responses[[Resp_Group]:[Resp_Group]],Grower)/COUNTIFS(Tbl_Responses[[Q1: region]:[Q1: region]],$S53,Tbl_Responses[[Resp_Group]:[Resp_Group]],Grower)</f>
        <v>0</v>
      </c>
      <c r="Z53" s="4">
        <f>COUNTIFS(Tbl_Responses[[Variable Costs]:[Variable Costs]],Z$3,Tbl_Responses[[Q1: region]:[Q1: region]],$S53,Tbl_Responses[[Resp_Group]:[Resp_Group]],Grower)/COUNTIFS(Tbl_Responses[[Q1: region]:[Q1: region]],$S53,Tbl_Responses[[Resp_Group]:[Resp_Group]],Grower)</f>
        <v>0</v>
      </c>
      <c r="AA53" s="4">
        <f>COUNTIFS(Tbl_Responses[[Variable Costs]:[Variable Costs]],AA$3,Tbl_Responses[[Q1: region]:[Q1: region]],$S53,Tbl_Responses[[Resp_Group]:[Resp_Group]],Grower)/COUNTIFS(Tbl_Responses[[Q1: region]:[Q1: region]],$S53,Tbl_Responses[[Resp_Group]:[Resp_Group]],Grower)</f>
        <v>0</v>
      </c>
      <c r="AB53" s="4">
        <f>COUNTIFS(Tbl_Responses[[Variable Costs]:[Variable Costs]],AB$3,Tbl_Responses[[Q1: region]:[Q1: region]],$S53,Tbl_Responses[[Resp_Group]:[Resp_Group]],Grower)/COUNTIFS(Tbl_Responses[[Q1: region]:[Q1: region]],$S53,Tbl_Responses[[Resp_Group]:[Resp_Group]],Grower)</f>
        <v>0</v>
      </c>
      <c r="AG53" t="s">
        <v>948</v>
      </c>
      <c r="AH53" s="4">
        <f>COUNTIFS(Tbl_Responses[[Def_Nutrient_ID]:[Def_Nutrient_ID]],"*N*",Tbl_Responses[[Q1: region]:[Q1: region]],$AG53,Tbl_Responses[[Resp_Group]:[Resp_Group]],Grower)/COUNTIFS(Tbl_Responses[[Def_Nutrient_ID]:[Def_Nutrient_ID]],"&lt;&gt;"&amp;"",Tbl_Responses[[Q1: region]:[Q1: region]],$AG53,Tbl_Responses[[Resp_Group]:[Resp_Group]],Grower)</f>
        <v>0.5714285714285714</v>
      </c>
      <c r="AI53" s="4">
        <f>COUNTIFS(Tbl_Responses[[Def_Nutrient_ID]:[Def_Nutrient_ID]],"*P*",Tbl_Responses[[Q1: region]:[Q1: region]],$AG53,Tbl_Responses[[Resp_Group]:[Resp_Group]],Grower)/COUNTIFS(Tbl_Responses[[Def_Nutrient_ID]:[Def_Nutrient_ID]],"&lt;&gt;"&amp;"",Tbl_Responses[[Q1: region]:[Q1: region]],$AG53,Tbl_Responses[[Resp_Group]:[Resp_Group]],Grower)</f>
        <v>0.7142857142857143</v>
      </c>
      <c r="AJ53" s="4">
        <f>COUNTIFS(Tbl_Responses[[Def_Nutrient_ID]:[Def_Nutrient_ID]],"*K*",Tbl_Responses[[Q1: region]:[Q1: region]],$AG53,Tbl_Responses[[Resp_Group]:[Resp_Group]],Grower)/COUNTIFS(Tbl_Responses[[Def_Nutrient_ID]:[Def_Nutrient_ID]],"&lt;&gt;"&amp;"",Tbl_Responses[[Q1: region]:[Q1: region]],$AG53,Tbl_Responses[[Resp_Group]:[Resp_Group]],Grower)</f>
        <v>0.2857142857142857</v>
      </c>
      <c r="AK53" s="4">
        <f>COUNTIFS(Tbl_Responses[[Def_Nutrient_ID]:[Def_Nutrient_ID]],"*S*",Tbl_Responses[[Q1: region]:[Q1: region]],$AG53,Tbl_Responses[[Resp_Group]:[Resp_Group]],Grower)/COUNTIFS(Tbl_Responses[[Def_Nutrient_ID]:[Def_Nutrient_ID]],"&lt;&gt;"&amp;"",Tbl_Responses[[Q1: region]:[Q1: region]],$AG53,Tbl_Responses[[Resp_Group]:[Resp_Group]],Grower)</f>
        <v>0.42857142857142855</v>
      </c>
      <c r="AL53" s="4">
        <f>COUNTIFS(Tbl_Responses[[Def_Nutrient_ID]:[Def_Nutrient_ID]],"*Zn*",Tbl_Responses[[Q1: region]:[Q1: region]],$AG53,Tbl_Responses[[Resp_Group]:[Resp_Group]],Grower)/COUNTIFS(Tbl_Responses[[Def_Nutrient_ID]:[Def_Nutrient_ID]],"&lt;&gt;"&amp;"",Tbl_Responses[[Q1: region]:[Q1: region]],$AG53,Tbl_Responses[[Resp_Group]:[Resp_Group]],Grower)</f>
        <v>0.2857142857142857</v>
      </c>
      <c r="AM53" s="4">
        <f>COUNTIFS(Tbl_Responses[[Def_Nutrient_ID]:[Def_Nutrient_ID]],"*Mn*",Tbl_Responses[[Q1: region]:[Q1: region]],$AG53,Tbl_Responses[[Resp_Group]:[Resp_Group]],Grower)/COUNTIFS(Tbl_Responses[[Def_Nutrient_ID]:[Def_Nutrient_ID]],"&lt;&gt;"&amp;"",Tbl_Responses[[Q1: region]:[Q1: region]],$AG53,Tbl_Responses[[Resp_Group]:[Resp_Group]],Grower)</f>
        <v>0.42857142857142855</v>
      </c>
      <c r="AN53" s="4">
        <f>COUNTIFS(Tbl_Responses[[Def_Nutrient_ID]:[Def_Nutrient_ID]],"*Mg*",Tbl_Responses[[Q1: region]:[Q1: region]],$AG53,Tbl_Responses[[Resp_Group]:[Resp_Group]],Grower)/COUNTIFS(Tbl_Responses[[Def_Nutrient_ID]:[Def_Nutrient_ID]],"&lt;&gt;"&amp;"",Tbl_Responses[[Q1: region]:[Q1: region]],$AG53,Tbl_Responses[[Resp_Group]:[Resp_Group]],Grower)</f>
        <v>0</v>
      </c>
      <c r="AO53" s="4">
        <f>COUNTIFS(Tbl_Responses[[Def_Nutrient_ID]:[Def_Nutrient_ID]],"*Cu*",Tbl_Responses[[Q1: region]:[Q1: region]],$AG53,Tbl_Responses[[Resp_Group]:[Resp_Group]],Grower)/COUNTIFS(Tbl_Responses[[Def_Nutrient_ID]:[Def_Nutrient_ID]],"&lt;&gt;"&amp;"",Tbl_Responses[[Q1: region]:[Q1: region]],$AG53,Tbl_Responses[[Resp_Group]:[Resp_Group]],Grower)</f>
        <v>0.42857142857142855</v>
      </c>
      <c r="AP53" s="4">
        <f>COUNTIFS(Tbl_Responses[[Def_Nutrient_ID]:[Def_Nutrient_ID]],"*B*",Tbl_Responses[[Q1: region]:[Q1: region]],$AG53,Tbl_Responses[[Resp_Group]:[Resp_Group]],Grower)/COUNTIFS(Tbl_Responses[[Def_Nutrient_ID]:[Def_Nutrient_ID]],"&lt;&gt;"&amp;"",Tbl_Responses[[Q1: region]:[Q1: region]],$AG53,Tbl_Responses[[Resp_Group]:[Resp_Group]],Grower)</f>
        <v>0</v>
      </c>
      <c r="AQ53" s="4">
        <f>COUNTIFS(Tbl_Responses[[Def_Nutrient_ID]:[Def_Nutrient_ID]],"*Ca*",Tbl_Responses[[Q1: region]:[Q1: region]],$AG53,Tbl_Responses[[Resp_Group]:[Resp_Group]],Grower)/COUNTIFS(Tbl_Responses[[Def_Nutrient_ID]:[Def_Nutrient_ID]],"&lt;&gt;"&amp;"",Tbl_Responses[[Q1: region]:[Q1: region]],$AG53,Tbl_Responses[[Resp_Group]:[Resp_Group]],Grower)</f>
        <v>0</v>
      </c>
      <c r="AR53" s="4">
        <f>COUNTIFS(Tbl_Responses[[Def_Nutrient_ID]:[Def_Nutrient_ID]],"*pH*",Tbl_Responses[[Q1: region]:[Q1: region]],$AG53,Tbl_Responses[[Resp_Group]:[Resp_Group]],Grower)/COUNTIFS(Tbl_Responses[[Def_Nutrient_ID]:[Def_Nutrient_ID]],"&lt;&gt;"&amp;"",Tbl_Responses[[Q1: region]:[Q1: region]],$AG53,Tbl_Responses[[Resp_Group]:[Resp_Group]],Grower)</f>
        <v>0</v>
      </c>
      <c r="AS53" s="4">
        <f>COUNTIFS(Tbl_Responses[[Def_Nutrient_ID]:[Def_Nutrient_ID]],"*T*",Tbl_Responses[[Q1: region]:[Q1: region]],$AG53,Tbl_Responses[[Resp_Group]:[Resp_Group]],Grower)/COUNTIFS(Tbl_Responses[[Def_Nutrient_ID]:[Def_Nutrient_ID]],"&lt;&gt;"&amp;"",Tbl_Responses[[Q1: region]:[Q1: region]],$AG53,Tbl_Responses[[Resp_Group]:[Resp_Group]],Grower)</f>
        <v>0</v>
      </c>
      <c r="AV53" t="s">
        <v>948</v>
      </c>
      <c r="AW53" s="4">
        <f>COUNTIFS(Tbl_Responses[[Q6: Do you do/recommend soil and/or plant testing?]:[Q6: Do you do/recommend soil and/or plant testing?]],"Yes",Tbl_Responses[[Q1: region]:[Q1: region]],$AV53,Tbl_Responses[[Resp_Group]:[Resp_Group]],Grower)/COUNTIFS(Tbl_Responses[[Q6: Do you do/recommend soil and/or plant testing?]:[Q6: Do you do/recommend soil and/or plant testing?]],"&lt;&gt;"&amp;"",Tbl_Responses[[Q1: region]:[Q1: region]],$AV53,Tbl_Responses[[Resp_Group]:[Resp_Group]],Grower)</f>
        <v>1</v>
      </c>
      <c r="AX53" s="4">
        <f>COUNTIFS(Tbl_Responses[[Q6: Do you do/recommend soil and/or plant testing?]:[Q6: Do you do/recommend soil and/or plant testing?]],"No",Tbl_Responses[[Q1: region]:[Q1: region]],$AV53,Tbl_Responses[[Resp_Group]:[Resp_Group]],Grower)/COUNTIFS(Tbl_Responses[[Q6: Do you do/recommend soil and/or plant testing?]:[Q6: Do you do/recommend soil and/or plant testing?]],"&lt;&gt;"&amp;"",Tbl_Responses[[Q1: region]:[Q1: region]],$AV53,Tbl_Responses[[Resp_Group]:[Resp_Group]],Grower)</f>
        <v>0</v>
      </c>
      <c r="AY53" s="3">
        <f>COUNTIFS(Tbl_Responses[[Q6: Do you do/recommend soil and/or plant testing?]:[Q6: Do you do/recommend soil and/or plant testing?]],"&gt;""",Tbl_Responses[[Q1: region]:[Q1: region]],$AV9,Tbl_Responses[[Resp_Group]:[Resp_Group]],Grower)</f>
        <v>7</v>
      </c>
      <c r="BA53" s="49"/>
      <c r="BB53" s="46">
        <f>COUNTIFS(Tbl_Responses[Q7: Who makes the nurtient decisions on your farm (grower only)],$BA53,Tbl_Responses[[Resp_Group]:[Resp_Group]],Grower)</f>
        <v>0</v>
      </c>
      <c r="BC53" s="52">
        <f>COUNTIFS(Tbl_Responses[Q7: Who makes the nurtient decisions on your farm (grower only)],$BA53,Tbl_Responses[[Resp_Group]:[Resp_Group]],Grower)/COUNTIFS(Tbl_Responses[Q7: Who makes the nurtient decisions on your farm (grower only)],"&gt;""",Tbl_Responses[[Resp_Group]:[Resp_Group]],Grower)</f>
        <v>0</v>
      </c>
      <c r="BD53" s="46" t="s">
        <v>218</v>
      </c>
      <c r="BE53" s="46">
        <f>COUNTIFS(Tbl_Responses[Response6],$BD53,Tbl_Responses[[Resp_Group]:[Resp_Group]],Grower)</f>
        <v>0</v>
      </c>
      <c r="BF53" s="46">
        <f>COUNTIFS(Tbl_Responses[Response7],$BD53,Tbl_Responses[[Resp_Group]:[Resp_Group]],Grower)</f>
        <v>0</v>
      </c>
      <c r="BH53" t="s">
        <v>1459</v>
      </c>
      <c r="BI53" s="3">
        <f>COUNTIFS(Tbl_Responses[Source_1_ID],$BH53,Tbl_Responses[[Resp_Group]:[Resp_Group]],Grower)+COUNTIFS(Tbl_Responses[Source_2_ID],$BH53,Tbl_Responses[[Resp_Group]:[Resp_Group]],Grower)+COUNTIFS(Tbl_Responses[Source_3_ID],$BH53,Tbl_Responses[[Resp_Group]:[Resp_Group]],Grower)</f>
        <v>32</v>
      </c>
      <c r="BJ53" s="4">
        <f>Tbl_Q1120[[#This Row],[Q11 Response]]/SUM(Tbl_Q1120[Q11 Response])</f>
        <v>0.22222222222222221</v>
      </c>
      <c r="BQ53" s="38" t="s">
        <v>175</v>
      </c>
      <c r="BR53" s="4">
        <f>COUNTIFS(Tbl_Responses[What % of your clients soil tested in 2018?],$BQ53,Tbl_Responses[[Resp_Group]:[Resp_Group]],Grower)/COUNTIFS(Tbl_Responses[What % of your clients soil tested in 2018?],"&gt;""",Tbl_Responses[[Resp_Group]:[Resp_Group]],Grower)</f>
        <v>0.1</v>
      </c>
      <c r="BS53" s="4">
        <f>COUNTIFS(Tbl_Responses[What % of your clients tested for N in 2018?],$BQ53,Tbl_Responses[[Resp_Group]:[Resp_Group]],Grower)/COUNTIFS(Tbl_Responses[What % of your clients tested for N in 2018?],"&gt;""",Tbl_Responses[[Resp_Group]:[Resp_Group]],Grower)</f>
        <v>8.1632653061224483E-2</v>
      </c>
      <c r="BT53" s="4">
        <f>COUNTIFS(Tbl_Responses[What % of your clients tested for N to at least 60cm in 2018?],$BQ53,Tbl_Responses[[Resp_Group]:[Resp_Group]],Grower)/COUNTIFS(Tbl_Responses[What % of your clients tested for N to at least 60cm in 2018?],"&gt;""",Tbl_Responses[[Resp_Group]:[Resp_Group]],Grower)</f>
        <v>9.5238095238095233E-2</v>
      </c>
      <c r="BU53" s="4">
        <f>COUNTIFS(Tbl_Responses[What % of your clients tested for P in 2018?],$BQ53,Tbl_Responses[[Resp_Group]:[Resp_Group]],Grower)/COUNTIFS(Tbl_Responses[What % of your clients tested for P in 2018?],"&gt;""",Tbl_Responses[[Resp_Group]:[Resp_Group]],Grower)</f>
        <v>6.25E-2</v>
      </c>
      <c r="CB53" s="49" t="s">
        <v>540</v>
      </c>
      <c r="CC53" s="62">
        <f>(COUNTIFS(Tbl_Responses[Nitrogen 1 - Type of test],Tbl_14_sampling33[[#Headers],[Organic Carbon]],Tbl_Responses[Nitrogen 1 - How many representative samples per paddock],$CB53,Tbl_Responses[[Resp_Group]:[Resp_Group]],Grower)+COUNTIFS(Tbl_Responses[Nitrogen 2 - Type of test],Tbl_14_sampling33[[#Headers],[Organic Carbon]],Tbl_Responses[Nitrogen 2 - How many representative samples per paddock],$CB53,Tbl_Responses[[Resp_Group]:[Resp_Group]],Grower)+COUNTIFS(Tbl_Responses[Nitrogen 3 - Type of test],Tbl_14_sampling33[[#Headers],[Organic Carbon]],Tbl_Responses[Nitrogen 3 - How many representative samples per paddock],$CB53,Tbl_Responses[[Resp_Group]:[Resp_Group]],Grower))/(COUNTIFS(Tbl_Responses[Nitrogen 1 - Type of test],Tbl_14_sampling33[[#Headers],[Organic Carbon]],Tbl_Responses[Nitrogen 1 - How many representative samples per paddock],"&gt;""",Tbl_Responses[[Resp_Group]:[Resp_Group]],Grower)+COUNTIFS(Tbl_Responses[Nitrogen 2 - Type of test],Tbl_14_sampling33[[#Headers],[Organic Carbon]],Tbl_Responses[Nitrogen 2 - How many representative samples per paddock],"&gt;""",Tbl_Responses[[Resp_Group]:[Resp_Group]],Grower)+COUNTIFS(Tbl_Responses[Nitrogen 3 - Type of test],Tbl_14_sampling33[[#Headers],[Organic Carbon]],Tbl_Responses[Nitrogen 3 - How many representative samples per paddock],"&gt;""",Tbl_Responses[[Resp_Group]:[Resp_Group]],Grower))</f>
        <v>0.13333333333333333</v>
      </c>
      <c r="CD53" s="62">
        <f>(COUNTIFS(Tbl_Responses[Nitrogen 1 - Type of test],Tbl_14_sampling33[[#Headers],[Mineral N (Nitrate/Ammonium)]],Tbl_Responses[Nitrogen 1 - How many representative samples per paddock],$CB53,Tbl_Responses[[Resp_Group]:[Resp_Group]],Grower)+COUNTIFS(Tbl_Responses[Nitrogen 2 - Type of test],Tbl_14_sampling33[[#Headers],[Mineral N (Nitrate/Ammonium)]],Tbl_Responses[Nitrogen 2 - How many representative samples per paddock],$CB53,Tbl_Responses[[Resp_Group]:[Resp_Group]],Grower)+COUNTIFS(Tbl_Responses[Nitrogen 3 - Type of test],Tbl_14_sampling33[[#Headers],[Mineral N (Nitrate/Ammonium)]],Tbl_Responses[Nitrogen 3 - How many representative samples per paddock],$CB53,Tbl_Responses[[Resp_Group]:[Resp_Group]],Grower))/(COUNTIFS(Tbl_Responses[Nitrogen 1 - Type of test],Tbl_14_sampling33[[#Headers],[Mineral N (Nitrate/Ammonium)]],Tbl_Responses[Nitrogen 1 - How many representative samples per paddock],"&gt;""",Tbl_Responses[[Resp_Group]:[Resp_Group]],Grower)+COUNTIFS(Tbl_Responses[Nitrogen 2 - Type of test],Tbl_14_sampling33[[#Headers],[Mineral N (Nitrate/Ammonium)]],Tbl_Responses[Nitrogen 2 - How many representative samples per paddock],"&gt;""",Tbl_Responses[[Resp_Group]:[Resp_Group]],Grower)+COUNTIFS(Tbl_Responses[Nitrogen 3 - Type of test],Tbl_14_sampling33[[#Headers],[Mineral N (Nitrate/Ammonium)]],Tbl_Responses[Nitrogen 3 - How many representative samples per paddock],"&gt;""",Tbl_Responses[[Resp_Group]:[Resp_Group]],Grower))</f>
        <v>0.13333333333333333</v>
      </c>
      <c r="CE53" s="62">
        <f>(COUNTIFS(Tbl_Responses[Nitrogen 1 - Type of test],Tbl_14_sampling33[[#Headers],[Total N]],Tbl_Responses[Nitrogen 1 - How many representative samples per paddock],$CB53,Tbl_Responses[[Resp_Group]:[Resp_Group]],Grower)+COUNTIFS(Tbl_Responses[Nitrogen 2 - Type of test],Tbl_14_sampling33[[#Headers],[Total N]],Tbl_Responses[Nitrogen 2 - How many representative samples per paddock],$CB53,Tbl_Responses[[Resp_Group]:[Resp_Group]],Grower)+COUNTIFS(Tbl_Responses[Nitrogen 3 - Type of test],Tbl_14_sampling33[[#Headers],[Total N]],Tbl_Responses[Nitrogen 3 - How many representative samples per paddock],$CB53,Tbl_Responses[[Resp_Group]:[Resp_Group]],Grower))/(COUNTIFS(Tbl_Responses[Nitrogen 1 - Type of test],Tbl_14_sampling33[[#Headers],[Total N]],Tbl_Responses[Nitrogen 1 - How many representative samples per paddock],"&gt;""",Tbl_Responses[[Resp_Group]:[Resp_Group]],Grower)+COUNTIFS(Tbl_Responses[Nitrogen 2 - Type of test],Tbl_14_sampling33[[#Headers],[Total N]],Tbl_Responses[Nitrogen 2 - How many representative samples per paddock],"&gt;""",Tbl_Responses[[Resp_Group]:[Resp_Group]],Grower)+COUNTIFS(Tbl_Responses[Nitrogen 3 - Type of test],Tbl_14_sampling33[[#Headers],[Total N]],Tbl_Responses[Nitrogen 3 - How many representative samples per paddock],"&gt;""",Tbl_Responses[[Resp_Group]:[Resp_Group]],Grower))</f>
        <v>0.05</v>
      </c>
      <c r="CF53" s="62">
        <f>(COUNTIFS(Tbl_Responses[Nitrogen 1 - How many representative samples per paddock],$CB53,Tbl_Responses[[Resp_Group]:[Resp_Group]],Grower)+COUNTIFS(Tbl_Responses[Nitrogen 2 - How many representative samples per paddock],$CB53,Tbl_Responses[[Resp_Group]:[Resp_Group]],Grower)+COUNTIFS(Tbl_Responses[Nitrogen 3 - How many representative samples per paddock],$CB53,Tbl_Responses[[Resp_Group]:[Resp_Group]],Grower))/(COUNTIFS(Tbl_Responses[Nitrogen 1 - How many representative samples per paddock],"&gt;""",Tbl_Responses[[Resp_Group]:[Resp_Group]],Grower)+COUNTIFS(Tbl_Responses[Nitrogen 2 - How many representative samples per paddock],"&gt;""",Tbl_Responses[[Resp_Group]:[Resp_Group]],Grower)+COUNTIFS(Tbl_Responses[Nitrogen 3 - How many representative samples per paddock],"&gt;""",Tbl_Responses[[Resp_Group]:[Resp_Group]],Grower))</f>
        <v>0.1</v>
      </c>
      <c r="CG53" s="72"/>
      <c r="CH53" s="72"/>
      <c r="CI53" s="72"/>
      <c r="CJ53" s="72"/>
      <c r="CK53" s="72"/>
      <c r="CL53" s="72"/>
      <c r="CM53" s="56" t="s">
        <v>540</v>
      </c>
      <c r="CN53" s="67">
        <f>(COUNTIFS(Tbl_Responses[Phosphorus 1 - Type of test],Tbl_Q15_sampling34[[#Headers],[Colwell P]],Tbl_Responses[Phosphorus 1 - How many representative samples per paddock],$CM53,Tbl_Responses[[Resp_Group]:[Resp_Group]],Grower)+COUNTIFS(Tbl_Responses[Phosphorus 2 - Type of test],Tbl_Q15_sampling34[[#Headers],[Colwell P]],Tbl_Responses[Phosphorus 2 - How many representative samples per paddock],$CM53,Tbl_Responses[[Resp_Group]:[Resp_Group]],Grower)+COUNTIFS(Tbl_Responses[Phosphorus 3 - Type of test],Tbl_Q15_sampling34[[#Headers],[Colwell P]],Tbl_Responses[Phosphorus 3 - How many representative samples per paddock],$CM53,Tbl_Responses[[Resp_Group]:[Resp_Group]],Grower)+COUNTIFS(Tbl_Responses[Phosphorus 4 - Type of test],Tbl_Q15_sampling34[[#Headers],[Colwell P]],Tbl_Responses[Phosphorus 4 - How many representative samples per paddock],$CM53,Tbl_Responses[[Resp_Group]:[Resp_Group]],Grower)+COUNTIFS(Tbl_Responses[Phosphorus 5 - Type of test],Tbl_Q15_sampling34[[#Headers],[Colwell P]],Tbl_Responses[Phosphorus 5 - How many representative samples per paddock],$CM53,Tbl_Responses[[Resp_Group]:[Resp_Group]],Grower))/(COUNTIFS(Tbl_Responses[Phosphorus 1 - Type of test],Tbl_Q15_sampling34[[#Headers],[Colwell P]],Tbl_Responses[Phosphorus 1 - How many representative samples per paddock],"&gt;""",Tbl_Responses[[Resp_Group]:[Resp_Group]],Grower)+COUNTIFS(Tbl_Responses[Phosphorus 2 - Type of test],Tbl_Q15_sampling34[[#Headers],[Colwell P]],Tbl_Responses[Phosphorus 2 - How many representative samples per paddock],"&gt;""",Tbl_Responses[[Resp_Group]:[Resp_Group]],Grower)+COUNTIFS(Tbl_Responses[Phosphorus 3 - Type of test],Tbl_Q15_sampling34[[#Headers],[Colwell P]],Tbl_Responses[Phosphorus 3 - How many representative samples per paddock],"&gt;""",Tbl_Responses[[Resp_Group]:[Resp_Group]],Grower)+COUNTIFS(Tbl_Responses[Phosphorus 4 - Type of test],Tbl_Q15_sampling34[[#Headers],[Colwell P]],Tbl_Responses[Phosphorus 4 - How many representative samples per paddock],"&gt;""",Tbl_Responses[[Resp_Group]:[Resp_Group]],Grower)+COUNTIFS(Tbl_Responses[Phosphorus 5 - Type of test],Tbl_Q15_sampling34[[#Headers],[Colwell P]],Tbl_Responses[Phosphorus 5 - How many representative samples per paddock],"&gt;""",Tbl_Responses[[Resp_Group]:[Resp_Group]],Grower))</f>
        <v>9.0909090909090912E-2</v>
      </c>
      <c r="CO53" s="62">
        <f>(COUNTIFS(Tbl_Responses[Phosphorus 1 - Type of test],Tbl_Q15_sampling34[[#Headers],[Olsen-Bray P]],Tbl_Responses[Phosphorus 1 - How many representative samples per paddock],$CM53,Tbl_Responses[[Resp_Group]:[Resp_Group]],Grower)+COUNTIFS(Tbl_Responses[Phosphorus 2 - Type of test],Tbl_Q15_sampling34[[#Headers],[Olsen-Bray P]],Tbl_Responses[Phosphorus 2 - How many representative samples per paddock],$CM53,Tbl_Responses[[Resp_Group]:[Resp_Group]],Grower)+COUNTIFS(Tbl_Responses[Phosphorus 3 - Type of test],Tbl_Q15_sampling34[[#Headers],[Olsen-Bray P]],Tbl_Responses[Phosphorus 3 - How many representative samples per paddock],$CM53,Tbl_Responses[[Resp_Group]:[Resp_Group]],Grower)+COUNTIFS(Tbl_Responses[Phosphorus 4 - Type of test],Tbl_Q15_sampling34[[#Headers],[Olsen-Bray P]],Tbl_Responses[Phosphorus 4 - How many representative samples per paddock],$CM53,Tbl_Responses[[Resp_Group]:[Resp_Group]],Grower)+COUNTIFS(Tbl_Responses[Phosphorus 5 - Type of test],Tbl_Q15_sampling34[[#Headers],[Olsen-Bray P]],Tbl_Responses[Phosphorus 5 - How many representative samples per paddock],$CM53,Tbl_Responses[[Resp_Group]:[Resp_Group]],Grower))/(COUNTIFS(Tbl_Responses[Phosphorus 1 - Type of test],Tbl_Q15_sampling34[[#Headers],[Olsen-Bray P]],Tbl_Responses[Phosphorus 1 - How many representative samples per paddock],"&gt;""",Tbl_Responses[[Resp_Group]:[Resp_Group]],Grower)+COUNTIFS(Tbl_Responses[Phosphorus 2 - Type of test],Tbl_Q15_sampling34[[#Headers],[Olsen-Bray P]],Tbl_Responses[Phosphorus 2 - How many representative samples per paddock],"&gt;""",Tbl_Responses[[Resp_Group]:[Resp_Group]],Grower)+COUNTIFS(Tbl_Responses[Phosphorus 3 - Type of test],Tbl_Q15_sampling34[[#Headers],[Olsen-Bray P]],Tbl_Responses[Phosphorus 3 - How many representative samples per paddock],"&gt;""",Tbl_Responses[[Resp_Group]:[Resp_Group]],Grower)+COUNTIFS(Tbl_Responses[Phosphorus 4 - Type of test],Tbl_Q15_sampling34[[#Headers],[Olsen-Bray P]],Tbl_Responses[Phosphorus 4 - How many representative samples per paddock],"&gt;""",Tbl_Responses[[Resp_Group]:[Resp_Group]],Grower)+COUNTIFS(Tbl_Responses[Phosphorus 5 - Type of test],Tbl_Q15_sampling34[[#Headers],[Olsen-Bray P]],Tbl_Responses[Phosphorus 5 - How many representative samples per paddock],"&gt;""",Tbl_Responses[[Resp_Group]:[Resp_Group]],Grower))</f>
        <v>0</v>
      </c>
      <c r="CP53" s="62">
        <f>(COUNTIFS(Tbl_Responses[Phosphorus 1 - Type of test],Tbl_Q15_sampling34[[#Headers],[PBI (Phosphorus Buffering Index)]],Tbl_Responses[Phosphorus 1 - How many representative samples per paddock],$CM53,Tbl_Responses[[Resp_Group]:[Resp_Group]],Grower)+COUNTIFS(Tbl_Responses[Phosphorus 2 - Type of test],Tbl_Q15_sampling34[[#Headers],[PBI (Phosphorus Buffering Index)]],Tbl_Responses[Phosphorus 2 - How many representative samples per paddock],$CM53,Tbl_Responses[[Resp_Group]:[Resp_Group]],Grower)+COUNTIFS(Tbl_Responses[Phosphorus 3 - Type of test],Tbl_Q15_sampling34[[#Headers],[PBI (Phosphorus Buffering Index)]],Tbl_Responses[Phosphorus 3 - How many representative samples per paddock],$CM53,Tbl_Responses[[Resp_Group]:[Resp_Group]],Grower)+COUNTIFS(Tbl_Responses[Phosphorus 4 - Type of test],Tbl_Q15_sampling34[[#Headers],[PBI (Phosphorus Buffering Index)]],Tbl_Responses[Phosphorus 4 - How many representative samples per paddock],$CM53,Tbl_Responses[[Resp_Group]:[Resp_Group]],Grower)+COUNTIFS(Tbl_Responses[Phosphorus 5 - Type of test],Tbl_Q15_sampling34[[#Headers],[PBI (Phosphorus Buffering Index)]],Tbl_Responses[Phosphorus 5 - How many representative samples per paddock],$CM53,Tbl_Responses[[Resp_Group]:[Resp_Group]],Grower))/(COUNTIFS(Tbl_Responses[Phosphorus 1 - Type of test],Tbl_Q15_sampling34[[#Headers],[PBI (Phosphorus Buffering Index)]],Tbl_Responses[Phosphorus 1 - How many representative samples per paddock],"&gt;""",Tbl_Responses[[Resp_Group]:[Resp_Group]],Grower)+COUNTIFS(Tbl_Responses[Phosphorus 2 - Type of test],Tbl_Q15_sampling34[[#Headers],[PBI (Phosphorus Buffering Index)]],Tbl_Responses[Phosphorus 2 - How many representative samples per paddock],"&gt;""",Tbl_Responses[[Resp_Group]:[Resp_Group]],Grower)+COUNTIFS(Tbl_Responses[Phosphorus 3 - Type of test],Tbl_Q15_sampling34[[#Headers],[PBI (Phosphorus Buffering Index)]],Tbl_Responses[Phosphorus 3 - How many representative samples per paddock],"&gt;""",Tbl_Responses[[Resp_Group]:[Resp_Group]],Grower)+COUNTIFS(Tbl_Responses[Phosphorus 4 - Type of test],Tbl_Q15_sampling34[[#Headers],[PBI (Phosphorus Buffering Index)]],Tbl_Responses[Phosphorus 4 - How many representative samples per paddock],"&gt;""",Tbl_Responses[[Resp_Group]:[Resp_Group]],Grower)+COUNTIFS(Tbl_Responses[Phosphorus 5 - Type of test],Tbl_Q15_sampling34[[#Headers],[PBI (Phosphorus Buffering Index)]],Tbl_Responses[Phosphorus 5 - How many representative samples per paddock],"&gt;""",Tbl_Responses[[Resp_Group]:[Resp_Group]],Grower))</f>
        <v>0.25</v>
      </c>
      <c r="CQ53" s="62">
        <f>(COUNTIFS(Tbl_Responses[Phosphorus 1 - Type of test],Tbl_Q15_sampling34[[#Headers],[DGT]],Tbl_Responses[Phosphorus 1 - How many representative samples per paddock],$CM53,Tbl_Responses[[Resp_Group]:[Resp_Group]],Grower)+COUNTIFS(Tbl_Responses[Phosphorus 2 - Type of test],Tbl_Q15_sampling34[[#Headers],[DGT]],Tbl_Responses[Phosphorus 2 - How many representative samples per paddock],$CM53,Tbl_Responses[[Resp_Group]:[Resp_Group]],Grower)+COUNTIFS(Tbl_Responses[Phosphorus 3 - Type of test],Tbl_Q15_sampling34[[#Headers],[DGT]],Tbl_Responses[Phosphorus 3 - How many representative samples per paddock],$CM53,Tbl_Responses[[Resp_Group]:[Resp_Group]],Grower)+COUNTIFS(Tbl_Responses[Phosphorus 4 - Type of test],Tbl_Q15_sampling34[[#Headers],[DGT]],Tbl_Responses[Phosphorus 4 - How many representative samples per paddock],$CM53,Tbl_Responses[[Resp_Group]:[Resp_Group]],Grower)+COUNTIFS(Tbl_Responses[Phosphorus 5 - Type of test],Tbl_Q15_sampling34[[#Headers],[DGT]],Tbl_Responses[Phosphorus 5 - How many representative samples per paddock],$CM53,Tbl_Responses[[Resp_Group]:[Resp_Group]],Grower))/(COUNTIFS(Tbl_Responses[Phosphorus 1 - Type of test],Tbl_Q15_sampling34[[#Headers],[DGT]],Tbl_Responses[Phosphorus 1 - How many representative samples per paddock],"&gt;""",Tbl_Responses[[Resp_Group]:[Resp_Group]],Grower)+COUNTIFS(Tbl_Responses[Phosphorus 2 - Type of test],Tbl_Q15_sampling34[[#Headers],[DGT]],Tbl_Responses[Phosphorus 2 - How many representative samples per paddock],"&gt;""",Tbl_Responses[[Resp_Group]:[Resp_Group]],Grower)+COUNTIFS(Tbl_Responses[Phosphorus 3 - Type of test],Tbl_Q15_sampling34[[#Headers],[DGT]],Tbl_Responses[Phosphorus 3 - How many representative samples per paddock],"&gt;""",Tbl_Responses[[Resp_Group]:[Resp_Group]],Grower)+COUNTIFS(Tbl_Responses[Phosphorus 4 - Type of test],Tbl_Q15_sampling34[[#Headers],[DGT]],Tbl_Responses[Phosphorus 4 - How many representative samples per paddock],"&gt;""",Tbl_Responses[[Resp_Group]:[Resp_Group]],Grower)+COUNTIFS(Tbl_Responses[Phosphorus 5 - Type of test],Tbl_Q15_sampling34[[#Headers],[DGT]],Tbl_Responses[Phosphorus 5 - How many representative samples per paddock],"&gt;""",Tbl_Responses[[Resp_Group]:[Resp_Group]],Grower))</f>
        <v>9.0909090909090912E-2</v>
      </c>
      <c r="CR53" s="62">
        <f>(COUNTIFS(Tbl_Responses[Phosphorus 1 - Type of test],Tbl_Q15_sampling34[[#Headers],[Total P]],Tbl_Responses[Phosphorus 1 - How many representative samples per paddock],$CM53,Tbl_Responses[[Resp_Group]:[Resp_Group]],Grower)+COUNTIFS(Tbl_Responses[Phosphorus 2 - Type of test],Tbl_Q15_sampling34[[#Headers],[Total P]],Tbl_Responses[Phosphorus 2 - How many representative samples per paddock],$CM53,Tbl_Responses[[Resp_Group]:[Resp_Group]],Grower)+COUNTIFS(Tbl_Responses[Phosphorus 3 - Type of test],Tbl_Q15_sampling34[[#Headers],[Total P]],Tbl_Responses[Phosphorus 3 - How many representative samples per paddock],$CM53,Tbl_Responses[[Resp_Group]:[Resp_Group]],Grower)+COUNTIFS(Tbl_Responses[Phosphorus 4 - Type of test],Tbl_Q15_sampling34[[#Headers],[Total P]],Tbl_Responses[Phosphorus 4 - How many representative samples per paddock],$CM53,Tbl_Responses[[Resp_Group]:[Resp_Group]],Grower)+COUNTIFS(Tbl_Responses[Phosphorus 5 - Type of test],Tbl_Q15_sampling34[[#Headers],[Total P]],Tbl_Responses[Phosphorus 5 - How many representative samples per paddock],$CM53,Tbl_Responses[[Resp_Group]:[Resp_Group]],Grower))/(COUNTIFS(Tbl_Responses[Phosphorus 1 - Type of test],Tbl_Q15_sampling34[[#Headers],[Total P]],Tbl_Responses[Phosphorus 1 - How many representative samples per paddock],"&gt;""",Tbl_Responses[[Resp_Group]:[Resp_Group]],Grower)+COUNTIFS(Tbl_Responses[Phosphorus 2 - Type of test],Tbl_Q15_sampling34[[#Headers],[Total P]],Tbl_Responses[Phosphorus 2 - How many representative samples per paddock],"&gt;""",Tbl_Responses[[Resp_Group]:[Resp_Group]],Grower)+COUNTIFS(Tbl_Responses[Phosphorus 3 - Type of test],Tbl_Q15_sampling34[[#Headers],[Total P]],Tbl_Responses[Phosphorus 3 - How many representative samples per paddock],"&gt;""",Tbl_Responses[[Resp_Group]:[Resp_Group]],Grower)+COUNTIFS(Tbl_Responses[Phosphorus 4 - Type of test],Tbl_Q15_sampling34[[#Headers],[Total P]],Tbl_Responses[Phosphorus 4 - How many representative samples per paddock],"&gt;""",Tbl_Responses[[Resp_Group]:[Resp_Group]],Grower)+COUNTIFS(Tbl_Responses[Phosphorus 5 - Type of test],Tbl_Q15_sampling34[[#Headers],[Total P]],Tbl_Responses[Phosphorus 5 - How many representative samples per paddock],"&gt;""",Tbl_Responses[[Resp_Group]:[Resp_Group]],Grower))</f>
        <v>0.14285714285714285</v>
      </c>
      <c r="CS53" s="82">
        <f>(COUNTIFS(Tbl_Responses[Phosphorus 1 - How many representative samples per paddock],$CM53,Tbl_Responses[[Resp_Group]:[Resp_Group]],Grower)+COUNTIFS(Tbl_Responses[Phosphorus 2 - How many representative samples per paddock],$CM53,Tbl_Responses[[Resp_Group]:[Resp_Group]],Grower)+COUNTIFS(Tbl_Responses[Phosphorus 3 - How many representative samples per paddock],$CM53,Tbl_Responses[[Resp_Group]:[Resp_Group]],Grower)+COUNTIFS(Tbl_Responses[Phosphorus 4 - How many representative samples per paddock],$CM53,Tbl_Responses[[Resp_Group]:[Resp_Group]],Grower)+COUNTIFS(Tbl_Responses[Phosphorus 5 - How many representative samples per paddock],$CM53,Tbl_Responses[[Resp_Group]:[Resp_Group]],Grower))/(COUNTIFS(Tbl_Responses[Phosphorus 1 - How many representative samples per paddock],"&gt;""",Tbl_Responses[[Resp_Group]:[Resp_Group]],Grower)+COUNTIFS(Tbl_Responses[Phosphorus 2 - How many representative samples per paddock],"&gt;""",Tbl_Responses[[Resp_Group]:[Resp_Group]],Grower)+COUNTIFS(Tbl_Responses[Phosphorus 3 - How many representative samples per paddock],"&gt;""",Tbl_Responses[[Resp_Group]:[Resp_Group]],Grower)+COUNTIFS(Tbl_Responses[Phosphorus 4 - How many representative samples per paddock],"&gt;""",Tbl_Responses[[Resp_Group]:[Resp_Group]],Grower)+COUNTIFS(Tbl_Responses[Phosphorus 5 - How many representative samples per paddock],"&gt;""",Tbl_Responses[[Resp_Group]:[Resp_Group]],Grower))</f>
        <v>0.11538461538461539</v>
      </c>
      <c r="CT53" s="72"/>
      <c r="CU53" s="72"/>
      <c r="CV53" s="72"/>
      <c r="CW53" s="72"/>
      <c r="CX53" s="72"/>
      <c r="CY53" s="72"/>
      <c r="CZ53" s="56" t="s">
        <v>540</v>
      </c>
      <c r="DA53" s="67">
        <f>(COUNTIFS(Tbl_Responses[Potassium 1 - Type of test],Tbl_Q16_sampling35[[#Headers],[Colwell K]],Tbl_Responses[Potassium 1 - How many representative samples per paddock],$CZ53,Tbl_Responses[[Resp_Group]:[Resp_Group]],Grower)+COUNTIFS(Tbl_Responses[Potassium 2 - Type of test],Tbl_Q16_sampling35[[#Headers],[Colwell K]],Tbl_Responses[Potassium 2 - How many representative samples per paddock],$CZ53,Tbl_Responses[[Resp_Group]:[Resp_Group]],Grower)+COUNTIFS(Tbl_Responses[Potassium 3 - Type of test],Tbl_Q16_sampling35[[#Headers],[Colwell K]],Tbl_Responses[Potassium 3 - How many representative samples per paddock],$CZ53,Tbl_Responses[[Resp_Group]:[Resp_Group]],Grower))/(COUNTIFS(Tbl_Responses[Potassium 1 - Type of test],Tbl_Q16_sampling35[[#Headers],[Colwell K]],Tbl_Responses[Potassium 1 - How many representative samples per paddock],"&gt;""",Tbl_Responses[[Resp_Group]:[Resp_Group]],Grower)+COUNTIFS(Tbl_Responses[Potassium 2 - Type of test],Tbl_Q16_sampling35[[#Headers],[Colwell K]],Tbl_Responses[Potassium 2 - How many representative samples per paddock],"&gt;""",Tbl_Responses[[Resp_Group]:[Resp_Group]],Grower)+COUNTIFS(Tbl_Responses[Potassium 3 - Type of test],Tbl_Q16_sampling35[[#Headers],[Colwell K]],Tbl_Responses[Potassium 3 - How many representative samples per paddock],"&gt;""",Tbl_Responses[[Resp_Group]:[Resp_Group]],Grower))</f>
        <v>0.25</v>
      </c>
      <c r="DB53" s="62">
        <f>(COUNTIFS(Tbl_Responses[Potassium 1 - Type of test],Tbl_Q16_sampling35[[#Headers],[Exchangable Cations (Ca, Mg, K, Na)]],Tbl_Responses[Potassium 1 - How many representative samples per paddock],$CZ53,Tbl_Responses[[Resp_Group]:[Resp_Group]],Grower)+COUNTIFS(Tbl_Responses[Potassium 2 - Type of test],Tbl_Q16_sampling35[[#Headers],[Exchangable Cations (Ca, Mg, K, Na)]],Tbl_Responses[Potassium 2 - How many representative samples per paddock],$CZ53,Tbl_Responses[[Resp_Group]:[Resp_Group]],Grower)+COUNTIFS(Tbl_Responses[Potassium 3 - Type of test],Tbl_Q16_sampling35[[#Headers],[Exchangable Cations (Ca, Mg, K, Na)]],Tbl_Responses[Potassium 3 - How many representative samples per paddock],$CZ53,Tbl_Responses[[Resp_Group]:[Resp_Group]],Grower))/(COUNTIFS(Tbl_Responses[Potassium 1 - Type of test],Tbl_Q16_sampling35[[#Headers],[Exchangable Cations (Ca, Mg, K, Na)]],Tbl_Responses[Potassium 1 - How many representative samples per paddock],"&gt;""",Tbl_Responses[[Resp_Group]:[Resp_Group]],Grower)+COUNTIFS(Tbl_Responses[Potassium 2 - Type of test],Tbl_Q16_sampling35[[#Headers],[Exchangable Cations (Ca, Mg, K, Na)]],Tbl_Responses[Potassium 2 - How many representative samples per paddock],"&gt;""",Tbl_Responses[[Resp_Group]:[Resp_Group]],Grower)+COUNTIFS(Tbl_Responses[Potassium 3 - Type of test],Tbl_Q16_sampling35[[#Headers],[Exchangable Cations (Ca, Mg, K, Na)]],Tbl_Responses[Potassium 3 - How many representative samples per paddock],"&gt;""",Tbl_Responses[[Resp_Group]:[Resp_Group]],Grower))</f>
        <v>0.33333333333333331</v>
      </c>
      <c r="DC53" s="70">
        <f>(COUNTIFS(Tbl_Responses[Potassium 1 - How many representative samples per paddock],$CZ53,Tbl_Responses[[Resp_Group]:[Resp_Group]],Grower)+COUNTIFS(Tbl_Responses[Potassium 2 - How many representative samples per paddock],$CZ53,Tbl_Responses[[Resp_Group]:[Resp_Group]],Grower)+COUNTIFS(Tbl_Responses[Potassium 3 - How many representative samples per paddock],$CZ53,Tbl_Responses[[Resp_Group]:[Resp_Group]],Grower))/(COUNTIFS(Tbl_Responses[Potassium 1 - How many representative samples per paddock],"&gt;""",Tbl_Responses[[Resp_Group]:[Resp_Group]],Grower)+COUNTIFS(Tbl_Responses[Potassium 2 - How many representative samples per paddock],"&gt;""",Tbl_Responses[[Resp_Group]:[Resp_Group]],Grower)+COUNTIFS(Tbl_Responses[Potassium 3 - How many representative samples per paddock],"&gt;""",Tbl_Responses[[Resp_Group]:[Resp_Group]],Grower))</f>
        <v>0.2857142857142857</v>
      </c>
      <c r="DD53" s="72"/>
      <c r="DE53" s="72"/>
      <c r="DF53" s="80" t="s">
        <v>188</v>
      </c>
      <c r="DG53" s="72">
        <f>(COUNTIFS(Tbl_Responses[1 - Type of test],DF53,Tbl_Responses[[Resp_Group]:[Resp_Group]],Grower)+COUNTIFS(Tbl_Responses[2 - Type of test],DF53,Tbl_Responses[[Resp_Group]:[Resp_Group]],Grower)+COUNTIFS(Tbl_Responses[3 - Type of test],DF53,Tbl_Responses[[Resp_Group]:[Resp_Group]],Grower)+COUNTIFS(Tbl_Responses[4 - Type of test],DF53,Tbl_Responses[[Resp_Group]:[Resp_Group]],Grower)+COUNTIFS(Tbl_Responses[5 - Type of test],DF53,Tbl_Responses[[Resp_Group]:[Resp_Group]],Grower))/(COUNTIFS(Tbl_Responses[1 - Type of test],"&gt;""",Tbl_Responses[[Resp_Group]:[Resp_Group]],Grower)+COUNTIFS(Tbl_Responses[2 - Type of test],"&gt;""",Tbl_Responses[[Resp_Group]:[Resp_Group]],Grower)+COUNTIFS(Tbl_Responses[3 - Type of test],"&gt;""",Tbl_Responses[[Resp_Group]:[Resp_Group]],Grower)+COUNTIFS(Tbl_Responses[4 - Type of test],"&gt;""",Tbl_Responses[[Resp_Group]:[Resp_Group]],Grower)+COUNTIFS(Tbl_Responses[5 - Type of test],"&gt;""",Tbl_Responses[[Resp_Group]:[Resp_Group]],Grower))</f>
        <v>7.6086956521739135E-2</v>
      </c>
      <c r="DH53" s="72"/>
      <c r="DI53" s="72"/>
      <c r="DJ53" s="56" t="s">
        <v>540</v>
      </c>
      <c r="DK53" s="67">
        <f>(COUNTIFS(Tbl_Responses[1 - Type of test],Tbl_Q17_sampling36[[#Headers],[pH]],Tbl_Responses[1 - How many cores per paddock],$DJ53,Tbl_Responses[[Resp_Group]:[Resp_Group]],Grower)+COUNTIFS(Tbl_Responses[2 - Type of test],Tbl_Q17_sampling36[[#Headers],[pH]],Tbl_Responses[2 - How many cores per paddock],$DJ53,Tbl_Responses[[Resp_Group]:[Resp_Group]],Grower)+COUNTIFS(Tbl_Responses[3 - Type of test],Tbl_Q17_sampling36[[#Headers],[pH]],Tbl_Responses[3 - How many cores per paddock],$DJ53,Tbl_Responses[[Resp_Group]:[Resp_Group]],Grower)+COUNTIFS(Tbl_Responses[4 - Type of test],Tbl_Q17_sampling36[[#Headers],[pH]],Tbl_Responses[4 - How many cores per paddock],$DJ53,Tbl_Responses[[Resp_Group]:[Resp_Group]],Grower)+COUNTIFS(Tbl_Responses[5 - Type of test],Tbl_Q17_sampling36[[#Headers],[pH]],Tbl_Responses[5 - How many cores per paddock],$DJ53,Tbl_Responses[[Resp_Group]:[Resp_Group]],Grower)+COUNTIFS(Tbl_Responses[6 - Type of test],Tbl_Q17_sampling36[[#Headers],[pH]],Tbl_Responses[6 - How many cores per paddock],$DJ53,Tbl_Responses[[Resp_Group]:[Resp_Group]],Grower)+COUNTIFS(Tbl_Responses[7 - Type of test],Tbl_Q17_sampling36[[#Headers],[pH]],Tbl_Responses[7 - How many cores per paddock],$DJ53,Tbl_Responses[[Resp_Group]:[Resp_Group]],Grower)+COUNTIFS(Tbl_Responses[8 - Type of test],Tbl_Q17_sampling36[[#Headers],[pH]],Tbl_Responses[8 - How many cores per paddock],$DJ53,Tbl_Responses[[Resp_Group]:[Resp_Group]],Grower))/(COUNTIFS(Tbl_Responses[1 - Type of test],Tbl_Q17_sampling36[[#Headers],[pH]],Tbl_Responses[1 - How many cores per paddock],"&gt;""",Tbl_Responses[[Resp_Group]:[Resp_Group]],Grower)+COUNTIFS(Tbl_Responses[2 - Type of test],Tbl_Q17_sampling36[[#Headers],[pH]],Tbl_Responses[2 - How many cores per paddock],"&gt;""",Tbl_Responses[[Resp_Group]:[Resp_Group]],Grower)+COUNTIFS(Tbl_Responses[3 - Type of test],Tbl_Q17_sampling36[[#Headers],[pH]],Tbl_Responses[3 - How many cores per paddock],"&gt;""",Tbl_Responses[[Resp_Group]:[Resp_Group]],Grower)+COUNTIFS(Tbl_Responses[4 - Type of test],Tbl_Q17_sampling36[[#Headers],[pH]],Tbl_Responses[4 - How many cores per paddock],"&gt;""",Tbl_Responses[[Resp_Group]:[Resp_Group]],Grower)+COUNTIFS(Tbl_Responses[5 - Type of test],Tbl_Q17_sampling36[[#Headers],[pH]],Tbl_Responses[5 - How many cores per paddock],"&gt;""",Tbl_Responses[[Resp_Group]:[Resp_Group]],Grower)+COUNTIFS(Tbl_Responses[6 - Type of test],Tbl_Q17_sampling36[[#Headers],[pH]],Tbl_Responses[6 - How many cores per paddock],"&gt;""",Tbl_Responses[[Resp_Group]:[Resp_Group]],Grower)+COUNTIFS(Tbl_Responses[7 - Type of test],Tbl_Q17_sampling36[[#Headers],[pH]],Tbl_Responses[7 - How many cores per paddock],"&gt;""",Tbl_Responses[[Resp_Group]:[Resp_Group]],Grower)+COUNTIFS(Tbl_Responses[8 - Type of test],Tbl_Q17_sampling36[[#Headers],[pH]],Tbl_Responses[8 - How many cores per paddock],"&gt;""",Tbl_Responses[[Resp_Group]:[Resp_Group]],Grower))</f>
        <v>8.3333333333333329E-2</v>
      </c>
      <c r="DL53" s="62">
        <f>(COUNTIFS(Tbl_Responses[1 - Type of test],Tbl_Q17_sampling36[[#Headers],[Trace elements (DTPA) Cu, Zn, Mg, Fe]],Tbl_Responses[1 - How many cores per paddock],$DJ53,Tbl_Responses[[Resp_Group]:[Resp_Group]],Grower)+COUNTIFS(Tbl_Responses[2 - Type of test],Tbl_Q17_sampling36[[#Headers],[Trace elements (DTPA) Cu, Zn, Mg, Fe]],Tbl_Responses[2 - How many cores per paddock],$DJ53,Tbl_Responses[[Resp_Group]:[Resp_Group]],Grower)+COUNTIFS(Tbl_Responses[3 - Type of test],Tbl_Q17_sampling36[[#Headers],[Trace elements (DTPA) Cu, Zn, Mg, Fe]],Tbl_Responses[3 - How many cores per paddock],$DJ53,Tbl_Responses[[Resp_Group]:[Resp_Group]],Grower)+COUNTIFS(Tbl_Responses[4 - Type of test],Tbl_Q17_sampling36[[#Headers],[Trace elements (DTPA) Cu, Zn, Mg, Fe]],Tbl_Responses[4 - How many cores per paddock],$DJ53,Tbl_Responses[[Resp_Group]:[Resp_Group]],Grower)+COUNTIFS(Tbl_Responses[5 - Type of test],Tbl_Q17_sampling36[[#Headers],[Trace elements (DTPA) Cu, Zn, Mg, Fe]],Tbl_Responses[5 - How many cores per paddock],$DJ53,Tbl_Responses[[Resp_Group]:[Resp_Group]],Grower)+COUNTIFS(Tbl_Responses[6 - Type of test],Tbl_Q17_sampling36[[#Headers],[Trace elements (DTPA) Cu, Zn, Mg, Fe]],Tbl_Responses[6 - How many cores per paddock],$DJ53,Tbl_Responses[[Resp_Group]:[Resp_Group]],Grower)+COUNTIFS(Tbl_Responses[7 - Type of test],Tbl_Q17_sampling36[[#Headers],[Trace elements (DTPA) Cu, Zn, Mg, Fe]],Tbl_Responses[7 - How many cores per paddock],$DJ53,Tbl_Responses[[Resp_Group]:[Resp_Group]],Grower)+COUNTIFS(Tbl_Responses[8 - Type of test],Tbl_Q17_sampling36[[#Headers],[Trace elements (DTPA) Cu, Zn, Mg, Fe]],Tbl_Responses[8 - How many cores per paddock],$DJ53,Tbl_Responses[[Resp_Group]:[Resp_Group]],Grower))/(COUNTIFS(Tbl_Responses[1 - Type of test],Tbl_Q17_sampling36[[#Headers],[Trace elements (DTPA) Cu, Zn, Mg, Fe]],Tbl_Responses[1 - How many cores per paddock],"&gt;""",Tbl_Responses[[Resp_Group]:[Resp_Group]],Grower)+COUNTIFS(Tbl_Responses[2 - Type of test],Tbl_Q17_sampling36[[#Headers],[Trace elements (DTPA) Cu, Zn, Mg, Fe]],Tbl_Responses[2 - How many cores per paddock],"&gt;""",Tbl_Responses[[Resp_Group]:[Resp_Group]],Grower)+COUNTIFS(Tbl_Responses[3 - Type of test],Tbl_Q17_sampling36[[#Headers],[Trace elements (DTPA) Cu, Zn, Mg, Fe]],Tbl_Responses[3 - How many cores per paddock],"&gt;""",Tbl_Responses[[Resp_Group]:[Resp_Group]],Grower)+COUNTIFS(Tbl_Responses[4 - Type of test],Tbl_Q17_sampling36[[#Headers],[Trace elements (DTPA) Cu, Zn, Mg, Fe]],Tbl_Responses[4 - How many cores per paddock],"&gt;""",Tbl_Responses[[Resp_Group]:[Resp_Group]],Grower)+COUNTIFS(Tbl_Responses[5 - Type of test],Tbl_Q17_sampling36[[#Headers],[Trace elements (DTPA) Cu, Zn, Mg, Fe]],Tbl_Responses[5 - How many cores per paddock],"&gt;""",Tbl_Responses[[Resp_Group]:[Resp_Group]],Grower)+COUNTIFS(Tbl_Responses[6 - Type of test],Tbl_Q17_sampling36[[#Headers],[Trace elements (DTPA) Cu, Zn, Mg, Fe]],Tbl_Responses[6 - How many cores per paddock],"&gt;""",Tbl_Responses[[Resp_Group]:[Resp_Group]],Grower)+COUNTIFS(Tbl_Responses[7 - Type of test],Tbl_Q17_sampling36[[#Headers],[Trace elements (DTPA) Cu, Zn, Mg, Fe]],Tbl_Responses[7 - How many cores per paddock],"&gt;""",Tbl_Responses[[Resp_Group]:[Resp_Group]],Grower)+COUNTIFS(Tbl_Responses[8 - Type of test],Tbl_Q17_sampling36[[#Headers],[Trace elements (DTPA) Cu, Zn, Mg, Fe]],Tbl_Responses[8 - How many cores per paddock],"&gt;""",Tbl_Responses[[Resp_Group]:[Resp_Group]],Grower))</f>
        <v>0.15384615384615385</v>
      </c>
      <c r="DM53" s="62">
        <f>(COUNTIFS(Tbl_Responses[1 - Type of test],Tbl_Q17_sampling36[[#Headers],[Trace elements (EDTA) Cu, Zn, Mg, Fe]],Tbl_Responses[1 - How many cores per paddock],$DJ53,Tbl_Responses[[Resp_Group]:[Resp_Group]],Grower)+COUNTIFS(Tbl_Responses[2 - Type of test],Tbl_Q17_sampling36[[#Headers],[Trace elements (EDTA) Cu, Zn, Mg, Fe]],Tbl_Responses[2 - How many cores per paddock],$DJ53,Tbl_Responses[[Resp_Group]:[Resp_Group]],Grower)+COUNTIFS(Tbl_Responses[3 - Type of test],Tbl_Q17_sampling36[[#Headers],[Trace elements (EDTA) Cu, Zn, Mg, Fe]],Tbl_Responses[3 - How many cores per paddock],$DJ53,Tbl_Responses[[Resp_Group]:[Resp_Group]],Grower)+COUNTIFS(Tbl_Responses[4 - Type of test],Tbl_Q17_sampling36[[#Headers],[Trace elements (EDTA) Cu, Zn, Mg, Fe]],Tbl_Responses[4 - How many cores per paddock],$DJ53,Tbl_Responses[[Resp_Group]:[Resp_Group]],Grower)+COUNTIFS(Tbl_Responses[5 - Type of test],Tbl_Q17_sampling36[[#Headers],[Trace elements (EDTA) Cu, Zn, Mg, Fe]],Tbl_Responses[5 - How many cores per paddock],$DJ53,Tbl_Responses[[Resp_Group]:[Resp_Group]],Grower)+COUNTIFS(Tbl_Responses[6 - Type of test],Tbl_Q17_sampling36[[#Headers],[Trace elements (EDTA) Cu, Zn, Mg, Fe]],Tbl_Responses[6 - How many cores per paddock],$DJ53,Tbl_Responses[[Resp_Group]:[Resp_Group]],Grower)+COUNTIFS(Tbl_Responses[7 - Type of test],Tbl_Q17_sampling36[[#Headers],[Trace elements (EDTA) Cu, Zn, Mg, Fe]],Tbl_Responses[7 - How many cores per paddock],$DJ53,Tbl_Responses[[Resp_Group]:[Resp_Group]],Grower)+COUNTIFS(Tbl_Responses[8 - Type of test],Tbl_Q17_sampling36[[#Headers],[Trace elements (EDTA) Cu, Zn, Mg, Fe]],Tbl_Responses[8 - How many cores per paddock],$DJ53,Tbl_Responses[[Resp_Group]:[Resp_Group]],Grower))/(COUNTIFS(Tbl_Responses[1 - Type of test],Tbl_Q17_sampling36[[#Headers],[Trace elements (EDTA) Cu, Zn, Mg, Fe]],Tbl_Responses[1 - How many cores per paddock],"&gt;""",Tbl_Responses[[Resp_Group]:[Resp_Group]],Grower)+COUNTIFS(Tbl_Responses[2 - Type of test],Tbl_Q17_sampling36[[#Headers],[Trace elements (EDTA) Cu, Zn, Mg, Fe]],Tbl_Responses[2 - How many cores per paddock],"&gt;""",Tbl_Responses[[Resp_Group]:[Resp_Group]],Grower)+COUNTIFS(Tbl_Responses[3 - Type of test],Tbl_Q17_sampling36[[#Headers],[Trace elements (EDTA) Cu, Zn, Mg, Fe]],Tbl_Responses[3 - How many cores per paddock],"&gt;""",Tbl_Responses[[Resp_Group]:[Resp_Group]],Grower)+COUNTIFS(Tbl_Responses[4 - Type of test],Tbl_Q17_sampling36[[#Headers],[Trace elements (EDTA) Cu, Zn, Mg, Fe]],Tbl_Responses[4 - How many cores per paddock],"&gt;""",Tbl_Responses[[Resp_Group]:[Resp_Group]],Grower)+COUNTIFS(Tbl_Responses[5 - Type of test],Tbl_Q17_sampling36[[#Headers],[Trace elements (EDTA) Cu, Zn, Mg, Fe]],Tbl_Responses[5 - How many cores per paddock],"&gt;""",Tbl_Responses[[Resp_Group]:[Resp_Group]],Grower)+COUNTIFS(Tbl_Responses[6 - Type of test],Tbl_Q17_sampling36[[#Headers],[Trace elements (EDTA) Cu, Zn, Mg, Fe]],Tbl_Responses[6 - How many cores per paddock],"&gt;""",Tbl_Responses[[Resp_Group]:[Resp_Group]],Grower)+COUNTIFS(Tbl_Responses[7 - Type of test],Tbl_Q17_sampling36[[#Headers],[Trace elements (EDTA) Cu, Zn, Mg, Fe]],Tbl_Responses[7 - How many cores per paddock],"&gt;""",Tbl_Responses[[Resp_Group]:[Resp_Group]],Grower)+COUNTIFS(Tbl_Responses[8 - Type of test],Tbl_Q17_sampling36[[#Headers],[Trace elements (EDTA) Cu, Zn, Mg, Fe]],Tbl_Responses[8 - How many cores per paddock],"&gt;""",Tbl_Responses[[Resp_Group]:[Resp_Group]],Grower))</f>
        <v>0</v>
      </c>
      <c r="DN53" s="62">
        <f>(COUNTIFS(Tbl_Responses[1 - Type of test],Tbl_Q17_sampling36[[#Headers],[Exchangable cations - Ca, Mg, Na, K]],Tbl_Responses[1 - How many cores per paddock],$DJ53,Tbl_Responses[[Resp_Group]:[Resp_Group]],Grower)+COUNTIFS(Tbl_Responses[2 - Type of test],Tbl_Q17_sampling36[[#Headers],[Exchangable cations - Ca, Mg, Na, K]],Tbl_Responses[2 - How many cores per paddock],$DJ53,Tbl_Responses[[Resp_Group]:[Resp_Group]],Grower)+COUNTIFS(Tbl_Responses[3 - Type of test],Tbl_Q17_sampling36[[#Headers],[Exchangable cations - Ca, Mg, Na, K]],Tbl_Responses[3 - How many cores per paddock],$DJ53,Tbl_Responses[[Resp_Group]:[Resp_Group]],Grower)+COUNTIFS(Tbl_Responses[4 - Type of test],Tbl_Q17_sampling36[[#Headers],[Exchangable cations - Ca, Mg, Na, K]],Tbl_Responses[4 - How many cores per paddock],$DJ53,Tbl_Responses[[Resp_Group]:[Resp_Group]],Grower)+COUNTIFS(Tbl_Responses[5 - Type of test],Tbl_Q17_sampling36[[#Headers],[Exchangable cations - Ca, Mg, Na, K]],Tbl_Responses[5 - How many cores per paddock],$DJ53,Tbl_Responses[[Resp_Group]:[Resp_Group]],Grower)+COUNTIFS(Tbl_Responses[6 - Type of test],Tbl_Q17_sampling36[[#Headers],[Exchangable cations - Ca, Mg, Na, K]],Tbl_Responses[6 - How many cores per paddock],$DJ53,Tbl_Responses[[Resp_Group]:[Resp_Group]],Grower)+COUNTIFS(Tbl_Responses[7 - Type of test],Tbl_Q17_sampling36[[#Headers],[Exchangable cations - Ca, Mg, Na, K]],Tbl_Responses[7 - How many cores per paddock],$DJ53,Tbl_Responses[[Resp_Group]:[Resp_Group]],Grower)+COUNTIFS(Tbl_Responses[8 - Type of test],Tbl_Q17_sampling36[[#Headers],[Exchangable cations - Ca, Mg, Na, K]],Tbl_Responses[8 - How many cores per paddock],$DJ53,Tbl_Responses[[Resp_Group]:[Resp_Group]],Grower))/(COUNTIFS(Tbl_Responses[1 - Type of test],Tbl_Q17_sampling36[[#Headers],[Exchangable cations - Ca, Mg, Na, K]],Tbl_Responses[1 - How many cores per paddock],"&gt;""",Tbl_Responses[[Resp_Group]:[Resp_Group]],Grower)+COUNTIFS(Tbl_Responses[2 - Type of test],Tbl_Q17_sampling36[[#Headers],[Exchangable cations - Ca, Mg, Na, K]],Tbl_Responses[2 - How many cores per paddock],"&gt;""",Tbl_Responses[[Resp_Group]:[Resp_Group]],Grower)+COUNTIFS(Tbl_Responses[3 - Type of test],Tbl_Q17_sampling36[[#Headers],[Exchangable cations - Ca, Mg, Na, K]],Tbl_Responses[3 - How many cores per paddock],"&gt;""",Tbl_Responses[[Resp_Group]:[Resp_Group]],Grower)+COUNTIFS(Tbl_Responses[4 - Type of test],Tbl_Q17_sampling36[[#Headers],[Exchangable cations - Ca, Mg, Na, K]],Tbl_Responses[4 - How many cores per paddock],"&gt;""",Tbl_Responses[[Resp_Group]:[Resp_Group]],Grower)+COUNTIFS(Tbl_Responses[5 - Type of test],Tbl_Q17_sampling36[[#Headers],[Exchangable cations - Ca, Mg, Na, K]],Tbl_Responses[5 - How many cores per paddock],"&gt;""",Tbl_Responses[[Resp_Group]:[Resp_Group]],Grower)+COUNTIFS(Tbl_Responses[6 - Type of test],Tbl_Q17_sampling36[[#Headers],[Exchangable cations - Ca, Mg, Na, K]],Tbl_Responses[6 - How many cores per paddock],"&gt;""",Tbl_Responses[[Resp_Group]:[Resp_Group]],Grower)+COUNTIFS(Tbl_Responses[7 - Type of test],Tbl_Q17_sampling36[[#Headers],[Exchangable cations - Ca, Mg, Na, K]],Tbl_Responses[7 - How many cores per paddock],"&gt;""",Tbl_Responses[[Resp_Group]:[Resp_Group]],Grower)+COUNTIFS(Tbl_Responses[8 - Type of test],Tbl_Q17_sampling36[[#Headers],[Exchangable cations - Ca, Mg, Na, K]],Tbl_Responses[8 - How many cores per paddock],"&gt;""",Tbl_Responses[[Resp_Group]:[Resp_Group]],Grower))</f>
        <v>0.25</v>
      </c>
      <c r="DO53" s="62">
        <f>(COUNTIFS(Tbl_Responses[1 - Type of test],Tbl_Q17_sampling36[[#Headers],[Texture]],Tbl_Responses[1 - How many cores per paddock],$DJ53,Tbl_Responses[[Resp_Group]:[Resp_Group]],Grower)+COUNTIFS(Tbl_Responses[2 - Type of test],Tbl_Q17_sampling36[[#Headers],[Texture]],Tbl_Responses[2 - How many cores per paddock],$DJ53,Tbl_Responses[[Resp_Group]:[Resp_Group]],Grower)+COUNTIFS(Tbl_Responses[3 - Type of test],Tbl_Q17_sampling36[[#Headers],[Texture]],Tbl_Responses[3 - How many cores per paddock],$DJ53,Tbl_Responses[[Resp_Group]:[Resp_Group]],Grower)+COUNTIFS(Tbl_Responses[4 - Type of test],Tbl_Q17_sampling36[[#Headers],[Texture]],Tbl_Responses[4 - How many cores per paddock],$DJ53,Tbl_Responses[[Resp_Group]:[Resp_Group]],Grower)+COUNTIFS(Tbl_Responses[5 - Type of test],Tbl_Q17_sampling36[[#Headers],[Texture]],Tbl_Responses[5 - How many cores per paddock],$DJ53,Tbl_Responses[[Resp_Group]:[Resp_Group]],Grower)+COUNTIFS(Tbl_Responses[6 - Type of test],Tbl_Q17_sampling36[[#Headers],[Texture]],Tbl_Responses[6 - How many cores per paddock],$DJ53,Tbl_Responses[[Resp_Group]:[Resp_Group]],Grower)+COUNTIFS(Tbl_Responses[7 - Type of test],Tbl_Q17_sampling36[[#Headers],[Texture]],Tbl_Responses[7 - How many cores per paddock],$DJ53,Tbl_Responses[[Resp_Group]:[Resp_Group]],Grower)+COUNTIFS(Tbl_Responses[8 - Type of test],Tbl_Q17_sampling36[[#Headers],[Texture]],Tbl_Responses[8 - How many cores per paddock],$DJ53,Tbl_Responses[[Resp_Group]:[Resp_Group]],Grower))/(COUNTIFS(Tbl_Responses[1 - Type of test],Tbl_Q17_sampling36[[#Headers],[Texture]],Tbl_Responses[1 - How many cores per paddock],"&gt;""",Tbl_Responses[[Resp_Group]:[Resp_Group]],Grower)+COUNTIFS(Tbl_Responses[2 - Type of test],Tbl_Q17_sampling36[[#Headers],[Texture]],Tbl_Responses[2 - How many cores per paddock],"&gt;""",Tbl_Responses[[Resp_Group]:[Resp_Group]],Grower)+COUNTIFS(Tbl_Responses[3 - Type of test],Tbl_Q17_sampling36[[#Headers],[Texture]],Tbl_Responses[3 - How many cores per paddock],"&gt;""",Tbl_Responses[[Resp_Group]:[Resp_Group]],Grower)+COUNTIFS(Tbl_Responses[4 - Type of test],Tbl_Q17_sampling36[[#Headers],[Texture]],Tbl_Responses[4 - How many cores per paddock],"&gt;""",Tbl_Responses[[Resp_Group]:[Resp_Group]],Grower)+COUNTIFS(Tbl_Responses[5 - Type of test],Tbl_Q17_sampling36[[#Headers],[Texture]],Tbl_Responses[5 - How many cores per paddock],"&gt;""",Tbl_Responses[[Resp_Group]:[Resp_Group]],Grower)+COUNTIFS(Tbl_Responses[6 - Type of test],Tbl_Q17_sampling36[[#Headers],[Texture]],Tbl_Responses[6 - How many cores per paddock],"&gt;""",Tbl_Responses[[Resp_Group]:[Resp_Group]],Grower)+COUNTIFS(Tbl_Responses[7 - Type of test],Tbl_Q17_sampling36[[#Headers],[Texture]],Tbl_Responses[7 - How many cores per paddock],"&gt;""",Tbl_Responses[[Resp_Group]:[Resp_Group]],Grower)+COUNTIFS(Tbl_Responses[8 - Type of test],Tbl_Q17_sampling36[[#Headers],[Texture]],Tbl_Responses[8 - How many cores per paddock],"&gt;""",Tbl_Responses[[Resp_Group]:[Resp_Group]],Grower))</f>
        <v>0.33333333333333331</v>
      </c>
      <c r="DP53" s="62">
        <f>(COUNTIFS(Tbl_Responses[1 - Type of test],Tbl_Q17_sampling36[[#Headers],[Aluminium (CaCl2)]],Tbl_Responses[1 - How many cores per paddock],$DJ53,Tbl_Responses[[Resp_Group]:[Resp_Group]],Grower)+COUNTIFS(Tbl_Responses[2 - Type of test],Tbl_Q17_sampling36[[#Headers],[Aluminium (CaCl2)]],Tbl_Responses[2 - How many cores per paddock],$DJ53,Tbl_Responses[[Resp_Group]:[Resp_Group]],Grower)+COUNTIFS(Tbl_Responses[3 - Type of test],Tbl_Q17_sampling36[[#Headers],[Aluminium (CaCl2)]],Tbl_Responses[3 - How many cores per paddock],$DJ53,Tbl_Responses[[Resp_Group]:[Resp_Group]],Grower)+COUNTIFS(Tbl_Responses[4 - Type of test],Tbl_Q17_sampling36[[#Headers],[Aluminium (CaCl2)]],Tbl_Responses[4 - How many cores per paddock],$DJ53,Tbl_Responses[[Resp_Group]:[Resp_Group]],Grower)+COUNTIFS(Tbl_Responses[5 - Type of test],Tbl_Q17_sampling36[[#Headers],[Aluminium (CaCl2)]],Tbl_Responses[5 - How many cores per paddock],$DJ53,Tbl_Responses[[Resp_Group]:[Resp_Group]],Grower)+COUNTIFS(Tbl_Responses[6 - Type of test],Tbl_Q17_sampling36[[#Headers],[Aluminium (CaCl2)]],Tbl_Responses[6 - How many cores per paddock],$DJ53,Tbl_Responses[[Resp_Group]:[Resp_Group]],Grower)+COUNTIFS(Tbl_Responses[7 - Type of test],Tbl_Q17_sampling36[[#Headers],[Aluminium (CaCl2)]],Tbl_Responses[7 - How many cores per paddock],$DJ53,Tbl_Responses[[Resp_Group]:[Resp_Group]],Grower)+COUNTIFS(Tbl_Responses[8 - Type of test],Tbl_Q17_sampling36[[#Headers],[Aluminium (CaCl2)]],Tbl_Responses[8 - How many cores per paddock],$DJ53,Tbl_Responses[[Resp_Group]:[Resp_Group]],Grower))/(COUNTIFS(Tbl_Responses[1 - Type of test],Tbl_Q17_sampling36[[#Headers],[Aluminium (CaCl2)]],Tbl_Responses[1 - How many cores per paddock],"&gt;""",Tbl_Responses[[Resp_Group]:[Resp_Group]],Grower)+COUNTIFS(Tbl_Responses[2 - Type of test],Tbl_Q17_sampling36[[#Headers],[Aluminium (CaCl2)]],Tbl_Responses[2 - How many cores per paddock],"&gt;""",Tbl_Responses[[Resp_Group]:[Resp_Group]],Grower)+COUNTIFS(Tbl_Responses[3 - Type of test],Tbl_Q17_sampling36[[#Headers],[Aluminium (CaCl2)]],Tbl_Responses[3 - How many cores per paddock],"&gt;""",Tbl_Responses[[Resp_Group]:[Resp_Group]],Grower)+COUNTIFS(Tbl_Responses[4 - Type of test],Tbl_Q17_sampling36[[#Headers],[Aluminium (CaCl2)]],Tbl_Responses[4 - How many cores per paddock],"&gt;""",Tbl_Responses[[Resp_Group]:[Resp_Group]],Grower)+COUNTIFS(Tbl_Responses[5 - Type of test],Tbl_Q17_sampling36[[#Headers],[Aluminium (CaCl2)]],Tbl_Responses[5 - How many cores per paddock],"&gt;""",Tbl_Responses[[Resp_Group]:[Resp_Group]],Grower)+COUNTIFS(Tbl_Responses[6 - Type of test],Tbl_Q17_sampling36[[#Headers],[Aluminium (CaCl2)]],Tbl_Responses[6 - How many cores per paddock],"&gt;""",Tbl_Responses[[Resp_Group]:[Resp_Group]],Grower)+COUNTIFS(Tbl_Responses[7 - Type of test],Tbl_Q17_sampling36[[#Headers],[Aluminium (CaCl2)]],Tbl_Responses[7 - How many cores per paddock],"&gt;""",Tbl_Responses[[Resp_Group]:[Resp_Group]],Grower)+COUNTIFS(Tbl_Responses[8 - Type of test],Tbl_Q17_sampling36[[#Headers],[Aluminium (CaCl2)]],Tbl_Responses[8 - How many cores per paddock],"&gt;""",Tbl_Responses[[Resp_Group]:[Resp_Group]],Grower))</f>
        <v>0.25</v>
      </c>
      <c r="DQ53" s="62">
        <f>(COUNTIFS(Tbl_Responses[1 - Type of test],Tbl_Q17_sampling36[[#Headers],[Chloride]],Tbl_Responses[1 - How many cores per paddock],$DJ53,Tbl_Responses[[Resp_Group]:[Resp_Group]],Grower)+COUNTIFS(Tbl_Responses[2 - Type of test],Tbl_Q17_sampling36[[#Headers],[Chloride]],Tbl_Responses[2 - How many cores per paddock],$DJ53,Tbl_Responses[[Resp_Group]:[Resp_Group]],Grower)+COUNTIFS(Tbl_Responses[3 - Type of test],Tbl_Q17_sampling36[[#Headers],[Chloride]],Tbl_Responses[3 - How many cores per paddock],$DJ53,Tbl_Responses[[Resp_Group]:[Resp_Group]],Grower)+COUNTIFS(Tbl_Responses[4 - Type of test],Tbl_Q17_sampling36[[#Headers],[Chloride]],Tbl_Responses[4 - How many cores per paddock],$DJ53,Tbl_Responses[[Resp_Group]:[Resp_Group]],Grower)+COUNTIFS(Tbl_Responses[5 - Type of test],Tbl_Q17_sampling36[[#Headers],[Chloride]],Tbl_Responses[5 - How many cores per paddock],$DJ53,Tbl_Responses[[Resp_Group]:[Resp_Group]],Grower)+COUNTIFS(Tbl_Responses[6 - Type of test],Tbl_Q17_sampling36[[#Headers],[Chloride]],Tbl_Responses[6 - How many cores per paddock],$DJ53,Tbl_Responses[[Resp_Group]:[Resp_Group]],Grower)+COUNTIFS(Tbl_Responses[7 - Type of test],Tbl_Q17_sampling36[[#Headers],[Chloride]],Tbl_Responses[7 - How many cores per paddock],$DJ53,Tbl_Responses[[Resp_Group]:[Resp_Group]],Grower)+COUNTIFS(Tbl_Responses[8 - Type of test],Tbl_Q17_sampling36[[#Headers],[Chloride]],Tbl_Responses[8 - How many cores per paddock],$DJ53,Tbl_Responses[[Resp_Group]:[Resp_Group]],Grower))/(COUNTIFS(Tbl_Responses[1 - Type of test],Tbl_Q17_sampling36[[#Headers],[Chloride]],Tbl_Responses[1 - How many cores per paddock],"&gt;""",Tbl_Responses[[Resp_Group]:[Resp_Group]],Grower)+COUNTIFS(Tbl_Responses[2 - Type of test],Tbl_Q17_sampling36[[#Headers],[Chloride]],Tbl_Responses[2 - How many cores per paddock],"&gt;""",Tbl_Responses[[Resp_Group]:[Resp_Group]],Grower)+COUNTIFS(Tbl_Responses[3 - Type of test],Tbl_Q17_sampling36[[#Headers],[Chloride]],Tbl_Responses[3 - How many cores per paddock],"&gt;""",Tbl_Responses[[Resp_Group]:[Resp_Group]],Grower)+COUNTIFS(Tbl_Responses[4 - Type of test],Tbl_Q17_sampling36[[#Headers],[Chloride]],Tbl_Responses[4 - How many cores per paddock],"&gt;""",Tbl_Responses[[Resp_Group]:[Resp_Group]],Grower)+COUNTIFS(Tbl_Responses[5 - Type of test],Tbl_Q17_sampling36[[#Headers],[Chloride]],Tbl_Responses[5 - How many cores per paddock],"&gt;""",Tbl_Responses[[Resp_Group]:[Resp_Group]],Grower)+COUNTIFS(Tbl_Responses[6 - Type of test],Tbl_Q17_sampling36[[#Headers],[Chloride]],Tbl_Responses[6 - How many cores per paddock],"&gt;""",Tbl_Responses[[Resp_Group]:[Resp_Group]],Grower)+COUNTIFS(Tbl_Responses[7 - Type of test],Tbl_Q17_sampling36[[#Headers],[Chloride]],Tbl_Responses[7 - How many cores per paddock],"&gt;""",Tbl_Responses[[Resp_Group]:[Resp_Group]],Grower)+COUNTIFS(Tbl_Responses[8 - Type of test],Tbl_Q17_sampling36[[#Headers],[Chloride]],Tbl_Responses[8 - How many cores per paddock],"&gt;""",Tbl_Responses[[Resp_Group]:[Resp_Group]],Grower))</f>
        <v>0.66666666666666663</v>
      </c>
      <c r="DR53" s="62">
        <f>(COUNTIFS(Tbl_Responses[1 - Type of test],Tbl_Q17_sampling36[[#Headers],[Boron]],Tbl_Responses[1 - How many cores per paddock],$DJ53,Tbl_Responses[[Resp_Group]:[Resp_Group]],Grower)+COUNTIFS(Tbl_Responses[2 - Type of test],Tbl_Q17_sampling36[[#Headers],[Boron]],Tbl_Responses[2 - How many cores per paddock],$DJ53,Tbl_Responses[[Resp_Group]:[Resp_Group]],Grower)+COUNTIFS(Tbl_Responses[3 - Type of test],Tbl_Q17_sampling36[[#Headers],[Boron]],Tbl_Responses[3 - How many cores per paddock],$DJ53,Tbl_Responses[[Resp_Group]:[Resp_Group]],Grower)+COUNTIFS(Tbl_Responses[4 - Type of test],Tbl_Q17_sampling36[[#Headers],[Boron]],Tbl_Responses[4 - How many cores per paddock],$DJ53,Tbl_Responses[[Resp_Group]:[Resp_Group]],Grower)+COUNTIFS(Tbl_Responses[5 - Type of test],Tbl_Q17_sampling36[[#Headers],[Boron]],Tbl_Responses[5 - How many cores per paddock],$DJ53,Tbl_Responses[[Resp_Group]:[Resp_Group]],Grower)+COUNTIFS(Tbl_Responses[6 - Type of test],Tbl_Q17_sampling36[[#Headers],[Boron]],Tbl_Responses[6 - How many cores per paddock],$DJ53,Tbl_Responses[[Resp_Group]:[Resp_Group]],Grower)+COUNTIFS(Tbl_Responses[7 - Type of test],Tbl_Q17_sampling36[[#Headers],[Boron]],Tbl_Responses[7 - How many cores per paddock],$DJ53,Tbl_Responses[[Resp_Group]:[Resp_Group]],Grower)+COUNTIFS(Tbl_Responses[8 - Type of test],Tbl_Q17_sampling36[[#Headers],[Boron]],Tbl_Responses[8 - How many cores per paddock],$DJ53,Tbl_Responses[[Resp_Group]:[Resp_Group]],Grower))/(COUNTIFS(Tbl_Responses[1 - Type of test],Tbl_Q17_sampling36[[#Headers],[Boron]],Tbl_Responses[1 - How many cores per paddock],"&gt;""",Tbl_Responses[[Resp_Group]:[Resp_Group]],Grower)+COUNTIFS(Tbl_Responses[2 - Type of test],Tbl_Q17_sampling36[[#Headers],[Boron]],Tbl_Responses[2 - How many cores per paddock],"&gt;""",Tbl_Responses[[Resp_Group]:[Resp_Group]],Grower)+COUNTIFS(Tbl_Responses[3 - Type of test],Tbl_Q17_sampling36[[#Headers],[Boron]],Tbl_Responses[3 - How many cores per paddock],"&gt;""",Tbl_Responses[[Resp_Group]:[Resp_Group]],Grower)+COUNTIFS(Tbl_Responses[4 - Type of test],Tbl_Q17_sampling36[[#Headers],[Boron]],Tbl_Responses[4 - How many cores per paddock],"&gt;""",Tbl_Responses[[Resp_Group]:[Resp_Group]],Grower)+COUNTIFS(Tbl_Responses[5 - Type of test],Tbl_Q17_sampling36[[#Headers],[Boron]],Tbl_Responses[5 - How many cores per paddock],"&gt;""",Tbl_Responses[[Resp_Group]:[Resp_Group]],Grower)+COUNTIFS(Tbl_Responses[6 - Type of test],Tbl_Q17_sampling36[[#Headers],[Boron]],Tbl_Responses[6 - How many cores per paddock],"&gt;""",Tbl_Responses[[Resp_Group]:[Resp_Group]],Grower)+COUNTIFS(Tbl_Responses[7 - Type of test],Tbl_Q17_sampling36[[#Headers],[Boron]],Tbl_Responses[7 - How many cores per paddock],"&gt;""",Tbl_Responses[[Resp_Group]:[Resp_Group]],Grower)+COUNTIFS(Tbl_Responses[8 - Type of test],Tbl_Q17_sampling36[[#Headers],[Boron]],Tbl_Responses[8 - How many cores per paddock],"&gt;""",Tbl_Responses[[Resp_Group]:[Resp_Group]],Grower))</f>
        <v>0.2857142857142857</v>
      </c>
      <c r="DS53" s="62">
        <f>(COUNTIFS(Tbl_Responses[1 - Type of test],Tbl_Q17_sampling36[[#Headers],[Sulfur (KCl40)]],Tbl_Responses[1 - How many cores per paddock],$DJ53,Tbl_Responses[[Resp_Group]:[Resp_Group]],Grower)+COUNTIFS(Tbl_Responses[2 - Type of test],Tbl_Q17_sampling36[[#Headers],[Sulfur (KCl40)]],Tbl_Responses[2 - How many cores per paddock],$DJ53,Tbl_Responses[[Resp_Group]:[Resp_Group]],Grower)+COUNTIFS(Tbl_Responses[3 - Type of test],Tbl_Q17_sampling36[[#Headers],[Sulfur (KCl40)]],Tbl_Responses[3 - How many cores per paddock],$DJ53,Tbl_Responses[[Resp_Group]:[Resp_Group]],Grower)+COUNTIFS(Tbl_Responses[4 - Type of test],Tbl_Q17_sampling36[[#Headers],[Sulfur (KCl40)]],Tbl_Responses[4 - How many cores per paddock],$DJ53,Tbl_Responses[[Resp_Group]:[Resp_Group]],Grower)+COUNTIFS(Tbl_Responses[5 - Type of test],Tbl_Q17_sampling36[[#Headers],[Sulfur (KCl40)]],Tbl_Responses[5 - How many cores per paddock],$DJ53,Tbl_Responses[[Resp_Group]:[Resp_Group]],Grower)+COUNTIFS(Tbl_Responses[6 - Type of test],Tbl_Q17_sampling36[[#Headers],[Sulfur (KCl40)]],Tbl_Responses[6 - How many cores per paddock],$DJ53,Tbl_Responses[[Resp_Group]:[Resp_Group]],Grower)+COUNTIFS(Tbl_Responses[7 - Type of test],Tbl_Q17_sampling36[[#Headers],[Sulfur (KCl40)]],Tbl_Responses[7 - How many cores per paddock],$DJ53,Tbl_Responses[[Resp_Group]:[Resp_Group]],Grower)+COUNTIFS(Tbl_Responses[8 - Type of test],Tbl_Q17_sampling36[[#Headers],[Sulfur (KCl40)]],Tbl_Responses[8 - How many cores per paddock],$DJ53,Tbl_Responses[[Resp_Group]:[Resp_Group]],Grower))/(COUNTIFS(Tbl_Responses[1 - Type of test],Tbl_Q17_sampling36[[#Headers],[Sulfur (KCl40)]],Tbl_Responses[1 - How many cores per paddock],"&gt;""",Tbl_Responses[[Resp_Group]:[Resp_Group]],Grower)+COUNTIFS(Tbl_Responses[2 - Type of test],Tbl_Q17_sampling36[[#Headers],[Sulfur (KCl40)]],Tbl_Responses[2 - How many cores per paddock],"&gt;""",Tbl_Responses[[Resp_Group]:[Resp_Group]],Grower)+COUNTIFS(Tbl_Responses[3 - Type of test],Tbl_Q17_sampling36[[#Headers],[Sulfur (KCl40)]],Tbl_Responses[3 - How many cores per paddock],"&gt;""",Tbl_Responses[[Resp_Group]:[Resp_Group]],Grower)+COUNTIFS(Tbl_Responses[4 - Type of test],Tbl_Q17_sampling36[[#Headers],[Sulfur (KCl40)]],Tbl_Responses[4 - How many cores per paddock],"&gt;""",Tbl_Responses[[Resp_Group]:[Resp_Group]],Grower)+COUNTIFS(Tbl_Responses[5 - Type of test],Tbl_Q17_sampling36[[#Headers],[Sulfur (KCl40)]],Tbl_Responses[5 - How many cores per paddock],"&gt;""",Tbl_Responses[[Resp_Group]:[Resp_Group]],Grower)+COUNTIFS(Tbl_Responses[6 - Type of test],Tbl_Q17_sampling36[[#Headers],[Sulfur (KCl40)]],Tbl_Responses[6 - How many cores per paddock],"&gt;""",Tbl_Responses[[Resp_Group]:[Resp_Group]],Grower)+COUNTIFS(Tbl_Responses[7 - Type of test],Tbl_Q17_sampling36[[#Headers],[Sulfur (KCl40)]],Tbl_Responses[7 - How many cores per paddock],"&gt;""",Tbl_Responses[[Resp_Group]:[Resp_Group]],Grower)+COUNTIFS(Tbl_Responses[8 - Type of test],Tbl_Q17_sampling36[[#Headers],[Sulfur (KCl40)]],Tbl_Responses[8 - How many cores per paddock],"&gt;""",Tbl_Responses[[Resp_Group]:[Resp_Group]],Grower))</f>
        <v>0.125</v>
      </c>
      <c r="DT53" s="62">
        <f>(COUNTIFS(Tbl_Responses[1 - Type of test],Tbl_Q17_sampling36[[#Headers],[Calcium carbonate %]],Tbl_Responses[1 - How many cores per paddock],$DJ53,Tbl_Responses[[Resp_Group]:[Resp_Group]],Grower)+COUNTIFS(Tbl_Responses[2 - Type of test],Tbl_Q17_sampling36[[#Headers],[Calcium carbonate %]],Tbl_Responses[2 - How many cores per paddock],$DJ53,Tbl_Responses[[Resp_Group]:[Resp_Group]],Grower)+COUNTIFS(Tbl_Responses[3 - Type of test],Tbl_Q17_sampling36[[#Headers],[Calcium carbonate %]],Tbl_Responses[3 - How many cores per paddock],$DJ53,Tbl_Responses[[Resp_Group]:[Resp_Group]],Grower)+COUNTIFS(Tbl_Responses[4 - Type of test],Tbl_Q17_sampling36[[#Headers],[Calcium carbonate %]],Tbl_Responses[4 - How many cores per paddock],$DJ53,Tbl_Responses[[Resp_Group]:[Resp_Group]],Grower)+COUNTIFS(Tbl_Responses[5 - Type of test],Tbl_Q17_sampling36[[#Headers],[Calcium carbonate %]],Tbl_Responses[5 - How many cores per paddock],$DJ53,Tbl_Responses[[Resp_Group]:[Resp_Group]],Grower)+COUNTIFS(Tbl_Responses[6 - Type of test],Tbl_Q17_sampling36[[#Headers],[Calcium carbonate %]],Tbl_Responses[6 - How many cores per paddock],$DJ53,Tbl_Responses[[Resp_Group]:[Resp_Group]],Grower)+COUNTIFS(Tbl_Responses[7 - Type of test],Tbl_Q17_sampling36[[#Headers],[Calcium carbonate %]],Tbl_Responses[7 - How many cores per paddock],$DJ53,Tbl_Responses[[Resp_Group]:[Resp_Group]],Grower)+COUNTIFS(Tbl_Responses[8 - Type of test],Tbl_Q17_sampling36[[#Headers],[Calcium carbonate %]],Tbl_Responses[8 - How many cores per paddock],$DJ53,Tbl_Responses[[Resp_Group]:[Resp_Group]],Grower))/(COUNTIFS(Tbl_Responses[1 - Type of test],Tbl_Q17_sampling36[[#Headers],[Calcium carbonate %]],Tbl_Responses[1 - How many cores per paddock],"&gt;""",Tbl_Responses[[Resp_Group]:[Resp_Group]],Grower)+COUNTIFS(Tbl_Responses[2 - Type of test],Tbl_Q17_sampling36[[#Headers],[Calcium carbonate %]],Tbl_Responses[2 - How many cores per paddock],"&gt;""",Tbl_Responses[[Resp_Group]:[Resp_Group]],Grower)+COUNTIFS(Tbl_Responses[3 - Type of test],Tbl_Q17_sampling36[[#Headers],[Calcium carbonate %]],Tbl_Responses[3 - How many cores per paddock],"&gt;""",Tbl_Responses[[Resp_Group]:[Resp_Group]],Grower)+COUNTIFS(Tbl_Responses[4 - Type of test],Tbl_Q17_sampling36[[#Headers],[Calcium carbonate %]],Tbl_Responses[4 - How many cores per paddock],"&gt;""",Tbl_Responses[[Resp_Group]:[Resp_Group]],Grower)+COUNTIFS(Tbl_Responses[5 - Type of test],Tbl_Q17_sampling36[[#Headers],[Calcium carbonate %]],Tbl_Responses[5 - How many cores per paddock],"&gt;""",Tbl_Responses[[Resp_Group]:[Resp_Group]],Grower)+COUNTIFS(Tbl_Responses[6 - Type of test],Tbl_Q17_sampling36[[#Headers],[Calcium carbonate %]],Tbl_Responses[6 - How many cores per paddock],"&gt;""",Tbl_Responses[[Resp_Group]:[Resp_Group]],Grower)+COUNTIFS(Tbl_Responses[7 - Type of test],Tbl_Q17_sampling36[[#Headers],[Calcium carbonate %]],Tbl_Responses[7 - How many cores per paddock],"&gt;""",Tbl_Responses[[Resp_Group]:[Resp_Group]],Grower)+COUNTIFS(Tbl_Responses[8 - Type of test],Tbl_Q17_sampling36[[#Headers],[Calcium carbonate %]],Tbl_Responses[8 - How many cores per paddock],"&gt;""",Tbl_Responses[[Resp_Group]:[Resp_Group]],Grower))</f>
        <v>0.33333333333333331</v>
      </c>
      <c r="DU53" s="62">
        <f>(COUNTIFS(Tbl_Responses[1 - Type of test],Tbl_Q17_sampling36[[#Headers],[Sulfur (MCP)]],Tbl_Responses[1 - How many cores per paddock],$DJ53,Tbl_Responses[[Resp_Group]:[Resp_Group]],Grower)+COUNTIFS(Tbl_Responses[2 - Type of test],Tbl_Q17_sampling36[[#Headers],[Sulfur (MCP)]],Tbl_Responses[2 - How many cores per paddock],$DJ53,Tbl_Responses[[Resp_Group]:[Resp_Group]],Grower)+COUNTIFS(Tbl_Responses[3 - Type of test],Tbl_Q17_sampling36[[#Headers],[Sulfur (MCP)]],Tbl_Responses[3 - How many cores per paddock],$DJ53,Tbl_Responses[[Resp_Group]:[Resp_Group]],Grower)+COUNTIFS(Tbl_Responses[4 - Type of test],Tbl_Q17_sampling36[[#Headers],[Sulfur (MCP)]],Tbl_Responses[4 - How many cores per paddock],$DJ53,Tbl_Responses[[Resp_Group]:[Resp_Group]],Grower)+COUNTIFS(Tbl_Responses[5 - Type of test],Tbl_Q17_sampling36[[#Headers],[Sulfur (MCP)]],Tbl_Responses[5 - How many cores per paddock],$DJ53,Tbl_Responses[[Resp_Group]:[Resp_Group]],Grower)+COUNTIFS(Tbl_Responses[6 - Type of test],Tbl_Q17_sampling36[[#Headers],[Sulfur (MCP)]],Tbl_Responses[6 - How many cores per paddock],$DJ53,Tbl_Responses[[Resp_Group]:[Resp_Group]],Grower)+COUNTIFS(Tbl_Responses[7 - Type of test],Tbl_Q17_sampling36[[#Headers],[Sulfur (MCP)]],Tbl_Responses[7 - How many cores per paddock],$DJ53,Tbl_Responses[[Resp_Group]:[Resp_Group]],Grower)+COUNTIFS(Tbl_Responses[8 - Type of test],Tbl_Q17_sampling36[[#Headers],[Sulfur (MCP)]],Tbl_Responses[8 - How many cores per paddock],$DJ53,Tbl_Responses[[Resp_Group]:[Resp_Group]],Grower))/(COUNTIFS(Tbl_Responses[1 - Type of test],Tbl_Q17_sampling36[[#Headers],[Sulfur (MCP)]],Tbl_Responses[1 - How many cores per paddock],"&gt;""",Tbl_Responses[[Resp_Group]:[Resp_Group]],Grower)+COUNTIFS(Tbl_Responses[2 - Type of test],Tbl_Q17_sampling36[[#Headers],[Sulfur (MCP)]],Tbl_Responses[2 - How many cores per paddock],"&gt;""",Tbl_Responses[[Resp_Group]:[Resp_Group]],Grower)+COUNTIFS(Tbl_Responses[3 - Type of test],Tbl_Q17_sampling36[[#Headers],[Sulfur (MCP)]],Tbl_Responses[3 - How many cores per paddock],"&gt;""",Tbl_Responses[[Resp_Group]:[Resp_Group]],Grower)+COUNTIFS(Tbl_Responses[4 - Type of test],Tbl_Q17_sampling36[[#Headers],[Sulfur (MCP)]],Tbl_Responses[4 - How many cores per paddock],"&gt;""",Tbl_Responses[[Resp_Group]:[Resp_Group]],Grower)+COUNTIFS(Tbl_Responses[5 - Type of test],Tbl_Q17_sampling36[[#Headers],[Sulfur (MCP)]],Tbl_Responses[5 - How many cores per paddock],"&gt;""",Tbl_Responses[[Resp_Group]:[Resp_Group]],Grower)+COUNTIFS(Tbl_Responses[6 - Type of test],Tbl_Q17_sampling36[[#Headers],[Sulfur (MCP)]],Tbl_Responses[6 - How many cores per paddock],"&gt;""",Tbl_Responses[[Resp_Group]:[Resp_Group]],Grower)+COUNTIFS(Tbl_Responses[7 - Type of test],Tbl_Q17_sampling36[[#Headers],[Sulfur (MCP)]],Tbl_Responses[7 - How many cores per paddock],"&gt;""",Tbl_Responses[[Resp_Group]:[Resp_Group]],Grower)+COUNTIFS(Tbl_Responses[8 - Type of test],Tbl_Q17_sampling36[[#Headers],[Sulfur (MCP)]],Tbl_Responses[8 - How many cores per paddock],"&gt;""",Tbl_Responses[[Resp_Group]:[Resp_Group]],Grower))</f>
        <v>0</v>
      </c>
      <c r="DV53" s="82">
        <f>(COUNTIFS(Tbl_Responses[1 - How many cores per paddock],$DJ53,Tbl_Responses[[Resp_Group]:[Resp_Group]],Grower)+COUNTIFS(Tbl_Responses[2 - How many cores per paddock],$DJ53,Tbl_Responses[[Resp_Group]:[Resp_Group]],Grower)+COUNTIFS(Tbl_Responses[3 - How many cores per paddock],$DJ53,Tbl_Responses[[Resp_Group]:[Resp_Group]],Grower)+COUNTIFS(Tbl_Responses[4 - How many cores per paddock],$DJ53,Tbl_Responses[[Resp_Group]:[Resp_Group]],Grower)+COUNTIFS(Tbl_Responses[5 - How many cores per paddock],$DJ53,Tbl_Responses[[Resp_Group]:[Resp_Group]],Grower)+COUNTIFS(Tbl_Responses[6 - How many cores per paddock],$DJ53,Tbl_Responses[[Resp_Group]:[Resp_Group]],Grower)+COUNTIFS(Tbl_Responses[7 - How many cores per paddock],$DJ53,Tbl_Responses[[Resp_Group]:[Resp_Group]],Grower))/(COUNTIFS(Tbl_Responses[1 - How many cores per paddock],"&gt;""",Tbl_Responses[[Resp_Group]:[Resp_Group]],Grower)+COUNTIFS(Tbl_Responses[2 - How many cores per paddock],"&gt;""",Tbl_Responses[[Resp_Group]:[Resp_Group]],Grower)+COUNTIFS(Tbl_Responses[3 - How many cores per paddock],"&gt;""",Tbl_Responses[[Resp_Group]:[Resp_Group]],Grower)+COUNTIFS(Tbl_Responses[4 - How many cores per paddock],"&gt;""",Tbl_Responses[[Resp_Group]:[Resp_Group]],Grower)+COUNTIFS(Tbl_Responses[5 - How many cores per paddock],"&gt;""",Tbl_Responses[[Resp_Group]:[Resp_Group]],Grower)+COUNTIFS(Tbl_Responses[6 - How many cores per paddock],"&gt;""",Tbl_Responses[[Resp_Group]:[Resp_Group]],Grower)+COUNTIFS(Tbl_Responses[7 - How many cores per paddock],"&gt;""",Tbl_Responses[[Resp_Group]:[Resp_Group]],Grower))</f>
        <v>0.19402985074626866</v>
      </c>
      <c r="EC53" t="s">
        <v>115</v>
      </c>
      <c r="ED53" s="3">
        <f>COUNTIFS(Tbl_Responses[The ability to translate soil test results into a profitable fertiliser decision for my paddock],$EC53,Tbl_Responses[[Resp_Group]:[Resp_Group]],Grower)</f>
        <v>11</v>
      </c>
      <c r="EE53" s="4">
        <f>Tbl_1944[[#This Row],[No. Responses]]/SUM(Tbl_1944[No. Responses])</f>
        <v>0.12643678160919541</v>
      </c>
      <c r="EH53" t="s">
        <v>115</v>
      </c>
      <c r="EI53" s="3">
        <f>COUNTIFS(Tbl_Responses[The ability to translate soil test results into a profitable fertiliser decision for my paddockP],$EC53,Tbl_Responses[[Resp_Group]:[Resp_Group]],Grower)</f>
        <v>14</v>
      </c>
      <c r="EJ53" s="4">
        <f>Tbl_Q2045[[#This Row],[No. Responses]]/SUM(Tbl_Q2045[No. Responses])</f>
        <v>0.14583333333333334</v>
      </c>
      <c r="EM53" s="34" t="s">
        <v>2527</v>
      </c>
      <c r="ET53" t="s">
        <v>2152</v>
      </c>
      <c r="EU53" s="3">
        <f>COUNTIFS(Tbl_Responses[Soil testing annual spend],$ET53,Tbl_Responses[[Resp_Group]:[Resp_Group]],Agronomist)</f>
        <v>0</v>
      </c>
      <c r="EV53" s="4">
        <f>Tbl_Q2248[[#This Row],[No. Respondants]]/SUM(Tbl_Q2248[No. Respondants])</f>
        <v>0</v>
      </c>
      <c r="EY53" s="34" t="s">
        <v>2538</v>
      </c>
      <c r="FD53" s="34" t="s">
        <v>2543</v>
      </c>
      <c r="FN53" s="87" t="s">
        <v>126</v>
      </c>
      <c r="FO53" s="3">
        <f>COUNTIFS(Tbl_Responses[The ability to translate test results into a profitable decision_Plant],$FN53,Tbl_Responses[[Resp_Group]:[Resp_Group]],Grower)</f>
        <v>6</v>
      </c>
      <c r="FP53" s="4">
        <f>Tbl_Q2655[[#This Row],[No. Respondants]]/SUM(Tbl_Q2655[No. Respondants])</f>
        <v>0.12</v>
      </c>
      <c r="FS53" s="34" t="s">
        <v>2555</v>
      </c>
      <c r="FZ53" t="s">
        <v>2152</v>
      </c>
      <c r="GA53" s="3">
        <f>COUNTIFS(Tbl_Responses[Average annual spend - Plant testing],$FZ53,Tbl_Responses[[Resp_Group]:[Resp_Group]],Grower)</f>
        <v>0</v>
      </c>
      <c r="GB53" s="4">
        <f>Tbl_Q2860[[#This Row],[No. Respondants]]/SUM(Tbl_Q2860[No. Respondants])</f>
        <v>0</v>
      </c>
      <c r="GO53" t="s">
        <v>115</v>
      </c>
      <c r="GP53" s="3">
        <f>COUNTIFS(Tbl_Responses[The ability to translate soil test results into a profitable fertiliser decision for my paddock_PL],$GO53,Tbl_Responses[[Resp_Group]:[Resp_Group]],Grower)</f>
        <v>2</v>
      </c>
      <c r="GQ53" s="4">
        <f>Tbl_196567[[#This Row],[No. Responses]]/SUM(Tbl_196567[No. Responses])</f>
        <v>0.2857142857142857</v>
      </c>
      <c r="GT53" t="s">
        <v>115</v>
      </c>
      <c r="GU53" s="3">
        <f>COUNTIFS(Tbl_Responses[The ability to translate soil test results into a profitable fertiliser decision for my paddock_PLP],$GT53,Tbl_Responses[[Resp_Group]:[Resp_Group]],Grower)</f>
        <v>1</v>
      </c>
      <c r="GV53" s="4">
        <f>Tbl_19656668[[#This Row],[No. Responses]]/SUM(Tbl_19656668[No. Responses])</f>
        <v>0.25</v>
      </c>
      <c r="HA53" s="87" t="s">
        <v>155</v>
      </c>
      <c r="HB53" s="3">
        <f>COUNTIFS(Tbl_Responses[Field days],$HA53,Tbl_Responses[[Resp_Group]:[Resp_Group]],Grower)</f>
        <v>49</v>
      </c>
      <c r="HC53" s="4">
        <f>Tbl_infoSources70[[#This Row],[No. Responses]]/SUM(Tbl_infoSources70[No. Responses])</f>
        <v>0.1701388888888889</v>
      </c>
    </row>
    <row r="54" spans="1:211" x14ac:dyDescent="0.25">
      <c r="A54" t="s">
        <v>215</v>
      </c>
      <c r="B54" s="3">
        <f>COUNTIFS(Tbl_Responses[Q1: region],Results!$A54,Tbl_Responses[Resp_Group],Grower)</f>
        <v>21</v>
      </c>
      <c r="C54" s="4">
        <f>B54/SUM(Tbl_Q19[Respondants])</f>
        <v>0.21212121212121213</v>
      </c>
      <c r="D54" s="7">
        <f>AVERAGEIFS(Tbl_Responses[Q2: Cropped Area],Tbl_Responses[Q1: region],Tbl_Q19[[#This Row],[Region]],Tbl_Responses[[Resp_Group]:[Resp_Group]],Grower)</f>
        <v>2883.7142857142858</v>
      </c>
      <c r="F54">
        <v>40001</v>
      </c>
      <c r="G54">
        <v>50000</v>
      </c>
      <c r="H54" t="str">
        <f t="shared" si="2"/>
        <v>40001-50000</v>
      </c>
      <c r="I54" s="3">
        <f>COUNTIFS(Tbl_Responses[Q2: Cropped Area],"&gt;"&amp;F54,Tbl_Responses[Q2: Cropped Area],"&lt;="&amp;G54,Tbl_Responses[Resp_Group],Grower)</f>
        <v>0</v>
      </c>
      <c r="J54" s="4">
        <f>I54/SUM(Tbl_Q210[Number])</f>
        <v>0</v>
      </c>
      <c r="S54" t="s">
        <v>164</v>
      </c>
      <c r="T54" s="4">
        <f>COUNTIFS(Tbl_Responses[[Variable Costs]:[Variable Costs]],T$3,Tbl_Responses[[Q1: region]:[Q1: region]],$S54,Tbl_Responses[[Resp_Group]:[Resp_Group]],Grower)/COUNTIFS(Tbl_Responses[[Q1: region]:[Q1: region]],$S54,Tbl_Responses[[Resp_Group]:[Resp_Group]],Grower)</f>
        <v>0</v>
      </c>
      <c r="U54" s="4">
        <f>COUNTIFS(Tbl_Responses[[Variable Costs]:[Variable Costs]],U$3,Tbl_Responses[[Q1: region]:[Q1: region]],$S54,Tbl_Responses[[Resp_Group]:[Resp_Group]],Grower)/COUNTIFS(Tbl_Responses[[Q1: region]:[Q1: region]],$S54,Tbl_Responses[[Resp_Group]:[Resp_Group]],Grower)</f>
        <v>0.2</v>
      </c>
      <c r="V54" s="4">
        <f>COUNTIFS(Tbl_Responses[[Variable Costs]:[Variable Costs]],V$3,Tbl_Responses[[Q1: region]:[Q1: region]],$S54,Tbl_Responses[[Resp_Group]:[Resp_Group]],Grower)/COUNTIFS(Tbl_Responses[[Q1: region]:[Q1: region]],$S54,Tbl_Responses[[Resp_Group]:[Resp_Group]],Grower)</f>
        <v>0</v>
      </c>
      <c r="W54" s="4">
        <f>COUNTIFS(Tbl_Responses[[Variable Costs]:[Variable Costs]],W$3,Tbl_Responses[[Q1: region]:[Q1: region]],$S54,Tbl_Responses[[Resp_Group]:[Resp_Group]],Grower)/COUNTIFS(Tbl_Responses[[Q1: region]:[Q1: region]],$S54,Tbl_Responses[[Resp_Group]:[Resp_Group]],Grower)</f>
        <v>0.4</v>
      </c>
      <c r="X54" s="4">
        <f>COUNTIFS(Tbl_Responses[[Variable Costs]:[Variable Costs]],X$3,Tbl_Responses[[Q1: region]:[Q1: region]],$S54,Tbl_Responses[[Resp_Group]:[Resp_Group]],Grower)/COUNTIFS(Tbl_Responses[[Q1: region]:[Q1: region]],$S54,Tbl_Responses[[Resp_Group]:[Resp_Group]],Grower)</f>
        <v>0.2</v>
      </c>
      <c r="Y54" s="4">
        <f>COUNTIFS(Tbl_Responses[[Variable Costs]:[Variable Costs]],Y$3,Tbl_Responses[[Q1: region]:[Q1: region]],$S54,Tbl_Responses[[Resp_Group]:[Resp_Group]],Grower)/COUNTIFS(Tbl_Responses[[Q1: region]:[Q1: region]],$S54,Tbl_Responses[[Resp_Group]:[Resp_Group]],Grower)</f>
        <v>0</v>
      </c>
      <c r="Z54" s="4">
        <f>COUNTIFS(Tbl_Responses[[Variable Costs]:[Variable Costs]],Z$3,Tbl_Responses[[Q1: region]:[Q1: region]],$S54,Tbl_Responses[[Resp_Group]:[Resp_Group]],Grower)/COUNTIFS(Tbl_Responses[[Q1: region]:[Q1: region]],$S54,Tbl_Responses[[Resp_Group]:[Resp_Group]],Grower)</f>
        <v>0</v>
      </c>
      <c r="AA54" s="4">
        <f>COUNTIFS(Tbl_Responses[[Variable Costs]:[Variable Costs]],AA$3,Tbl_Responses[[Q1: region]:[Q1: region]],$S54,Tbl_Responses[[Resp_Group]:[Resp_Group]],Grower)/COUNTIFS(Tbl_Responses[[Q1: region]:[Q1: region]],$S54,Tbl_Responses[[Resp_Group]:[Resp_Group]],Grower)</f>
        <v>0</v>
      </c>
      <c r="AB54" s="4">
        <f>COUNTIFS(Tbl_Responses[[Variable Costs]:[Variable Costs]],AB$3,Tbl_Responses[[Q1: region]:[Q1: region]],$S54,Tbl_Responses[[Resp_Group]:[Resp_Group]],Grower)/COUNTIFS(Tbl_Responses[[Q1: region]:[Q1: region]],$S54,Tbl_Responses[[Resp_Group]:[Resp_Group]],Grower)</f>
        <v>0.2</v>
      </c>
      <c r="AG54" t="s">
        <v>164</v>
      </c>
      <c r="AH54" s="4">
        <f>COUNTIFS(Tbl_Responses[[Def_Nutrient_ID]:[Def_Nutrient_ID]],"*N*",Tbl_Responses[[Q1: region]:[Q1: region]],$AG54,Tbl_Responses[[Resp_Group]:[Resp_Group]],Grower)/COUNTIFS(Tbl_Responses[[Def_Nutrient_ID]:[Def_Nutrient_ID]],"&lt;&gt;"&amp;"",Tbl_Responses[[Q1: region]:[Q1: region]],$AG54,Tbl_Responses[[Resp_Group]:[Resp_Group]],Grower)</f>
        <v>0.8</v>
      </c>
      <c r="AI54" s="4">
        <f>COUNTIFS(Tbl_Responses[[Def_Nutrient_ID]:[Def_Nutrient_ID]],"*P*",Tbl_Responses[[Q1: region]:[Q1: region]],$AG54,Tbl_Responses[[Resp_Group]:[Resp_Group]],Grower)/COUNTIFS(Tbl_Responses[[Def_Nutrient_ID]:[Def_Nutrient_ID]],"&lt;&gt;"&amp;"",Tbl_Responses[[Q1: region]:[Q1: region]],$AG54,Tbl_Responses[[Resp_Group]:[Resp_Group]],Grower)</f>
        <v>0.4</v>
      </c>
      <c r="AJ54" s="4">
        <f>COUNTIFS(Tbl_Responses[[Def_Nutrient_ID]:[Def_Nutrient_ID]],"*K*",Tbl_Responses[[Q1: region]:[Q1: region]],$AG54,Tbl_Responses[[Resp_Group]:[Resp_Group]],Grower)/COUNTIFS(Tbl_Responses[[Def_Nutrient_ID]:[Def_Nutrient_ID]],"&lt;&gt;"&amp;"",Tbl_Responses[[Q1: region]:[Q1: region]],$AG54,Tbl_Responses[[Resp_Group]:[Resp_Group]],Grower)</f>
        <v>0</v>
      </c>
      <c r="AK54" s="4">
        <f>COUNTIFS(Tbl_Responses[[Def_Nutrient_ID]:[Def_Nutrient_ID]],"*S*",Tbl_Responses[[Q1: region]:[Q1: region]],$AG54,Tbl_Responses[[Resp_Group]:[Resp_Group]],Grower)/COUNTIFS(Tbl_Responses[[Def_Nutrient_ID]:[Def_Nutrient_ID]],"&lt;&gt;"&amp;"",Tbl_Responses[[Q1: region]:[Q1: region]],$AG54,Tbl_Responses[[Resp_Group]:[Resp_Group]],Grower)</f>
        <v>0</v>
      </c>
      <c r="AL54" s="4">
        <f>COUNTIFS(Tbl_Responses[[Def_Nutrient_ID]:[Def_Nutrient_ID]],"*Zn*",Tbl_Responses[[Q1: region]:[Q1: region]],$AG54,Tbl_Responses[[Resp_Group]:[Resp_Group]],Grower)/COUNTIFS(Tbl_Responses[[Def_Nutrient_ID]:[Def_Nutrient_ID]],"&lt;&gt;"&amp;"",Tbl_Responses[[Q1: region]:[Q1: region]],$AG54,Tbl_Responses[[Resp_Group]:[Resp_Group]],Grower)</f>
        <v>0.2</v>
      </c>
      <c r="AM54" s="4">
        <f>COUNTIFS(Tbl_Responses[[Def_Nutrient_ID]:[Def_Nutrient_ID]],"*Mn*",Tbl_Responses[[Q1: region]:[Q1: region]],$AG54,Tbl_Responses[[Resp_Group]:[Resp_Group]],Grower)/COUNTIFS(Tbl_Responses[[Def_Nutrient_ID]:[Def_Nutrient_ID]],"&lt;&gt;"&amp;"",Tbl_Responses[[Q1: region]:[Q1: region]],$AG54,Tbl_Responses[[Resp_Group]:[Resp_Group]],Grower)</f>
        <v>0.2</v>
      </c>
      <c r="AN54" s="4">
        <f>COUNTIFS(Tbl_Responses[[Def_Nutrient_ID]:[Def_Nutrient_ID]],"*Mg*",Tbl_Responses[[Q1: region]:[Q1: region]],$AG54,Tbl_Responses[[Resp_Group]:[Resp_Group]],Grower)/COUNTIFS(Tbl_Responses[[Def_Nutrient_ID]:[Def_Nutrient_ID]],"&lt;&gt;"&amp;"",Tbl_Responses[[Q1: region]:[Q1: region]],$AG54,Tbl_Responses[[Resp_Group]:[Resp_Group]],Grower)</f>
        <v>0</v>
      </c>
      <c r="AO54" s="4">
        <f>COUNTIFS(Tbl_Responses[[Def_Nutrient_ID]:[Def_Nutrient_ID]],"*Cu*",Tbl_Responses[[Q1: region]:[Q1: region]],$AG54,Tbl_Responses[[Resp_Group]:[Resp_Group]],Grower)/COUNTIFS(Tbl_Responses[[Def_Nutrient_ID]:[Def_Nutrient_ID]],"&lt;&gt;"&amp;"",Tbl_Responses[[Q1: region]:[Q1: region]],$AG54,Tbl_Responses[[Resp_Group]:[Resp_Group]],Grower)</f>
        <v>0.2</v>
      </c>
      <c r="AP54" s="4">
        <f>COUNTIFS(Tbl_Responses[[Def_Nutrient_ID]:[Def_Nutrient_ID]],"*B*",Tbl_Responses[[Q1: region]:[Q1: region]],$AG54,Tbl_Responses[[Resp_Group]:[Resp_Group]],Grower)/COUNTIFS(Tbl_Responses[[Def_Nutrient_ID]:[Def_Nutrient_ID]],"&lt;&gt;"&amp;"",Tbl_Responses[[Q1: region]:[Q1: region]],$AG54,Tbl_Responses[[Resp_Group]:[Resp_Group]],Grower)</f>
        <v>0</v>
      </c>
      <c r="AQ54" s="4">
        <f>COUNTIFS(Tbl_Responses[[Def_Nutrient_ID]:[Def_Nutrient_ID]],"*Ca*",Tbl_Responses[[Q1: region]:[Q1: region]],$AG54,Tbl_Responses[[Resp_Group]:[Resp_Group]],Grower)/COUNTIFS(Tbl_Responses[[Def_Nutrient_ID]:[Def_Nutrient_ID]],"&lt;&gt;"&amp;"",Tbl_Responses[[Q1: region]:[Q1: region]],$AG54,Tbl_Responses[[Resp_Group]:[Resp_Group]],Grower)</f>
        <v>0</v>
      </c>
      <c r="AR54" s="4">
        <f>COUNTIFS(Tbl_Responses[[Def_Nutrient_ID]:[Def_Nutrient_ID]],"*pH*",Tbl_Responses[[Q1: region]:[Q1: region]],$AG54,Tbl_Responses[[Resp_Group]:[Resp_Group]],Grower)/COUNTIFS(Tbl_Responses[[Def_Nutrient_ID]:[Def_Nutrient_ID]],"&lt;&gt;"&amp;"",Tbl_Responses[[Q1: region]:[Q1: region]],$AG54,Tbl_Responses[[Resp_Group]:[Resp_Group]],Grower)</f>
        <v>0.2</v>
      </c>
      <c r="AS54" s="4">
        <f>COUNTIFS(Tbl_Responses[[Def_Nutrient_ID]:[Def_Nutrient_ID]],"*T*",Tbl_Responses[[Q1: region]:[Q1: region]],$AG54,Tbl_Responses[[Resp_Group]:[Resp_Group]],Grower)/COUNTIFS(Tbl_Responses[[Def_Nutrient_ID]:[Def_Nutrient_ID]],"&lt;&gt;"&amp;"",Tbl_Responses[[Q1: region]:[Q1: region]],$AG54,Tbl_Responses[[Resp_Group]:[Resp_Group]],Grower)</f>
        <v>0.4</v>
      </c>
      <c r="AV54" t="s">
        <v>164</v>
      </c>
      <c r="AW54" s="4">
        <f>COUNTIFS(Tbl_Responses[[Q6: Do you do/recommend soil and/or plant testing?]:[Q6: Do you do/recommend soil and/or plant testing?]],"Yes",Tbl_Responses[[Q1: region]:[Q1: region]],$AV54,Tbl_Responses[[Resp_Group]:[Resp_Group]],Grower)/COUNTIFS(Tbl_Responses[[Q6: Do you do/recommend soil and/or plant testing?]:[Q6: Do you do/recommend soil and/or plant testing?]],"&lt;&gt;"&amp;"",Tbl_Responses[[Q1: region]:[Q1: region]],$AV54,Tbl_Responses[[Resp_Group]:[Resp_Group]],Grower)</f>
        <v>0.6</v>
      </c>
      <c r="AX54" s="4">
        <f>COUNTIFS(Tbl_Responses[[Q6: Do you do/recommend soil and/or plant testing?]:[Q6: Do you do/recommend soil and/or plant testing?]],"No",Tbl_Responses[[Q1: region]:[Q1: region]],$AV54,Tbl_Responses[[Resp_Group]:[Resp_Group]],Grower)/COUNTIFS(Tbl_Responses[[Q6: Do you do/recommend soil and/or plant testing?]:[Q6: Do you do/recommend soil and/or plant testing?]],"&lt;&gt;"&amp;"",Tbl_Responses[[Q1: region]:[Q1: region]],$AV54,Tbl_Responses[[Resp_Group]:[Resp_Group]],Grower)</f>
        <v>0.4</v>
      </c>
      <c r="AY54" s="3">
        <f>COUNTIFS(Tbl_Responses[[Q6: Do you do/recommend soil and/or plant testing?]:[Q6: Do you do/recommend soil and/or plant testing?]],"&gt;""",Tbl_Responses[[Q1: region]:[Q1: region]],$AV10,Tbl_Responses[[Resp_Group]:[Resp_Group]],Grower)</f>
        <v>5</v>
      </c>
      <c r="BH54" t="s">
        <v>2440</v>
      </c>
      <c r="BI54" s="3">
        <f>COUNTIFS(Tbl_Responses[Source_1_ID],$BH54,Tbl_Responses[[Resp_Group]:[Resp_Group]],Grower)+COUNTIFS(Tbl_Responses[Source_2_ID],$BH54,Tbl_Responses[[Resp_Group]:[Resp_Group]],Grower)+COUNTIFS(Tbl_Responses[Source_3_ID],$BH54,Tbl_Responses[[Resp_Group]:[Resp_Group]],Grower)</f>
        <v>1</v>
      </c>
      <c r="BJ54" s="4">
        <f>Tbl_Q1120[[#This Row],[Q11 Response]]/SUM(Tbl_Q1120[Q11 Response])</f>
        <v>6.9444444444444441E-3</v>
      </c>
      <c r="CB54" s="83" t="s">
        <v>2501</v>
      </c>
      <c r="CC54" s="64">
        <f>(COUNTIFS(Tbl_Responses[Nitrogen 1 - Type of test],Tbl_14_sampling33[[#Headers],[Organic Carbon]],Tbl_Responses[Nitrogen 1 - How many representative samples per paddock],$CB54,Tbl_Responses[[Resp_Group]:[Resp_Group]],Grower)+COUNTIFS(Tbl_Responses[Nitrogen 2 - Type of test],Tbl_14_sampling33[[#Headers],[Organic Carbon]],Tbl_Responses[Nitrogen 2 - How many representative samples per paddock],$CB54,Tbl_Responses[[Resp_Group]:[Resp_Group]],Grower)+COUNTIFS(Tbl_Responses[Nitrogen 3 - Type of test],Tbl_14_sampling33[[#Headers],[Organic Carbon]],Tbl_Responses[Nitrogen 3 - How many representative samples per paddock],$CB54,Tbl_Responses[[Resp_Group]:[Resp_Group]],Grower))/(COUNTIFS(Tbl_Responses[Nitrogen 1 - Type of test],Tbl_14_sampling33[[#Headers],[Organic Carbon]],Tbl_Responses[Nitrogen 1 - How many representative samples per paddock],"&gt;""",Tbl_Responses[[Resp_Group]:[Resp_Group]],Grower)+COUNTIFS(Tbl_Responses[Nitrogen 2 - Type of test],Tbl_14_sampling33[[#Headers],[Organic Carbon]],Tbl_Responses[Nitrogen 2 - How many representative samples per paddock],"&gt;""",Tbl_Responses[[Resp_Group]:[Resp_Group]],Grower)+COUNTIFS(Tbl_Responses[Nitrogen 3 - Type of test],Tbl_14_sampling33[[#Headers],[Organic Carbon]],Tbl_Responses[Nitrogen 3 - How many representative samples per paddock],"&gt;""",Tbl_Responses[[Resp_Group]:[Resp_Group]],Grower))</f>
        <v>0</v>
      </c>
      <c r="CD54" s="64">
        <f>(COUNTIFS(Tbl_Responses[Nitrogen 1 - Type of test],Tbl_14_sampling33[[#Headers],[Mineral N (Nitrate/Ammonium)]],Tbl_Responses[Nitrogen 1 - How many representative samples per paddock],$CB54,Tbl_Responses[[Resp_Group]:[Resp_Group]],Grower)+COUNTIFS(Tbl_Responses[Nitrogen 2 - Type of test],Tbl_14_sampling33[[#Headers],[Mineral N (Nitrate/Ammonium)]],Tbl_Responses[Nitrogen 2 - How many representative samples per paddock],$CB54,Tbl_Responses[[Resp_Group]:[Resp_Group]],Grower)+COUNTIFS(Tbl_Responses[Nitrogen 3 - Type of test],Tbl_14_sampling33[[#Headers],[Mineral N (Nitrate/Ammonium)]],Tbl_Responses[Nitrogen 3 - How many representative samples per paddock],$CB54,Tbl_Responses[[Resp_Group]:[Resp_Group]],Grower))/(COUNTIFS(Tbl_Responses[Nitrogen 1 - Type of test],Tbl_14_sampling33[[#Headers],[Mineral N (Nitrate/Ammonium)]],Tbl_Responses[Nitrogen 1 - How many representative samples per paddock],"&gt;""",Tbl_Responses[[Resp_Group]:[Resp_Group]],Grower)+COUNTIFS(Tbl_Responses[Nitrogen 2 - Type of test],Tbl_14_sampling33[[#Headers],[Mineral N (Nitrate/Ammonium)]],Tbl_Responses[Nitrogen 2 - How many representative samples per paddock],"&gt;""",Tbl_Responses[[Resp_Group]:[Resp_Group]],Grower)+COUNTIFS(Tbl_Responses[Nitrogen 3 - Type of test],Tbl_14_sampling33[[#Headers],[Mineral N (Nitrate/Ammonium)]],Tbl_Responses[Nitrogen 3 - How many representative samples per paddock],"&gt;""",Tbl_Responses[[Resp_Group]:[Resp_Group]],Grower))</f>
        <v>0</v>
      </c>
      <c r="CE54" s="64">
        <f>(COUNTIFS(Tbl_Responses[Nitrogen 1 - Type of test],Tbl_14_sampling33[[#Headers],[Total N]],Tbl_Responses[Nitrogen 1 - How many representative samples per paddock],$CB54,Tbl_Responses[[Resp_Group]:[Resp_Group]],Grower)+COUNTIFS(Tbl_Responses[Nitrogen 2 - Type of test],Tbl_14_sampling33[[#Headers],[Total N]],Tbl_Responses[Nitrogen 2 - How many representative samples per paddock],$CB54,Tbl_Responses[[Resp_Group]:[Resp_Group]],Grower)+COUNTIFS(Tbl_Responses[Nitrogen 3 - Type of test],Tbl_14_sampling33[[#Headers],[Total N]],Tbl_Responses[Nitrogen 3 - How many representative samples per paddock],$CB54,Tbl_Responses[[Resp_Group]:[Resp_Group]],Grower))/(COUNTIFS(Tbl_Responses[Nitrogen 1 - Type of test],Tbl_14_sampling33[[#Headers],[Total N]],Tbl_Responses[Nitrogen 1 - How many representative samples per paddock],"&gt;""",Tbl_Responses[[Resp_Group]:[Resp_Group]],Grower)+COUNTIFS(Tbl_Responses[Nitrogen 2 - Type of test],Tbl_14_sampling33[[#Headers],[Total N]],Tbl_Responses[Nitrogen 2 - How many representative samples per paddock],"&gt;""",Tbl_Responses[[Resp_Group]:[Resp_Group]],Grower)+COUNTIFS(Tbl_Responses[Nitrogen 3 - Type of test],Tbl_14_sampling33[[#Headers],[Total N]],Tbl_Responses[Nitrogen 3 - How many representative samples per paddock],"&gt;""",Tbl_Responses[[Resp_Group]:[Resp_Group]],Grower))</f>
        <v>0</v>
      </c>
      <c r="CF54" s="64">
        <f>(COUNTIFS(Tbl_Responses[Nitrogen 1 - How many representative samples per paddock],$CB54,Tbl_Responses[[Resp_Group]:[Resp_Group]],Grower)+COUNTIFS(Tbl_Responses[Nitrogen 2 - How many representative samples per paddock],$CB54,Tbl_Responses[[Resp_Group]:[Resp_Group]],Grower)+COUNTIFS(Tbl_Responses[Nitrogen 3 - How many representative samples per paddock],$CB54,Tbl_Responses[[Resp_Group]:[Resp_Group]],Grower))/(COUNTIFS(Tbl_Responses[Nitrogen 1 - How many representative samples per paddock],"&gt;""",Tbl_Responses[[Resp_Group]:[Resp_Group]],Grower)+COUNTIFS(Tbl_Responses[Nitrogen 2 - How many representative samples per paddock],"&gt;""",Tbl_Responses[[Resp_Group]:[Resp_Group]],Grower)+COUNTIFS(Tbl_Responses[Nitrogen 3 - How many representative samples per paddock],"&gt;""",Tbl_Responses[[Resp_Group]:[Resp_Group]],Grower))</f>
        <v>0</v>
      </c>
      <c r="CG54" s="72"/>
      <c r="CH54" s="72"/>
      <c r="CI54" s="72"/>
      <c r="CJ54" s="72"/>
      <c r="CK54" s="72"/>
      <c r="CL54" s="72"/>
      <c r="CM54" s="83" t="s">
        <v>2501</v>
      </c>
      <c r="CN54" s="68">
        <f>(COUNTIFS(Tbl_Responses[Phosphorus 1 - Type of test],Tbl_Q15_sampling34[[#Headers],[Colwell P]],Tbl_Responses[Phosphorus 1 - How many representative samples per paddock],$CM54,Tbl_Responses[[Resp_Group]:[Resp_Group]],Grower)+COUNTIFS(Tbl_Responses[Phosphorus 2 - Type of test],Tbl_Q15_sampling34[[#Headers],[Colwell P]],Tbl_Responses[Phosphorus 2 - How many representative samples per paddock],$CM54,Tbl_Responses[[Resp_Group]:[Resp_Group]],Grower)+COUNTIFS(Tbl_Responses[Phosphorus 3 - Type of test],Tbl_Q15_sampling34[[#Headers],[Colwell P]],Tbl_Responses[Phosphorus 3 - How many representative samples per paddock],$CM54,Tbl_Responses[[Resp_Group]:[Resp_Group]],Grower)+COUNTIFS(Tbl_Responses[Phosphorus 4 - Type of test],Tbl_Q15_sampling34[[#Headers],[Colwell P]],Tbl_Responses[Phosphorus 4 - How many representative samples per paddock],$CM54,Tbl_Responses[[Resp_Group]:[Resp_Group]],Grower)+COUNTIFS(Tbl_Responses[Phosphorus 5 - Type of test],Tbl_Q15_sampling34[[#Headers],[Colwell P]],Tbl_Responses[Phosphorus 5 - How many representative samples per paddock],$CM54,Tbl_Responses[[Resp_Group]:[Resp_Group]],Grower))/(COUNTIFS(Tbl_Responses[Phosphorus 1 - Type of test],Tbl_Q15_sampling34[[#Headers],[Colwell P]],Tbl_Responses[Phosphorus 1 - How many representative samples per paddock],"&gt;""",Tbl_Responses[[Resp_Group]:[Resp_Group]],Grower)+COUNTIFS(Tbl_Responses[Phosphorus 2 - Type of test],Tbl_Q15_sampling34[[#Headers],[Colwell P]],Tbl_Responses[Phosphorus 2 - How many representative samples per paddock],"&gt;""",Tbl_Responses[[Resp_Group]:[Resp_Group]],Grower)+COUNTIFS(Tbl_Responses[Phosphorus 3 - Type of test],Tbl_Q15_sampling34[[#Headers],[Colwell P]],Tbl_Responses[Phosphorus 3 - How many representative samples per paddock],"&gt;""",Tbl_Responses[[Resp_Group]:[Resp_Group]],Grower)+COUNTIFS(Tbl_Responses[Phosphorus 4 - Type of test],Tbl_Q15_sampling34[[#Headers],[Colwell P]],Tbl_Responses[Phosphorus 4 - How many representative samples per paddock],"&gt;""",Tbl_Responses[[Resp_Group]:[Resp_Group]],Grower)+COUNTIFS(Tbl_Responses[Phosphorus 5 - Type of test],Tbl_Q15_sampling34[[#Headers],[Colwell P]],Tbl_Responses[Phosphorus 5 - How many representative samples per paddock],"&gt;""",Tbl_Responses[[Resp_Group]:[Resp_Group]],Grower))</f>
        <v>0</v>
      </c>
      <c r="CO54" s="64">
        <f>(COUNTIFS(Tbl_Responses[Phosphorus 1 - Type of test],Tbl_Q15_sampling34[[#Headers],[Olsen-Bray P]],Tbl_Responses[Phosphorus 1 - How many representative samples per paddock],$CM54,Tbl_Responses[[Resp_Group]:[Resp_Group]],Grower)+COUNTIFS(Tbl_Responses[Phosphorus 2 - Type of test],Tbl_Q15_sampling34[[#Headers],[Olsen-Bray P]],Tbl_Responses[Phosphorus 2 - How many representative samples per paddock],$CM54,Tbl_Responses[[Resp_Group]:[Resp_Group]],Grower)+COUNTIFS(Tbl_Responses[Phosphorus 3 - Type of test],Tbl_Q15_sampling34[[#Headers],[Olsen-Bray P]],Tbl_Responses[Phosphorus 3 - How many representative samples per paddock],$CM54,Tbl_Responses[[Resp_Group]:[Resp_Group]],Grower)+COUNTIFS(Tbl_Responses[Phosphorus 4 - Type of test],Tbl_Q15_sampling34[[#Headers],[Olsen-Bray P]],Tbl_Responses[Phosphorus 4 - How many representative samples per paddock],$CM54,Tbl_Responses[[Resp_Group]:[Resp_Group]],Grower)+COUNTIFS(Tbl_Responses[Phosphorus 5 - Type of test],Tbl_Q15_sampling34[[#Headers],[Olsen-Bray P]],Tbl_Responses[Phosphorus 5 - How many representative samples per paddock],$CM54,Tbl_Responses[[Resp_Group]:[Resp_Group]],Grower))/(COUNTIFS(Tbl_Responses[Phosphorus 1 - Type of test],Tbl_Q15_sampling34[[#Headers],[Olsen-Bray P]],Tbl_Responses[Phosphorus 1 - How many representative samples per paddock],"&gt;""",Tbl_Responses[[Resp_Group]:[Resp_Group]],Grower)+COUNTIFS(Tbl_Responses[Phosphorus 2 - Type of test],Tbl_Q15_sampling34[[#Headers],[Olsen-Bray P]],Tbl_Responses[Phosphorus 2 - How many representative samples per paddock],"&gt;""",Tbl_Responses[[Resp_Group]:[Resp_Group]],Grower)+COUNTIFS(Tbl_Responses[Phosphorus 3 - Type of test],Tbl_Q15_sampling34[[#Headers],[Olsen-Bray P]],Tbl_Responses[Phosphorus 3 - How many representative samples per paddock],"&gt;""",Tbl_Responses[[Resp_Group]:[Resp_Group]],Grower)+COUNTIFS(Tbl_Responses[Phosphorus 4 - Type of test],Tbl_Q15_sampling34[[#Headers],[Olsen-Bray P]],Tbl_Responses[Phosphorus 4 - How many representative samples per paddock],"&gt;""",Tbl_Responses[[Resp_Group]:[Resp_Group]],Grower)+COUNTIFS(Tbl_Responses[Phosphorus 5 - Type of test],Tbl_Q15_sampling34[[#Headers],[Olsen-Bray P]],Tbl_Responses[Phosphorus 5 - How many representative samples per paddock],"&gt;""",Tbl_Responses[[Resp_Group]:[Resp_Group]],Grower))</f>
        <v>0</v>
      </c>
      <c r="CP54" s="64">
        <f>(COUNTIFS(Tbl_Responses[Phosphorus 1 - Type of test],Tbl_Q15_sampling34[[#Headers],[PBI (Phosphorus Buffering Index)]],Tbl_Responses[Phosphorus 1 - How many representative samples per paddock],$CM54,Tbl_Responses[[Resp_Group]:[Resp_Group]],Grower)+COUNTIFS(Tbl_Responses[Phosphorus 2 - Type of test],Tbl_Q15_sampling34[[#Headers],[PBI (Phosphorus Buffering Index)]],Tbl_Responses[Phosphorus 2 - How many representative samples per paddock],$CM54,Tbl_Responses[[Resp_Group]:[Resp_Group]],Grower)+COUNTIFS(Tbl_Responses[Phosphorus 3 - Type of test],Tbl_Q15_sampling34[[#Headers],[PBI (Phosphorus Buffering Index)]],Tbl_Responses[Phosphorus 3 - How many representative samples per paddock],$CM54,Tbl_Responses[[Resp_Group]:[Resp_Group]],Grower)+COUNTIFS(Tbl_Responses[Phosphorus 4 - Type of test],Tbl_Q15_sampling34[[#Headers],[PBI (Phosphorus Buffering Index)]],Tbl_Responses[Phosphorus 4 - How many representative samples per paddock],$CM54,Tbl_Responses[[Resp_Group]:[Resp_Group]],Grower)+COUNTIFS(Tbl_Responses[Phosphorus 5 - Type of test],Tbl_Q15_sampling34[[#Headers],[PBI (Phosphorus Buffering Index)]],Tbl_Responses[Phosphorus 5 - How many representative samples per paddock],$CM54,Tbl_Responses[[Resp_Group]:[Resp_Group]],Grower))/(COUNTIFS(Tbl_Responses[Phosphorus 1 - Type of test],Tbl_Q15_sampling34[[#Headers],[PBI (Phosphorus Buffering Index)]],Tbl_Responses[Phosphorus 1 - How many representative samples per paddock],"&gt;""",Tbl_Responses[[Resp_Group]:[Resp_Group]],Grower)+COUNTIFS(Tbl_Responses[Phosphorus 2 - Type of test],Tbl_Q15_sampling34[[#Headers],[PBI (Phosphorus Buffering Index)]],Tbl_Responses[Phosphorus 2 - How many representative samples per paddock],"&gt;""",Tbl_Responses[[Resp_Group]:[Resp_Group]],Grower)+COUNTIFS(Tbl_Responses[Phosphorus 3 - Type of test],Tbl_Q15_sampling34[[#Headers],[PBI (Phosphorus Buffering Index)]],Tbl_Responses[Phosphorus 3 - How many representative samples per paddock],"&gt;""",Tbl_Responses[[Resp_Group]:[Resp_Group]],Grower)+COUNTIFS(Tbl_Responses[Phosphorus 4 - Type of test],Tbl_Q15_sampling34[[#Headers],[PBI (Phosphorus Buffering Index)]],Tbl_Responses[Phosphorus 4 - How many representative samples per paddock],"&gt;""",Tbl_Responses[[Resp_Group]:[Resp_Group]],Grower)+COUNTIFS(Tbl_Responses[Phosphorus 5 - Type of test],Tbl_Q15_sampling34[[#Headers],[PBI (Phosphorus Buffering Index)]],Tbl_Responses[Phosphorus 5 - How many representative samples per paddock],"&gt;""",Tbl_Responses[[Resp_Group]:[Resp_Group]],Grower))</f>
        <v>0</v>
      </c>
      <c r="CQ54" s="64">
        <f>(COUNTIFS(Tbl_Responses[Phosphorus 1 - Type of test],Tbl_Q15_sampling34[[#Headers],[DGT]],Tbl_Responses[Phosphorus 1 - How many representative samples per paddock],$CM54,Tbl_Responses[[Resp_Group]:[Resp_Group]],Grower)+COUNTIFS(Tbl_Responses[Phosphorus 2 - Type of test],Tbl_Q15_sampling34[[#Headers],[DGT]],Tbl_Responses[Phosphorus 2 - How many representative samples per paddock],$CM54,Tbl_Responses[[Resp_Group]:[Resp_Group]],Grower)+COUNTIFS(Tbl_Responses[Phosphorus 3 - Type of test],Tbl_Q15_sampling34[[#Headers],[DGT]],Tbl_Responses[Phosphorus 3 - How many representative samples per paddock],$CM54,Tbl_Responses[[Resp_Group]:[Resp_Group]],Grower)+COUNTIFS(Tbl_Responses[Phosphorus 4 - Type of test],Tbl_Q15_sampling34[[#Headers],[DGT]],Tbl_Responses[Phosphorus 4 - How many representative samples per paddock],$CM54,Tbl_Responses[[Resp_Group]:[Resp_Group]],Grower)+COUNTIFS(Tbl_Responses[Phosphorus 5 - Type of test],Tbl_Q15_sampling34[[#Headers],[DGT]],Tbl_Responses[Phosphorus 5 - How many representative samples per paddock],$CM54,Tbl_Responses[[Resp_Group]:[Resp_Group]],Grower))/(COUNTIFS(Tbl_Responses[Phosphorus 1 - Type of test],Tbl_Q15_sampling34[[#Headers],[DGT]],Tbl_Responses[Phosphorus 1 - How many representative samples per paddock],"&gt;""",Tbl_Responses[[Resp_Group]:[Resp_Group]],Grower)+COUNTIFS(Tbl_Responses[Phosphorus 2 - Type of test],Tbl_Q15_sampling34[[#Headers],[DGT]],Tbl_Responses[Phosphorus 2 - How many representative samples per paddock],"&gt;""",Tbl_Responses[[Resp_Group]:[Resp_Group]],Grower)+COUNTIFS(Tbl_Responses[Phosphorus 3 - Type of test],Tbl_Q15_sampling34[[#Headers],[DGT]],Tbl_Responses[Phosphorus 3 - How many representative samples per paddock],"&gt;""",Tbl_Responses[[Resp_Group]:[Resp_Group]],Grower)+COUNTIFS(Tbl_Responses[Phosphorus 4 - Type of test],Tbl_Q15_sampling34[[#Headers],[DGT]],Tbl_Responses[Phosphorus 4 - How many representative samples per paddock],"&gt;""",Tbl_Responses[[Resp_Group]:[Resp_Group]],Grower)+COUNTIFS(Tbl_Responses[Phosphorus 5 - Type of test],Tbl_Q15_sampling34[[#Headers],[DGT]],Tbl_Responses[Phosphorus 5 - How many representative samples per paddock],"&gt;""",Tbl_Responses[[Resp_Group]:[Resp_Group]],Grower))</f>
        <v>0</v>
      </c>
      <c r="CR54" s="64">
        <f>(COUNTIFS(Tbl_Responses[Phosphorus 1 - Type of test],Tbl_Q15_sampling34[[#Headers],[Total P]],Tbl_Responses[Phosphorus 1 - How many representative samples per paddock],$CM54,Tbl_Responses[[Resp_Group]:[Resp_Group]],Grower)+COUNTIFS(Tbl_Responses[Phosphorus 2 - Type of test],Tbl_Q15_sampling34[[#Headers],[Total P]],Tbl_Responses[Phosphorus 2 - How many representative samples per paddock],$CM54,Tbl_Responses[[Resp_Group]:[Resp_Group]],Grower)+COUNTIFS(Tbl_Responses[Phosphorus 3 - Type of test],Tbl_Q15_sampling34[[#Headers],[Total P]],Tbl_Responses[Phosphorus 3 - How many representative samples per paddock],$CM54,Tbl_Responses[[Resp_Group]:[Resp_Group]],Grower)+COUNTIFS(Tbl_Responses[Phosphorus 4 - Type of test],Tbl_Q15_sampling34[[#Headers],[Total P]],Tbl_Responses[Phosphorus 4 - How many representative samples per paddock],$CM54,Tbl_Responses[[Resp_Group]:[Resp_Group]],Grower)+COUNTIFS(Tbl_Responses[Phosphorus 5 - Type of test],Tbl_Q15_sampling34[[#Headers],[Total P]],Tbl_Responses[Phosphorus 5 - How many representative samples per paddock],$CM54,Tbl_Responses[[Resp_Group]:[Resp_Group]],Grower))/(COUNTIFS(Tbl_Responses[Phosphorus 1 - Type of test],Tbl_Q15_sampling34[[#Headers],[Total P]],Tbl_Responses[Phosphorus 1 - How many representative samples per paddock],"&gt;""",Tbl_Responses[[Resp_Group]:[Resp_Group]],Grower)+COUNTIFS(Tbl_Responses[Phosphorus 2 - Type of test],Tbl_Q15_sampling34[[#Headers],[Total P]],Tbl_Responses[Phosphorus 2 - How many representative samples per paddock],"&gt;""",Tbl_Responses[[Resp_Group]:[Resp_Group]],Grower)+COUNTIFS(Tbl_Responses[Phosphorus 3 - Type of test],Tbl_Q15_sampling34[[#Headers],[Total P]],Tbl_Responses[Phosphorus 3 - How many representative samples per paddock],"&gt;""",Tbl_Responses[[Resp_Group]:[Resp_Group]],Grower)+COUNTIFS(Tbl_Responses[Phosphorus 4 - Type of test],Tbl_Q15_sampling34[[#Headers],[Total P]],Tbl_Responses[Phosphorus 4 - How many representative samples per paddock],"&gt;""",Tbl_Responses[[Resp_Group]:[Resp_Group]],Grower)+COUNTIFS(Tbl_Responses[Phosphorus 5 - Type of test],Tbl_Q15_sampling34[[#Headers],[Total P]],Tbl_Responses[Phosphorus 5 - How many representative samples per paddock],"&gt;""",Tbl_Responses[[Resp_Group]:[Resp_Group]],Grower))</f>
        <v>0</v>
      </c>
      <c r="CS54" s="82">
        <f>(COUNTIFS(Tbl_Responses[Phosphorus 1 - How many representative samples per paddock],$CM54,Tbl_Responses[[Resp_Group]:[Resp_Group]],Grower)+COUNTIFS(Tbl_Responses[Phosphorus 2 - How many representative samples per paddock],$CM54,Tbl_Responses[[Resp_Group]:[Resp_Group]],Grower)+COUNTIFS(Tbl_Responses[Phosphorus 3 - How many representative samples per paddock],$CM54,Tbl_Responses[[Resp_Group]:[Resp_Group]],Grower)+COUNTIFS(Tbl_Responses[Phosphorus 4 - How many representative samples per paddock],$CM54,Tbl_Responses[[Resp_Group]:[Resp_Group]],Grower)+COUNTIFS(Tbl_Responses[Phosphorus 5 - How many representative samples per paddock],$CM54,Tbl_Responses[[Resp_Group]:[Resp_Group]],Grower))/(COUNTIFS(Tbl_Responses[Phosphorus 1 - How many representative samples per paddock],"&gt;""",Tbl_Responses[[Resp_Group]:[Resp_Group]],Grower)+COUNTIFS(Tbl_Responses[Phosphorus 2 - How many representative samples per paddock],"&gt;""",Tbl_Responses[[Resp_Group]:[Resp_Group]],Grower)+COUNTIFS(Tbl_Responses[Phosphorus 3 - How many representative samples per paddock],"&gt;""",Tbl_Responses[[Resp_Group]:[Resp_Group]],Grower)+COUNTIFS(Tbl_Responses[Phosphorus 4 - How many representative samples per paddock],"&gt;""",Tbl_Responses[[Resp_Group]:[Resp_Group]],Grower)+COUNTIFS(Tbl_Responses[Phosphorus 5 - How many representative samples per paddock],"&gt;""",Tbl_Responses[[Resp_Group]:[Resp_Group]],Grower))</f>
        <v>0</v>
      </c>
      <c r="CT54" s="72"/>
      <c r="CU54" s="72"/>
      <c r="CV54" s="73"/>
      <c r="CW54" s="73"/>
      <c r="CX54" s="72"/>
      <c r="CY54" s="72"/>
      <c r="CZ54" s="83" t="s">
        <v>2501</v>
      </c>
      <c r="DA54" s="68">
        <f>(COUNTIFS(Tbl_Responses[Potassium 1 - Type of test],Tbl_Q16_sampling35[[#Headers],[Colwell K]],Tbl_Responses[Potassium 1 - How many representative samples per paddock],$CZ54,Tbl_Responses[[Resp_Group]:[Resp_Group]],Grower)+COUNTIFS(Tbl_Responses[Potassium 2 - Type of test],Tbl_Q16_sampling35[[#Headers],[Colwell K]],Tbl_Responses[Potassium 2 - How many representative samples per paddock],$CZ54,Tbl_Responses[[Resp_Group]:[Resp_Group]],Grower)+COUNTIFS(Tbl_Responses[Potassium 3 - Type of test],Tbl_Q16_sampling35[[#Headers],[Colwell K]],Tbl_Responses[Potassium 3 - How many representative samples per paddock],$CZ54,Tbl_Responses[[Resp_Group]:[Resp_Group]],Grower))/(COUNTIFS(Tbl_Responses[Potassium 1 - Type of test],Tbl_Q16_sampling35[[#Headers],[Colwell K]],Tbl_Responses[Potassium 1 - How many representative samples per paddock],"&gt;""",Tbl_Responses[[Resp_Group]:[Resp_Group]],Grower)+COUNTIFS(Tbl_Responses[Potassium 2 - Type of test],Tbl_Q16_sampling35[[#Headers],[Colwell K]],Tbl_Responses[Potassium 2 - How many representative samples per paddock],"&gt;""",Tbl_Responses[[Resp_Group]:[Resp_Group]],Grower)+COUNTIFS(Tbl_Responses[Potassium 3 - Type of test],Tbl_Q16_sampling35[[#Headers],[Colwell K]],Tbl_Responses[Potassium 3 - How many representative samples per paddock],"&gt;""",Tbl_Responses[[Resp_Group]:[Resp_Group]],Grower))</f>
        <v>0</v>
      </c>
      <c r="DB54" s="64">
        <f>(COUNTIFS(Tbl_Responses[Potassium 1 - Type of test],Tbl_Q16_sampling35[[#Headers],[Exchangable Cations (Ca, Mg, K, Na)]],Tbl_Responses[Potassium 1 - How many representative samples per paddock],$CZ54,Tbl_Responses[[Resp_Group]:[Resp_Group]],Grower)+COUNTIFS(Tbl_Responses[Potassium 2 - Type of test],Tbl_Q16_sampling35[[#Headers],[Exchangable Cations (Ca, Mg, K, Na)]],Tbl_Responses[Potassium 2 - How many representative samples per paddock],$CZ54,Tbl_Responses[[Resp_Group]:[Resp_Group]],Grower)+COUNTIFS(Tbl_Responses[Potassium 3 - Type of test],Tbl_Q16_sampling35[[#Headers],[Exchangable Cations (Ca, Mg, K, Na)]],Tbl_Responses[Potassium 3 - How many representative samples per paddock],$CZ54,Tbl_Responses[[Resp_Group]:[Resp_Group]],Grower))/(COUNTIFS(Tbl_Responses[Potassium 1 - Type of test],Tbl_Q16_sampling35[[#Headers],[Exchangable Cations (Ca, Mg, K, Na)]],Tbl_Responses[Potassium 1 - How many representative samples per paddock],"&gt;""",Tbl_Responses[[Resp_Group]:[Resp_Group]],Grower)+COUNTIFS(Tbl_Responses[Potassium 2 - Type of test],Tbl_Q16_sampling35[[#Headers],[Exchangable Cations (Ca, Mg, K, Na)]],Tbl_Responses[Potassium 2 - How many representative samples per paddock],"&gt;""",Tbl_Responses[[Resp_Group]:[Resp_Group]],Grower)+COUNTIFS(Tbl_Responses[Potassium 3 - Type of test],Tbl_Q16_sampling35[[#Headers],[Exchangable Cations (Ca, Mg, K, Na)]],Tbl_Responses[Potassium 3 - How many representative samples per paddock],"&gt;""",Tbl_Responses[[Resp_Group]:[Resp_Group]],Grower))</f>
        <v>0</v>
      </c>
      <c r="DC54" s="69">
        <f>(COUNTIFS(Tbl_Responses[Potassium 1 - How many representative samples per paddock],$CZ54,Tbl_Responses[[Resp_Group]:[Resp_Group]],Grower)+COUNTIFS(Tbl_Responses[Potassium 2 - How many representative samples per paddock],$CZ54,Tbl_Responses[[Resp_Group]:[Resp_Group]],Grower)+COUNTIFS(Tbl_Responses[Potassium 3 - How many representative samples per paddock],$CZ54,Tbl_Responses[[Resp_Group]:[Resp_Group]],Grower))/(COUNTIFS(Tbl_Responses[Potassium 1 - How many representative samples per paddock],"&gt;""",Tbl_Responses[[Resp_Group]:[Resp_Group]],Grower)+COUNTIFS(Tbl_Responses[Potassium 2 - How many representative samples per paddock],"&gt;""",Tbl_Responses[[Resp_Group]:[Resp_Group]],Grower)+COUNTIFS(Tbl_Responses[Potassium 3 - How many representative samples per paddock],"&gt;""",Tbl_Responses[[Resp_Group]:[Resp_Group]],Grower))</f>
        <v>0</v>
      </c>
      <c r="DD54" s="72"/>
      <c r="DE54" s="72"/>
      <c r="DF54" s="80" t="s">
        <v>224</v>
      </c>
      <c r="DG54" s="72">
        <f>(COUNTIFS(Tbl_Responses[1 - Type of test],DF54,Tbl_Responses[[Resp_Group]:[Resp_Group]],Grower)+COUNTIFS(Tbl_Responses[2 - Type of test],DF54,Tbl_Responses[[Resp_Group]:[Resp_Group]],Grower)+COUNTIFS(Tbl_Responses[3 - Type of test],DF54,Tbl_Responses[[Resp_Group]:[Resp_Group]],Grower)+COUNTIFS(Tbl_Responses[4 - Type of test],DF54,Tbl_Responses[[Resp_Group]:[Resp_Group]],Grower)+COUNTIFS(Tbl_Responses[5 - Type of test],DF54,Tbl_Responses[[Resp_Group]:[Resp_Group]],Grower))/(COUNTIFS(Tbl_Responses[1 - Type of test],"&gt;""",Tbl_Responses[[Resp_Group]:[Resp_Group]],Grower)+COUNTIFS(Tbl_Responses[2 - Type of test],"&gt;""",Tbl_Responses[[Resp_Group]:[Resp_Group]],Grower)+COUNTIFS(Tbl_Responses[3 - Type of test],"&gt;""",Tbl_Responses[[Resp_Group]:[Resp_Group]],Grower)+COUNTIFS(Tbl_Responses[4 - Type of test],"&gt;""",Tbl_Responses[[Resp_Group]:[Resp_Group]],Grower)+COUNTIFS(Tbl_Responses[5 - Type of test],"&gt;""",Tbl_Responses[[Resp_Group]:[Resp_Group]],Grower))</f>
        <v>2.1739130434782608E-2</v>
      </c>
      <c r="DH54" s="72"/>
      <c r="DI54" s="72"/>
      <c r="DJ54" s="83" t="s">
        <v>2501</v>
      </c>
      <c r="DK54" s="68">
        <f>(COUNTIFS(Tbl_Responses[1 - Type of test],Tbl_Q17_sampling36[[#Headers],[pH]],Tbl_Responses[1 - How many cores per paddock],$DJ54,Tbl_Responses[[Resp_Group]:[Resp_Group]],Grower)+COUNTIFS(Tbl_Responses[2 - Type of test],Tbl_Q17_sampling36[[#Headers],[pH]],Tbl_Responses[2 - How many cores per paddock],$DJ54,Tbl_Responses[[Resp_Group]:[Resp_Group]],Grower)+COUNTIFS(Tbl_Responses[3 - Type of test],Tbl_Q17_sampling36[[#Headers],[pH]],Tbl_Responses[3 - How many cores per paddock],$DJ54,Tbl_Responses[[Resp_Group]:[Resp_Group]],Grower)+COUNTIFS(Tbl_Responses[4 - Type of test],Tbl_Q17_sampling36[[#Headers],[pH]],Tbl_Responses[4 - How many cores per paddock],$DJ54,Tbl_Responses[[Resp_Group]:[Resp_Group]],Grower)+COUNTIFS(Tbl_Responses[5 - Type of test],Tbl_Q17_sampling36[[#Headers],[pH]],Tbl_Responses[5 - How many cores per paddock],$DJ54,Tbl_Responses[[Resp_Group]:[Resp_Group]],Grower)+COUNTIFS(Tbl_Responses[6 - Type of test],Tbl_Q17_sampling36[[#Headers],[pH]],Tbl_Responses[6 - How many cores per paddock],$DJ54,Tbl_Responses[[Resp_Group]:[Resp_Group]],Grower)+COUNTIFS(Tbl_Responses[7 - Type of test],Tbl_Q17_sampling36[[#Headers],[pH]],Tbl_Responses[7 - How many cores per paddock],$DJ54,Tbl_Responses[[Resp_Group]:[Resp_Group]],Grower)+COUNTIFS(Tbl_Responses[8 - Type of test],Tbl_Q17_sampling36[[#Headers],[pH]],Tbl_Responses[8 - How many cores per paddock],$DJ54,Tbl_Responses[[Resp_Group]:[Resp_Group]],Grower))/(COUNTIFS(Tbl_Responses[1 - Type of test],Tbl_Q17_sampling36[[#Headers],[pH]],Tbl_Responses[1 - How many cores per paddock],"&gt;""",Tbl_Responses[[Resp_Group]:[Resp_Group]],Grower)+COUNTIFS(Tbl_Responses[2 - Type of test],Tbl_Q17_sampling36[[#Headers],[pH]],Tbl_Responses[2 - How many cores per paddock],"&gt;""",Tbl_Responses[[Resp_Group]:[Resp_Group]],Grower)+COUNTIFS(Tbl_Responses[3 - Type of test],Tbl_Q17_sampling36[[#Headers],[pH]],Tbl_Responses[3 - How many cores per paddock],"&gt;""",Tbl_Responses[[Resp_Group]:[Resp_Group]],Grower)+COUNTIFS(Tbl_Responses[4 - Type of test],Tbl_Q17_sampling36[[#Headers],[pH]],Tbl_Responses[4 - How many cores per paddock],"&gt;""",Tbl_Responses[[Resp_Group]:[Resp_Group]],Grower)+COUNTIFS(Tbl_Responses[5 - Type of test],Tbl_Q17_sampling36[[#Headers],[pH]],Tbl_Responses[5 - How many cores per paddock],"&gt;""",Tbl_Responses[[Resp_Group]:[Resp_Group]],Grower)+COUNTIFS(Tbl_Responses[6 - Type of test],Tbl_Q17_sampling36[[#Headers],[pH]],Tbl_Responses[6 - How many cores per paddock],"&gt;""",Tbl_Responses[[Resp_Group]:[Resp_Group]],Grower)+COUNTIFS(Tbl_Responses[7 - Type of test],Tbl_Q17_sampling36[[#Headers],[pH]],Tbl_Responses[7 - How many cores per paddock],"&gt;""",Tbl_Responses[[Resp_Group]:[Resp_Group]],Grower)+COUNTIFS(Tbl_Responses[8 - Type of test],Tbl_Q17_sampling36[[#Headers],[pH]],Tbl_Responses[8 - How many cores per paddock],"&gt;""",Tbl_Responses[[Resp_Group]:[Resp_Group]],Grower))</f>
        <v>0.16666666666666666</v>
      </c>
      <c r="DL54" s="64">
        <f>(COUNTIFS(Tbl_Responses[1 - Type of test],Tbl_Q17_sampling36[[#Headers],[Trace elements (DTPA) Cu, Zn, Mg, Fe]],Tbl_Responses[1 - How many cores per paddock],$DJ54,Tbl_Responses[[Resp_Group]:[Resp_Group]],Grower)+COUNTIFS(Tbl_Responses[2 - Type of test],Tbl_Q17_sampling36[[#Headers],[Trace elements (DTPA) Cu, Zn, Mg, Fe]],Tbl_Responses[2 - How many cores per paddock],$DJ54,Tbl_Responses[[Resp_Group]:[Resp_Group]],Grower)+COUNTIFS(Tbl_Responses[3 - Type of test],Tbl_Q17_sampling36[[#Headers],[Trace elements (DTPA) Cu, Zn, Mg, Fe]],Tbl_Responses[3 - How many cores per paddock],$DJ54,Tbl_Responses[[Resp_Group]:[Resp_Group]],Grower)+COUNTIFS(Tbl_Responses[4 - Type of test],Tbl_Q17_sampling36[[#Headers],[Trace elements (DTPA) Cu, Zn, Mg, Fe]],Tbl_Responses[4 - How many cores per paddock],$DJ54,Tbl_Responses[[Resp_Group]:[Resp_Group]],Grower)+COUNTIFS(Tbl_Responses[5 - Type of test],Tbl_Q17_sampling36[[#Headers],[Trace elements (DTPA) Cu, Zn, Mg, Fe]],Tbl_Responses[5 - How many cores per paddock],$DJ54,Tbl_Responses[[Resp_Group]:[Resp_Group]],Grower)+COUNTIFS(Tbl_Responses[6 - Type of test],Tbl_Q17_sampling36[[#Headers],[Trace elements (DTPA) Cu, Zn, Mg, Fe]],Tbl_Responses[6 - How many cores per paddock],$DJ54,Tbl_Responses[[Resp_Group]:[Resp_Group]],Grower)+COUNTIFS(Tbl_Responses[7 - Type of test],Tbl_Q17_sampling36[[#Headers],[Trace elements (DTPA) Cu, Zn, Mg, Fe]],Tbl_Responses[7 - How many cores per paddock],$DJ54,Tbl_Responses[[Resp_Group]:[Resp_Group]],Grower)+COUNTIFS(Tbl_Responses[8 - Type of test],Tbl_Q17_sampling36[[#Headers],[Trace elements (DTPA) Cu, Zn, Mg, Fe]],Tbl_Responses[8 - How many cores per paddock],$DJ54,Tbl_Responses[[Resp_Group]:[Resp_Group]],Grower))/(COUNTIFS(Tbl_Responses[1 - Type of test],Tbl_Q17_sampling36[[#Headers],[Trace elements (DTPA) Cu, Zn, Mg, Fe]],Tbl_Responses[1 - How many cores per paddock],"&gt;""",Tbl_Responses[[Resp_Group]:[Resp_Group]],Grower)+COUNTIFS(Tbl_Responses[2 - Type of test],Tbl_Q17_sampling36[[#Headers],[Trace elements (DTPA) Cu, Zn, Mg, Fe]],Tbl_Responses[2 - How many cores per paddock],"&gt;""",Tbl_Responses[[Resp_Group]:[Resp_Group]],Grower)+COUNTIFS(Tbl_Responses[3 - Type of test],Tbl_Q17_sampling36[[#Headers],[Trace elements (DTPA) Cu, Zn, Mg, Fe]],Tbl_Responses[3 - How many cores per paddock],"&gt;""",Tbl_Responses[[Resp_Group]:[Resp_Group]],Grower)+COUNTIFS(Tbl_Responses[4 - Type of test],Tbl_Q17_sampling36[[#Headers],[Trace elements (DTPA) Cu, Zn, Mg, Fe]],Tbl_Responses[4 - How many cores per paddock],"&gt;""",Tbl_Responses[[Resp_Group]:[Resp_Group]],Grower)+COUNTIFS(Tbl_Responses[5 - Type of test],Tbl_Q17_sampling36[[#Headers],[Trace elements (DTPA) Cu, Zn, Mg, Fe]],Tbl_Responses[5 - How many cores per paddock],"&gt;""",Tbl_Responses[[Resp_Group]:[Resp_Group]],Grower)+COUNTIFS(Tbl_Responses[6 - Type of test],Tbl_Q17_sampling36[[#Headers],[Trace elements (DTPA) Cu, Zn, Mg, Fe]],Tbl_Responses[6 - How many cores per paddock],"&gt;""",Tbl_Responses[[Resp_Group]:[Resp_Group]],Grower)+COUNTIFS(Tbl_Responses[7 - Type of test],Tbl_Q17_sampling36[[#Headers],[Trace elements (DTPA) Cu, Zn, Mg, Fe]],Tbl_Responses[7 - How many cores per paddock],"&gt;""",Tbl_Responses[[Resp_Group]:[Resp_Group]],Grower)+COUNTIFS(Tbl_Responses[8 - Type of test],Tbl_Q17_sampling36[[#Headers],[Trace elements (DTPA) Cu, Zn, Mg, Fe]],Tbl_Responses[8 - How many cores per paddock],"&gt;""",Tbl_Responses[[Resp_Group]:[Resp_Group]],Grower))</f>
        <v>0</v>
      </c>
      <c r="DM54" s="64">
        <f>(COUNTIFS(Tbl_Responses[1 - Type of test],Tbl_Q17_sampling36[[#Headers],[Trace elements (EDTA) Cu, Zn, Mg, Fe]],Tbl_Responses[1 - How many cores per paddock],$DJ54,Tbl_Responses[[Resp_Group]:[Resp_Group]],Grower)+COUNTIFS(Tbl_Responses[2 - Type of test],Tbl_Q17_sampling36[[#Headers],[Trace elements (EDTA) Cu, Zn, Mg, Fe]],Tbl_Responses[2 - How many cores per paddock],$DJ54,Tbl_Responses[[Resp_Group]:[Resp_Group]],Grower)+COUNTIFS(Tbl_Responses[3 - Type of test],Tbl_Q17_sampling36[[#Headers],[Trace elements (EDTA) Cu, Zn, Mg, Fe]],Tbl_Responses[3 - How many cores per paddock],$DJ54,Tbl_Responses[[Resp_Group]:[Resp_Group]],Grower)+COUNTIFS(Tbl_Responses[4 - Type of test],Tbl_Q17_sampling36[[#Headers],[Trace elements (EDTA) Cu, Zn, Mg, Fe]],Tbl_Responses[4 - How many cores per paddock],$DJ54,Tbl_Responses[[Resp_Group]:[Resp_Group]],Grower)+COUNTIFS(Tbl_Responses[5 - Type of test],Tbl_Q17_sampling36[[#Headers],[Trace elements (EDTA) Cu, Zn, Mg, Fe]],Tbl_Responses[5 - How many cores per paddock],$DJ54,Tbl_Responses[[Resp_Group]:[Resp_Group]],Grower)+COUNTIFS(Tbl_Responses[6 - Type of test],Tbl_Q17_sampling36[[#Headers],[Trace elements (EDTA) Cu, Zn, Mg, Fe]],Tbl_Responses[6 - How many cores per paddock],$DJ54,Tbl_Responses[[Resp_Group]:[Resp_Group]],Grower)+COUNTIFS(Tbl_Responses[7 - Type of test],Tbl_Q17_sampling36[[#Headers],[Trace elements (EDTA) Cu, Zn, Mg, Fe]],Tbl_Responses[7 - How many cores per paddock],$DJ54,Tbl_Responses[[Resp_Group]:[Resp_Group]],Grower)+COUNTIFS(Tbl_Responses[8 - Type of test],Tbl_Q17_sampling36[[#Headers],[Trace elements (EDTA) Cu, Zn, Mg, Fe]],Tbl_Responses[8 - How many cores per paddock],$DJ54,Tbl_Responses[[Resp_Group]:[Resp_Group]],Grower))/(COUNTIFS(Tbl_Responses[1 - Type of test],Tbl_Q17_sampling36[[#Headers],[Trace elements (EDTA) Cu, Zn, Mg, Fe]],Tbl_Responses[1 - How many cores per paddock],"&gt;""",Tbl_Responses[[Resp_Group]:[Resp_Group]],Grower)+COUNTIFS(Tbl_Responses[2 - Type of test],Tbl_Q17_sampling36[[#Headers],[Trace elements (EDTA) Cu, Zn, Mg, Fe]],Tbl_Responses[2 - How many cores per paddock],"&gt;""",Tbl_Responses[[Resp_Group]:[Resp_Group]],Grower)+COUNTIFS(Tbl_Responses[3 - Type of test],Tbl_Q17_sampling36[[#Headers],[Trace elements (EDTA) Cu, Zn, Mg, Fe]],Tbl_Responses[3 - How many cores per paddock],"&gt;""",Tbl_Responses[[Resp_Group]:[Resp_Group]],Grower)+COUNTIFS(Tbl_Responses[4 - Type of test],Tbl_Q17_sampling36[[#Headers],[Trace elements (EDTA) Cu, Zn, Mg, Fe]],Tbl_Responses[4 - How many cores per paddock],"&gt;""",Tbl_Responses[[Resp_Group]:[Resp_Group]],Grower)+COUNTIFS(Tbl_Responses[5 - Type of test],Tbl_Q17_sampling36[[#Headers],[Trace elements (EDTA) Cu, Zn, Mg, Fe]],Tbl_Responses[5 - How many cores per paddock],"&gt;""",Tbl_Responses[[Resp_Group]:[Resp_Group]],Grower)+COUNTIFS(Tbl_Responses[6 - Type of test],Tbl_Q17_sampling36[[#Headers],[Trace elements (EDTA) Cu, Zn, Mg, Fe]],Tbl_Responses[6 - How many cores per paddock],"&gt;""",Tbl_Responses[[Resp_Group]:[Resp_Group]],Grower)+COUNTIFS(Tbl_Responses[7 - Type of test],Tbl_Q17_sampling36[[#Headers],[Trace elements (EDTA) Cu, Zn, Mg, Fe]],Tbl_Responses[7 - How many cores per paddock],"&gt;""",Tbl_Responses[[Resp_Group]:[Resp_Group]],Grower)+COUNTIFS(Tbl_Responses[8 - Type of test],Tbl_Q17_sampling36[[#Headers],[Trace elements (EDTA) Cu, Zn, Mg, Fe]],Tbl_Responses[8 - How many cores per paddock],"&gt;""",Tbl_Responses[[Resp_Group]:[Resp_Group]],Grower))</f>
        <v>0</v>
      </c>
      <c r="DN54" s="64">
        <f>(COUNTIFS(Tbl_Responses[1 - Type of test],Tbl_Q17_sampling36[[#Headers],[Exchangable cations - Ca, Mg, Na, K]],Tbl_Responses[1 - How many cores per paddock],$DJ54,Tbl_Responses[[Resp_Group]:[Resp_Group]],Grower)+COUNTIFS(Tbl_Responses[2 - Type of test],Tbl_Q17_sampling36[[#Headers],[Exchangable cations - Ca, Mg, Na, K]],Tbl_Responses[2 - How many cores per paddock],$DJ54,Tbl_Responses[[Resp_Group]:[Resp_Group]],Grower)+COUNTIFS(Tbl_Responses[3 - Type of test],Tbl_Q17_sampling36[[#Headers],[Exchangable cations - Ca, Mg, Na, K]],Tbl_Responses[3 - How many cores per paddock],$DJ54,Tbl_Responses[[Resp_Group]:[Resp_Group]],Grower)+COUNTIFS(Tbl_Responses[4 - Type of test],Tbl_Q17_sampling36[[#Headers],[Exchangable cations - Ca, Mg, Na, K]],Tbl_Responses[4 - How many cores per paddock],$DJ54,Tbl_Responses[[Resp_Group]:[Resp_Group]],Grower)+COUNTIFS(Tbl_Responses[5 - Type of test],Tbl_Q17_sampling36[[#Headers],[Exchangable cations - Ca, Mg, Na, K]],Tbl_Responses[5 - How many cores per paddock],$DJ54,Tbl_Responses[[Resp_Group]:[Resp_Group]],Grower)+COUNTIFS(Tbl_Responses[6 - Type of test],Tbl_Q17_sampling36[[#Headers],[Exchangable cations - Ca, Mg, Na, K]],Tbl_Responses[6 - How many cores per paddock],$DJ54,Tbl_Responses[[Resp_Group]:[Resp_Group]],Grower)+COUNTIFS(Tbl_Responses[7 - Type of test],Tbl_Q17_sampling36[[#Headers],[Exchangable cations - Ca, Mg, Na, K]],Tbl_Responses[7 - How many cores per paddock],$DJ54,Tbl_Responses[[Resp_Group]:[Resp_Group]],Grower)+COUNTIFS(Tbl_Responses[8 - Type of test],Tbl_Q17_sampling36[[#Headers],[Exchangable cations - Ca, Mg, Na, K]],Tbl_Responses[8 - How many cores per paddock],$DJ54,Tbl_Responses[[Resp_Group]:[Resp_Group]],Grower))/(COUNTIFS(Tbl_Responses[1 - Type of test],Tbl_Q17_sampling36[[#Headers],[Exchangable cations - Ca, Mg, Na, K]],Tbl_Responses[1 - How many cores per paddock],"&gt;""",Tbl_Responses[[Resp_Group]:[Resp_Group]],Grower)+COUNTIFS(Tbl_Responses[2 - Type of test],Tbl_Q17_sampling36[[#Headers],[Exchangable cations - Ca, Mg, Na, K]],Tbl_Responses[2 - How many cores per paddock],"&gt;""",Tbl_Responses[[Resp_Group]:[Resp_Group]],Grower)+COUNTIFS(Tbl_Responses[3 - Type of test],Tbl_Q17_sampling36[[#Headers],[Exchangable cations - Ca, Mg, Na, K]],Tbl_Responses[3 - How many cores per paddock],"&gt;""",Tbl_Responses[[Resp_Group]:[Resp_Group]],Grower)+COUNTIFS(Tbl_Responses[4 - Type of test],Tbl_Q17_sampling36[[#Headers],[Exchangable cations - Ca, Mg, Na, K]],Tbl_Responses[4 - How many cores per paddock],"&gt;""",Tbl_Responses[[Resp_Group]:[Resp_Group]],Grower)+COUNTIFS(Tbl_Responses[5 - Type of test],Tbl_Q17_sampling36[[#Headers],[Exchangable cations - Ca, Mg, Na, K]],Tbl_Responses[5 - How many cores per paddock],"&gt;""",Tbl_Responses[[Resp_Group]:[Resp_Group]],Grower)+COUNTIFS(Tbl_Responses[6 - Type of test],Tbl_Q17_sampling36[[#Headers],[Exchangable cations - Ca, Mg, Na, K]],Tbl_Responses[6 - How many cores per paddock],"&gt;""",Tbl_Responses[[Resp_Group]:[Resp_Group]],Grower)+COUNTIFS(Tbl_Responses[7 - Type of test],Tbl_Q17_sampling36[[#Headers],[Exchangable cations - Ca, Mg, Na, K]],Tbl_Responses[7 - How many cores per paddock],"&gt;""",Tbl_Responses[[Resp_Group]:[Resp_Group]],Grower)+COUNTIFS(Tbl_Responses[8 - Type of test],Tbl_Q17_sampling36[[#Headers],[Exchangable cations - Ca, Mg, Na, K]],Tbl_Responses[8 - How many cores per paddock],"&gt;""",Tbl_Responses[[Resp_Group]:[Resp_Group]],Grower))</f>
        <v>0</v>
      </c>
      <c r="DO54" s="64">
        <f>(COUNTIFS(Tbl_Responses[1 - Type of test],Tbl_Q17_sampling36[[#Headers],[Texture]],Tbl_Responses[1 - How many cores per paddock],$DJ54,Tbl_Responses[[Resp_Group]:[Resp_Group]],Grower)+COUNTIFS(Tbl_Responses[2 - Type of test],Tbl_Q17_sampling36[[#Headers],[Texture]],Tbl_Responses[2 - How many cores per paddock],$DJ54,Tbl_Responses[[Resp_Group]:[Resp_Group]],Grower)+COUNTIFS(Tbl_Responses[3 - Type of test],Tbl_Q17_sampling36[[#Headers],[Texture]],Tbl_Responses[3 - How many cores per paddock],$DJ54,Tbl_Responses[[Resp_Group]:[Resp_Group]],Grower)+COUNTIFS(Tbl_Responses[4 - Type of test],Tbl_Q17_sampling36[[#Headers],[Texture]],Tbl_Responses[4 - How many cores per paddock],$DJ54,Tbl_Responses[[Resp_Group]:[Resp_Group]],Grower)+COUNTIFS(Tbl_Responses[5 - Type of test],Tbl_Q17_sampling36[[#Headers],[Texture]],Tbl_Responses[5 - How many cores per paddock],$DJ54,Tbl_Responses[[Resp_Group]:[Resp_Group]],Grower)+COUNTIFS(Tbl_Responses[6 - Type of test],Tbl_Q17_sampling36[[#Headers],[Texture]],Tbl_Responses[6 - How many cores per paddock],$DJ54,Tbl_Responses[[Resp_Group]:[Resp_Group]],Grower)+COUNTIFS(Tbl_Responses[7 - Type of test],Tbl_Q17_sampling36[[#Headers],[Texture]],Tbl_Responses[7 - How many cores per paddock],$DJ54,Tbl_Responses[[Resp_Group]:[Resp_Group]],Grower)+COUNTIFS(Tbl_Responses[8 - Type of test],Tbl_Q17_sampling36[[#Headers],[Texture]],Tbl_Responses[8 - How many cores per paddock],$DJ54,Tbl_Responses[[Resp_Group]:[Resp_Group]],Grower))/(COUNTIFS(Tbl_Responses[1 - Type of test],Tbl_Q17_sampling36[[#Headers],[Texture]],Tbl_Responses[1 - How many cores per paddock],"&gt;""",Tbl_Responses[[Resp_Group]:[Resp_Group]],Grower)+COUNTIFS(Tbl_Responses[2 - Type of test],Tbl_Q17_sampling36[[#Headers],[Texture]],Tbl_Responses[2 - How many cores per paddock],"&gt;""",Tbl_Responses[[Resp_Group]:[Resp_Group]],Grower)+COUNTIFS(Tbl_Responses[3 - Type of test],Tbl_Q17_sampling36[[#Headers],[Texture]],Tbl_Responses[3 - How many cores per paddock],"&gt;""",Tbl_Responses[[Resp_Group]:[Resp_Group]],Grower)+COUNTIFS(Tbl_Responses[4 - Type of test],Tbl_Q17_sampling36[[#Headers],[Texture]],Tbl_Responses[4 - How many cores per paddock],"&gt;""",Tbl_Responses[[Resp_Group]:[Resp_Group]],Grower)+COUNTIFS(Tbl_Responses[5 - Type of test],Tbl_Q17_sampling36[[#Headers],[Texture]],Tbl_Responses[5 - How many cores per paddock],"&gt;""",Tbl_Responses[[Resp_Group]:[Resp_Group]],Grower)+COUNTIFS(Tbl_Responses[6 - Type of test],Tbl_Q17_sampling36[[#Headers],[Texture]],Tbl_Responses[6 - How many cores per paddock],"&gt;""",Tbl_Responses[[Resp_Group]:[Resp_Group]],Grower)+COUNTIFS(Tbl_Responses[7 - Type of test],Tbl_Q17_sampling36[[#Headers],[Texture]],Tbl_Responses[7 - How many cores per paddock],"&gt;""",Tbl_Responses[[Resp_Group]:[Resp_Group]],Grower)+COUNTIFS(Tbl_Responses[8 - Type of test],Tbl_Q17_sampling36[[#Headers],[Texture]],Tbl_Responses[8 - How many cores per paddock],"&gt;""",Tbl_Responses[[Resp_Group]:[Resp_Group]],Grower))</f>
        <v>0</v>
      </c>
      <c r="DP54" s="64">
        <f>(COUNTIFS(Tbl_Responses[1 - Type of test],Tbl_Q17_sampling36[[#Headers],[Aluminium (CaCl2)]],Tbl_Responses[1 - How many cores per paddock],$DJ54,Tbl_Responses[[Resp_Group]:[Resp_Group]],Grower)+COUNTIFS(Tbl_Responses[2 - Type of test],Tbl_Q17_sampling36[[#Headers],[Aluminium (CaCl2)]],Tbl_Responses[2 - How many cores per paddock],$DJ54,Tbl_Responses[[Resp_Group]:[Resp_Group]],Grower)+COUNTIFS(Tbl_Responses[3 - Type of test],Tbl_Q17_sampling36[[#Headers],[Aluminium (CaCl2)]],Tbl_Responses[3 - How many cores per paddock],$DJ54,Tbl_Responses[[Resp_Group]:[Resp_Group]],Grower)+COUNTIFS(Tbl_Responses[4 - Type of test],Tbl_Q17_sampling36[[#Headers],[Aluminium (CaCl2)]],Tbl_Responses[4 - How many cores per paddock],$DJ54,Tbl_Responses[[Resp_Group]:[Resp_Group]],Grower)+COUNTIFS(Tbl_Responses[5 - Type of test],Tbl_Q17_sampling36[[#Headers],[Aluminium (CaCl2)]],Tbl_Responses[5 - How many cores per paddock],$DJ54,Tbl_Responses[[Resp_Group]:[Resp_Group]],Grower)+COUNTIFS(Tbl_Responses[6 - Type of test],Tbl_Q17_sampling36[[#Headers],[Aluminium (CaCl2)]],Tbl_Responses[6 - How many cores per paddock],$DJ54,Tbl_Responses[[Resp_Group]:[Resp_Group]],Grower)+COUNTIFS(Tbl_Responses[7 - Type of test],Tbl_Q17_sampling36[[#Headers],[Aluminium (CaCl2)]],Tbl_Responses[7 - How many cores per paddock],$DJ54,Tbl_Responses[[Resp_Group]:[Resp_Group]],Grower)+COUNTIFS(Tbl_Responses[8 - Type of test],Tbl_Q17_sampling36[[#Headers],[Aluminium (CaCl2)]],Tbl_Responses[8 - How many cores per paddock],$DJ54,Tbl_Responses[[Resp_Group]:[Resp_Group]],Grower))/(COUNTIFS(Tbl_Responses[1 - Type of test],Tbl_Q17_sampling36[[#Headers],[Aluminium (CaCl2)]],Tbl_Responses[1 - How many cores per paddock],"&gt;""",Tbl_Responses[[Resp_Group]:[Resp_Group]],Grower)+COUNTIFS(Tbl_Responses[2 - Type of test],Tbl_Q17_sampling36[[#Headers],[Aluminium (CaCl2)]],Tbl_Responses[2 - How many cores per paddock],"&gt;""",Tbl_Responses[[Resp_Group]:[Resp_Group]],Grower)+COUNTIFS(Tbl_Responses[3 - Type of test],Tbl_Q17_sampling36[[#Headers],[Aluminium (CaCl2)]],Tbl_Responses[3 - How many cores per paddock],"&gt;""",Tbl_Responses[[Resp_Group]:[Resp_Group]],Grower)+COUNTIFS(Tbl_Responses[4 - Type of test],Tbl_Q17_sampling36[[#Headers],[Aluminium (CaCl2)]],Tbl_Responses[4 - How many cores per paddock],"&gt;""",Tbl_Responses[[Resp_Group]:[Resp_Group]],Grower)+COUNTIFS(Tbl_Responses[5 - Type of test],Tbl_Q17_sampling36[[#Headers],[Aluminium (CaCl2)]],Tbl_Responses[5 - How many cores per paddock],"&gt;""",Tbl_Responses[[Resp_Group]:[Resp_Group]],Grower)+COUNTIFS(Tbl_Responses[6 - Type of test],Tbl_Q17_sampling36[[#Headers],[Aluminium (CaCl2)]],Tbl_Responses[6 - How many cores per paddock],"&gt;""",Tbl_Responses[[Resp_Group]:[Resp_Group]],Grower)+COUNTIFS(Tbl_Responses[7 - Type of test],Tbl_Q17_sampling36[[#Headers],[Aluminium (CaCl2)]],Tbl_Responses[7 - How many cores per paddock],"&gt;""",Tbl_Responses[[Resp_Group]:[Resp_Group]],Grower)+COUNTIFS(Tbl_Responses[8 - Type of test],Tbl_Q17_sampling36[[#Headers],[Aluminium (CaCl2)]],Tbl_Responses[8 - How many cores per paddock],"&gt;""",Tbl_Responses[[Resp_Group]:[Resp_Group]],Grower))</f>
        <v>0</v>
      </c>
      <c r="DQ54" s="64">
        <f>(COUNTIFS(Tbl_Responses[1 - Type of test],Tbl_Q17_sampling36[[#Headers],[Chloride]],Tbl_Responses[1 - How many cores per paddock],$DJ54,Tbl_Responses[[Resp_Group]:[Resp_Group]],Grower)+COUNTIFS(Tbl_Responses[2 - Type of test],Tbl_Q17_sampling36[[#Headers],[Chloride]],Tbl_Responses[2 - How many cores per paddock],$DJ54,Tbl_Responses[[Resp_Group]:[Resp_Group]],Grower)+COUNTIFS(Tbl_Responses[3 - Type of test],Tbl_Q17_sampling36[[#Headers],[Chloride]],Tbl_Responses[3 - How many cores per paddock],$DJ54,Tbl_Responses[[Resp_Group]:[Resp_Group]],Grower)+COUNTIFS(Tbl_Responses[4 - Type of test],Tbl_Q17_sampling36[[#Headers],[Chloride]],Tbl_Responses[4 - How many cores per paddock],$DJ54,Tbl_Responses[[Resp_Group]:[Resp_Group]],Grower)+COUNTIFS(Tbl_Responses[5 - Type of test],Tbl_Q17_sampling36[[#Headers],[Chloride]],Tbl_Responses[5 - How many cores per paddock],$DJ54,Tbl_Responses[[Resp_Group]:[Resp_Group]],Grower)+COUNTIFS(Tbl_Responses[6 - Type of test],Tbl_Q17_sampling36[[#Headers],[Chloride]],Tbl_Responses[6 - How many cores per paddock],$DJ54,Tbl_Responses[[Resp_Group]:[Resp_Group]],Grower)+COUNTIFS(Tbl_Responses[7 - Type of test],Tbl_Q17_sampling36[[#Headers],[Chloride]],Tbl_Responses[7 - How many cores per paddock],$DJ54,Tbl_Responses[[Resp_Group]:[Resp_Group]],Grower)+COUNTIFS(Tbl_Responses[8 - Type of test],Tbl_Q17_sampling36[[#Headers],[Chloride]],Tbl_Responses[8 - How many cores per paddock],$DJ54,Tbl_Responses[[Resp_Group]:[Resp_Group]],Grower))/(COUNTIFS(Tbl_Responses[1 - Type of test],Tbl_Q17_sampling36[[#Headers],[Chloride]],Tbl_Responses[1 - How many cores per paddock],"&gt;""",Tbl_Responses[[Resp_Group]:[Resp_Group]],Grower)+COUNTIFS(Tbl_Responses[2 - Type of test],Tbl_Q17_sampling36[[#Headers],[Chloride]],Tbl_Responses[2 - How many cores per paddock],"&gt;""",Tbl_Responses[[Resp_Group]:[Resp_Group]],Grower)+COUNTIFS(Tbl_Responses[3 - Type of test],Tbl_Q17_sampling36[[#Headers],[Chloride]],Tbl_Responses[3 - How many cores per paddock],"&gt;""",Tbl_Responses[[Resp_Group]:[Resp_Group]],Grower)+COUNTIFS(Tbl_Responses[4 - Type of test],Tbl_Q17_sampling36[[#Headers],[Chloride]],Tbl_Responses[4 - How many cores per paddock],"&gt;""",Tbl_Responses[[Resp_Group]:[Resp_Group]],Grower)+COUNTIFS(Tbl_Responses[5 - Type of test],Tbl_Q17_sampling36[[#Headers],[Chloride]],Tbl_Responses[5 - How many cores per paddock],"&gt;""",Tbl_Responses[[Resp_Group]:[Resp_Group]],Grower)+COUNTIFS(Tbl_Responses[6 - Type of test],Tbl_Q17_sampling36[[#Headers],[Chloride]],Tbl_Responses[6 - How many cores per paddock],"&gt;""",Tbl_Responses[[Resp_Group]:[Resp_Group]],Grower)+COUNTIFS(Tbl_Responses[7 - Type of test],Tbl_Q17_sampling36[[#Headers],[Chloride]],Tbl_Responses[7 - How many cores per paddock],"&gt;""",Tbl_Responses[[Resp_Group]:[Resp_Group]],Grower)+COUNTIFS(Tbl_Responses[8 - Type of test],Tbl_Q17_sampling36[[#Headers],[Chloride]],Tbl_Responses[8 - How many cores per paddock],"&gt;""",Tbl_Responses[[Resp_Group]:[Resp_Group]],Grower))</f>
        <v>0</v>
      </c>
      <c r="DR54" s="64">
        <f>(COUNTIFS(Tbl_Responses[1 - Type of test],Tbl_Q17_sampling36[[#Headers],[Boron]],Tbl_Responses[1 - How many cores per paddock],$DJ54,Tbl_Responses[[Resp_Group]:[Resp_Group]],Grower)+COUNTIFS(Tbl_Responses[2 - Type of test],Tbl_Q17_sampling36[[#Headers],[Boron]],Tbl_Responses[2 - How many cores per paddock],$DJ54,Tbl_Responses[[Resp_Group]:[Resp_Group]],Grower)+COUNTIFS(Tbl_Responses[3 - Type of test],Tbl_Q17_sampling36[[#Headers],[Boron]],Tbl_Responses[3 - How many cores per paddock],$DJ54,Tbl_Responses[[Resp_Group]:[Resp_Group]],Grower)+COUNTIFS(Tbl_Responses[4 - Type of test],Tbl_Q17_sampling36[[#Headers],[Boron]],Tbl_Responses[4 - How many cores per paddock],$DJ54,Tbl_Responses[[Resp_Group]:[Resp_Group]],Grower)+COUNTIFS(Tbl_Responses[5 - Type of test],Tbl_Q17_sampling36[[#Headers],[Boron]],Tbl_Responses[5 - How many cores per paddock],$DJ54,Tbl_Responses[[Resp_Group]:[Resp_Group]],Grower)+COUNTIFS(Tbl_Responses[6 - Type of test],Tbl_Q17_sampling36[[#Headers],[Boron]],Tbl_Responses[6 - How many cores per paddock],$DJ54,Tbl_Responses[[Resp_Group]:[Resp_Group]],Grower)+COUNTIFS(Tbl_Responses[7 - Type of test],Tbl_Q17_sampling36[[#Headers],[Boron]],Tbl_Responses[7 - How many cores per paddock],$DJ54,Tbl_Responses[[Resp_Group]:[Resp_Group]],Grower)+COUNTIFS(Tbl_Responses[8 - Type of test],Tbl_Q17_sampling36[[#Headers],[Boron]],Tbl_Responses[8 - How many cores per paddock],$DJ54,Tbl_Responses[[Resp_Group]:[Resp_Group]],Grower))/(COUNTIFS(Tbl_Responses[1 - Type of test],Tbl_Q17_sampling36[[#Headers],[Boron]],Tbl_Responses[1 - How many cores per paddock],"&gt;""",Tbl_Responses[[Resp_Group]:[Resp_Group]],Grower)+COUNTIFS(Tbl_Responses[2 - Type of test],Tbl_Q17_sampling36[[#Headers],[Boron]],Tbl_Responses[2 - How many cores per paddock],"&gt;""",Tbl_Responses[[Resp_Group]:[Resp_Group]],Grower)+COUNTIFS(Tbl_Responses[3 - Type of test],Tbl_Q17_sampling36[[#Headers],[Boron]],Tbl_Responses[3 - How many cores per paddock],"&gt;""",Tbl_Responses[[Resp_Group]:[Resp_Group]],Grower)+COUNTIFS(Tbl_Responses[4 - Type of test],Tbl_Q17_sampling36[[#Headers],[Boron]],Tbl_Responses[4 - How many cores per paddock],"&gt;""",Tbl_Responses[[Resp_Group]:[Resp_Group]],Grower)+COUNTIFS(Tbl_Responses[5 - Type of test],Tbl_Q17_sampling36[[#Headers],[Boron]],Tbl_Responses[5 - How many cores per paddock],"&gt;""",Tbl_Responses[[Resp_Group]:[Resp_Group]],Grower)+COUNTIFS(Tbl_Responses[6 - Type of test],Tbl_Q17_sampling36[[#Headers],[Boron]],Tbl_Responses[6 - How many cores per paddock],"&gt;""",Tbl_Responses[[Resp_Group]:[Resp_Group]],Grower)+COUNTIFS(Tbl_Responses[7 - Type of test],Tbl_Q17_sampling36[[#Headers],[Boron]],Tbl_Responses[7 - How many cores per paddock],"&gt;""",Tbl_Responses[[Resp_Group]:[Resp_Group]],Grower)+COUNTIFS(Tbl_Responses[8 - Type of test],Tbl_Q17_sampling36[[#Headers],[Boron]],Tbl_Responses[8 - How many cores per paddock],"&gt;""",Tbl_Responses[[Resp_Group]:[Resp_Group]],Grower))</f>
        <v>0</v>
      </c>
      <c r="DS54" s="64">
        <f>(COUNTIFS(Tbl_Responses[1 - Type of test],Tbl_Q17_sampling36[[#Headers],[Sulfur (KCl40)]],Tbl_Responses[1 - How many cores per paddock],$DJ54,Tbl_Responses[[Resp_Group]:[Resp_Group]],Grower)+COUNTIFS(Tbl_Responses[2 - Type of test],Tbl_Q17_sampling36[[#Headers],[Sulfur (KCl40)]],Tbl_Responses[2 - How many cores per paddock],$DJ54,Tbl_Responses[[Resp_Group]:[Resp_Group]],Grower)+COUNTIFS(Tbl_Responses[3 - Type of test],Tbl_Q17_sampling36[[#Headers],[Sulfur (KCl40)]],Tbl_Responses[3 - How many cores per paddock],$DJ54,Tbl_Responses[[Resp_Group]:[Resp_Group]],Grower)+COUNTIFS(Tbl_Responses[4 - Type of test],Tbl_Q17_sampling36[[#Headers],[Sulfur (KCl40)]],Tbl_Responses[4 - How many cores per paddock],$DJ54,Tbl_Responses[[Resp_Group]:[Resp_Group]],Grower)+COUNTIFS(Tbl_Responses[5 - Type of test],Tbl_Q17_sampling36[[#Headers],[Sulfur (KCl40)]],Tbl_Responses[5 - How many cores per paddock],$DJ54,Tbl_Responses[[Resp_Group]:[Resp_Group]],Grower)+COUNTIFS(Tbl_Responses[6 - Type of test],Tbl_Q17_sampling36[[#Headers],[Sulfur (KCl40)]],Tbl_Responses[6 - How many cores per paddock],$DJ54,Tbl_Responses[[Resp_Group]:[Resp_Group]],Grower)+COUNTIFS(Tbl_Responses[7 - Type of test],Tbl_Q17_sampling36[[#Headers],[Sulfur (KCl40)]],Tbl_Responses[7 - How many cores per paddock],$DJ54,Tbl_Responses[[Resp_Group]:[Resp_Group]],Grower)+COUNTIFS(Tbl_Responses[8 - Type of test],Tbl_Q17_sampling36[[#Headers],[Sulfur (KCl40)]],Tbl_Responses[8 - How many cores per paddock],$DJ54,Tbl_Responses[[Resp_Group]:[Resp_Group]],Grower))/(COUNTIFS(Tbl_Responses[1 - Type of test],Tbl_Q17_sampling36[[#Headers],[Sulfur (KCl40)]],Tbl_Responses[1 - How many cores per paddock],"&gt;""",Tbl_Responses[[Resp_Group]:[Resp_Group]],Grower)+COUNTIFS(Tbl_Responses[2 - Type of test],Tbl_Q17_sampling36[[#Headers],[Sulfur (KCl40)]],Tbl_Responses[2 - How many cores per paddock],"&gt;""",Tbl_Responses[[Resp_Group]:[Resp_Group]],Grower)+COUNTIFS(Tbl_Responses[3 - Type of test],Tbl_Q17_sampling36[[#Headers],[Sulfur (KCl40)]],Tbl_Responses[3 - How many cores per paddock],"&gt;""",Tbl_Responses[[Resp_Group]:[Resp_Group]],Grower)+COUNTIFS(Tbl_Responses[4 - Type of test],Tbl_Q17_sampling36[[#Headers],[Sulfur (KCl40)]],Tbl_Responses[4 - How many cores per paddock],"&gt;""",Tbl_Responses[[Resp_Group]:[Resp_Group]],Grower)+COUNTIFS(Tbl_Responses[5 - Type of test],Tbl_Q17_sampling36[[#Headers],[Sulfur (KCl40)]],Tbl_Responses[5 - How many cores per paddock],"&gt;""",Tbl_Responses[[Resp_Group]:[Resp_Group]],Grower)+COUNTIFS(Tbl_Responses[6 - Type of test],Tbl_Q17_sampling36[[#Headers],[Sulfur (KCl40)]],Tbl_Responses[6 - How many cores per paddock],"&gt;""",Tbl_Responses[[Resp_Group]:[Resp_Group]],Grower)+COUNTIFS(Tbl_Responses[7 - Type of test],Tbl_Q17_sampling36[[#Headers],[Sulfur (KCl40)]],Tbl_Responses[7 - How many cores per paddock],"&gt;""",Tbl_Responses[[Resp_Group]:[Resp_Group]],Grower)+COUNTIFS(Tbl_Responses[8 - Type of test],Tbl_Q17_sampling36[[#Headers],[Sulfur (KCl40)]],Tbl_Responses[8 - How many cores per paddock],"&gt;""",Tbl_Responses[[Resp_Group]:[Resp_Group]],Grower))</f>
        <v>0</v>
      </c>
      <c r="DT54" s="64">
        <f>(COUNTIFS(Tbl_Responses[1 - Type of test],Tbl_Q17_sampling36[[#Headers],[Calcium carbonate %]],Tbl_Responses[1 - How many cores per paddock],$DJ54,Tbl_Responses[[Resp_Group]:[Resp_Group]],Grower)+COUNTIFS(Tbl_Responses[2 - Type of test],Tbl_Q17_sampling36[[#Headers],[Calcium carbonate %]],Tbl_Responses[2 - How many cores per paddock],$DJ54,Tbl_Responses[[Resp_Group]:[Resp_Group]],Grower)+COUNTIFS(Tbl_Responses[3 - Type of test],Tbl_Q17_sampling36[[#Headers],[Calcium carbonate %]],Tbl_Responses[3 - How many cores per paddock],$DJ54,Tbl_Responses[[Resp_Group]:[Resp_Group]],Grower)+COUNTIFS(Tbl_Responses[4 - Type of test],Tbl_Q17_sampling36[[#Headers],[Calcium carbonate %]],Tbl_Responses[4 - How many cores per paddock],$DJ54,Tbl_Responses[[Resp_Group]:[Resp_Group]],Grower)+COUNTIFS(Tbl_Responses[5 - Type of test],Tbl_Q17_sampling36[[#Headers],[Calcium carbonate %]],Tbl_Responses[5 - How many cores per paddock],$DJ54,Tbl_Responses[[Resp_Group]:[Resp_Group]],Grower)+COUNTIFS(Tbl_Responses[6 - Type of test],Tbl_Q17_sampling36[[#Headers],[Calcium carbonate %]],Tbl_Responses[6 - How many cores per paddock],$DJ54,Tbl_Responses[[Resp_Group]:[Resp_Group]],Grower)+COUNTIFS(Tbl_Responses[7 - Type of test],Tbl_Q17_sampling36[[#Headers],[Calcium carbonate %]],Tbl_Responses[7 - How many cores per paddock],$DJ54,Tbl_Responses[[Resp_Group]:[Resp_Group]],Grower)+COUNTIFS(Tbl_Responses[8 - Type of test],Tbl_Q17_sampling36[[#Headers],[Calcium carbonate %]],Tbl_Responses[8 - How many cores per paddock],$DJ54,Tbl_Responses[[Resp_Group]:[Resp_Group]],Grower))/(COUNTIFS(Tbl_Responses[1 - Type of test],Tbl_Q17_sampling36[[#Headers],[Calcium carbonate %]],Tbl_Responses[1 - How many cores per paddock],"&gt;""",Tbl_Responses[[Resp_Group]:[Resp_Group]],Grower)+COUNTIFS(Tbl_Responses[2 - Type of test],Tbl_Q17_sampling36[[#Headers],[Calcium carbonate %]],Tbl_Responses[2 - How many cores per paddock],"&gt;""",Tbl_Responses[[Resp_Group]:[Resp_Group]],Grower)+COUNTIFS(Tbl_Responses[3 - Type of test],Tbl_Q17_sampling36[[#Headers],[Calcium carbonate %]],Tbl_Responses[3 - How many cores per paddock],"&gt;""",Tbl_Responses[[Resp_Group]:[Resp_Group]],Grower)+COUNTIFS(Tbl_Responses[4 - Type of test],Tbl_Q17_sampling36[[#Headers],[Calcium carbonate %]],Tbl_Responses[4 - How many cores per paddock],"&gt;""",Tbl_Responses[[Resp_Group]:[Resp_Group]],Grower)+COUNTIFS(Tbl_Responses[5 - Type of test],Tbl_Q17_sampling36[[#Headers],[Calcium carbonate %]],Tbl_Responses[5 - How many cores per paddock],"&gt;""",Tbl_Responses[[Resp_Group]:[Resp_Group]],Grower)+COUNTIFS(Tbl_Responses[6 - Type of test],Tbl_Q17_sampling36[[#Headers],[Calcium carbonate %]],Tbl_Responses[6 - How many cores per paddock],"&gt;""",Tbl_Responses[[Resp_Group]:[Resp_Group]],Grower)+COUNTIFS(Tbl_Responses[7 - Type of test],Tbl_Q17_sampling36[[#Headers],[Calcium carbonate %]],Tbl_Responses[7 - How many cores per paddock],"&gt;""",Tbl_Responses[[Resp_Group]:[Resp_Group]],Grower)+COUNTIFS(Tbl_Responses[8 - Type of test],Tbl_Q17_sampling36[[#Headers],[Calcium carbonate %]],Tbl_Responses[8 - How many cores per paddock],"&gt;""",Tbl_Responses[[Resp_Group]:[Resp_Group]],Grower))</f>
        <v>0</v>
      </c>
      <c r="DU54" s="64">
        <f>(COUNTIFS(Tbl_Responses[1 - Type of test],Tbl_Q17_sampling36[[#Headers],[Sulfur (MCP)]],Tbl_Responses[1 - How many cores per paddock],$DJ54,Tbl_Responses[[Resp_Group]:[Resp_Group]],Grower)+COUNTIFS(Tbl_Responses[2 - Type of test],Tbl_Q17_sampling36[[#Headers],[Sulfur (MCP)]],Tbl_Responses[2 - How many cores per paddock],$DJ54,Tbl_Responses[[Resp_Group]:[Resp_Group]],Grower)+COUNTIFS(Tbl_Responses[3 - Type of test],Tbl_Q17_sampling36[[#Headers],[Sulfur (MCP)]],Tbl_Responses[3 - How many cores per paddock],$DJ54,Tbl_Responses[[Resp_Group]:[Resp_Group]],Grower)+COUNTIFS(Tbl_Responses[4 - Type of test],Tbl_Q17_sampling36[[#Headers],[Sulfur (MCP)]],Tbl_Responses[4 - How many cores per paddock],$DJ54,Tbl_Responses[[Resp_Group]:[Resp_Group]],Grower)+COUNTIFS(Tbl_Responses[5 - Type of test],Tbl_Q17_sampling36[[#Headers],[Sulfur (MCP)]],Tbl_Responses[5 - How many cores per paddock],$DJ54,Tbl_Responses[[Resp_Group]:[Resp_Group]],Grower)+COUNTIFS(Tbl_Responses[6 - Type of test],Tbl_Q17_sampling36[[#Headers],[Sulfur (MCP)]],Tbl_Responses[6 - How many cores per paddock],$DJ54,Tbl_Responses[[Resp_Group]:[Resp_Group]],Grower)+COUNTIFS(Tbl_Responses[7 - Type of test],Tbl_Q17_sampling36[[#Headers],[Sulfur (MCP)]],Tbl_Responses[7 - How many cores per paddock],$DJ54,Tbl_Responses[[Resp_Group]:[Resp_Group]],Grower)+COUNTIFS(Tbl_Responses[8 - Type of test],Tbl_Q17_sampling36[[#Headers],[Sulfur (MCP)]],Tbl_Responses[8 - How many cores per paddock],$DJ54,Tbl_Responses[[Resp_Group]:[Resp_Group]],Grower))/(COUNTIFS(Tbl_Responses[1 - Type of test],Tbl_Q17_sampling36[[#Headers],[Sulfur (MCP)]],Tbl_Responses[1 - How many cores per paddock],"&gt;""",Tbl_Responses[[Resp_Group]:[Resp_Group]],Grower)+COUNTIFS(Tbl_Responses[2 - Type of test],Tbl_Q17_sampling36[[#Headers],[Sulfur (MCP)]],Tbl_Responses[2 - How many cores per paddock],"&gt;""",Tbl_Responses[[Resp_Group]:[Resp_Group]],Grower)+COUNTIFS(Tbl_Responses[3 - Type of test],Tbl_Q17_sampling36[[#Headers],[Sulfur (MCP)]],Tbl_Responses[3 - How many cores per paddock],"&gt;""",Tbl_Responses[[Resp_Group]:[Resp_Group]],Grower)+COUNTIFS(Tbl_Responses[4 - Type of test],Tbl_Q17_sampling36[[#Headers],[Sulfur (MCP)]],Tbl_Responses[4 - How many cores per paddock],"&gt;""",Tbl_Responses[[Resp_Group]:[Resp_Group]],Grower)+COUNTIFS(Tbl_Responses[5 - Type of test],Tbl_Q17_sampling36[[#Headers],[Sulfur (MCP)]],Tbl_Responses[5 - How many cores per paddock],"&gt;""",Tbl_Responses[[Resp_Group]:[Resp_Group]],Grower)+COUNTIFS(Tbl_Responses[6 - Type of test],Tbl_Q17_sampling36[[#Headers],[Sulfur (MCP)]],Tbl_Responses[6 - How many cores per paddock],"&gt;""",Tbl_Responses[[Resp_Group]:[Resp_Group]],Grower)+COUNTIFS(Tbl_Responses[7 - Type of test],Tbl_Q17_sampling36[[#Headers],[Sulfur (MCP)]],Tbl_Responses[7 - How many cores per paddock],"&gt;""",Tbl_Responses[[Resp_Group]:[Resp_Group]],Grower)+COUNTIFS(Tbl_Responses[8 - Type of test],Tbl_Q17_sampling36[[#Headers],[Sulfur (MCP)]],Tbl_Responses[8 - How many cores per paddock],"&gt;""",Tbl_Responses[[Resp_Group]:[Resp_Group]],Grower))</f>
        <v>0</v>
      </c>
      <c r="DV54" s="82">
        <f>(COUNTIFS(Tbl_Responses[1 - How many cores per paddock],$DJ54,Tbl_Responses[[Resp_Group]:[Resp_Group]],Grower)+COUNTIFS(Tbl_Responses[2 - How many cores per paddock],$DJ54,Tbl_Responses[[Resp_Group]:[Resp_Group]],Grower)+COUNTIFS(Tbl_Responses[3 - How many cores per paddock],$DJ54,Tbl_Responses[[Resp_Group]:[Resp_Group]],Grower)+COUNTIFS(Tbl_Responses[4 - How many cores per paddock],$DJ54,Tbl_Responses[[Resp_Group]:[Resp_Group]],Grower)+COUNTIFS(Tbl_Responses[5 - How many cores per paddock],$DJ54,Tbl_Responses[[Resp_Group]:[Resp_Group]],Grower)+COUNTIFS(Tbl_Responses[6 - How many cores per paddock],$DJ54,Tbl_Responses[[Resp_Group]:[Resp_Group]],Grower)+COUNTIFS(Tbl_Responses[7 - How many cores per paddock],$DJ54,Tbl_Responses[[Resp_Group]:[Resp_Group]],Grower))/(COUNTIFS(Tbl_Responses[1 - How many cores per paddock],"&gt;""",Tbl_Responses[[Resp_Group]:[Resp_Group]],Grower)+COUNTIFS(Tbl_Responses[2 - How many cores per paddock],"&gt;""",Tbl_Responses[[Resp_Group]:[Resp_Group]],Grower)+COUNTIFS(Tbl_Responses[3 - How many cores per paddock],"&gt;""",Tbl_Responses[[Resp_Group]:[Resp_Group]],Grower)+COUNTIFS(Tbl_Responses[4 - How many cores per paddock],"&gt;""",Tbl_Responses[[Resp_Group]:[Resp_Group]],Grower)+COUNTIFS(Tbl_Responses[5 - How many cores per paddock],"&gt;""",Tbl_Responses[[Resp_Group]:[Resp_Group]],Grower)+COUNTIFS(Tbl_Responses[6 - How many cores per paddock],"&gt;""",Tbl_Responses[[Resp_Group]:[Resp_Group]],Grower)+COUNTIFS(Tbl_Responses[7 - How many cores per paddock],"&gt;""",Tbl_Responses[[Resp_Group]:[Resp_Group]],Grower))</f>
        <v>2.9850746268656716E-2</v>
      </c>
      <c r="EC54" t="s">
        <v>116</v>
      </c>
      <c r="ED54" s="3">
        <f>COUNTIFS(Tbl_Responses[Not being able to get soil test results at the right time for decision making],$EC54,Tbl_Responses[[Resp_Group]:[Resp_Group]],Grower)</f>
        <v>5</v>
      </c>
      <c r="EE54" s="4">
        <f>Tbl_1944[[#This Row],[No. Responses]]/SUM(Tbl_1944[No. Responses])</f>
        <v>5.7471264367816091E-2</v>
      </c>
      <c r="EH54" t="s">
        <v>116</v>
      </c>
      <c r="EI54" s="3">
        <f>COUNTIFS(Tbl_Responses[Not being able to get soil test results at the right time for decision makingP],$EC54,Tbl_Responses[[Resp_Group]:[Resp_Group]],Grower)</f>
        <v>2</v>
      </c>
      <c r="EJ54" s="4">
        <f>Tbl_Q2045[[#This Row],[No. Responses]]/SUM(Tbl_Q2045[No. Responses])</f>
        <v>2.0833333333333332E-2</v>
      </c>
      <c r="EM54" s="59" t="s">
        <v>1606</v>
      </c>
      <c r="ET54" t="s">
        <v>2530</v>
      </c>
      <c r="EU54" s="3">
        <f>COUNTIFS(Tbl_Responses[Soil testing annual spend],$ET54,Tbl_Responses[[Resp_Group]:[Resp_Group]],Agronomist)</f>
        <v>0</v>
      </c>
      <c r="EV54" s="4">
        <f>Tbl_Q2248[[#This Row],[No. Respondants]]/SUM(Tbl_Q2248[No. Respondants])</f>
        <v>0</v>
      </c>
      <c r="EY54" s="59" t="s">
        <v>1659</v>
      </c>
      <c r="FD54" s="59" t="s">
        <v>1506</v>
      </c>
      <c r="FN54" s="87" t="s">
        <v>127</v>
      </c>
      <c r="FO54" s="3">
        <f>COUNTIFS(Tbl_Responses[Not being able to get test results at the right time for decision making_Plant],$FN54,Tbl_Responses[[Resp_Group]:[Resp_Group]],Grower)</f>
        <v>6</v>
      </c>
      <c r="FP54" s="4">
        <f>Tbl_Q2655[[#This Row],[No. Respondants]]/SUM(Tbl_Q2655[No. Respondants])</f>
        <v>0.12</v>
      </c>
      <c r="FS54" s="59" t="s">
        <v>1631</v>
      </c>
      <c r="FZ54" t="s">
        <v>2530</v>
      </c>
      <c r="GA54" s="3">
        <f>COUNTIFS(Tbl_Responses[Average annual spend - Plant testing],$FZ54,Tbl_Responses[[Resp_Group]:[Resp_Group]],Grower)</f>
        <v>0</v>
      </c>
      <c r="GB54" s="4">
        <f>Tbl_Q2860[[#This Row],[No. Respondants]]/SUM(Tbl_Q2860[No. Respondants])</f>
        <v>0</v>
      </c>
      <c r="GO54" t="s">
        <v>116</v>
      </c>
      <c r="GP54" s="3">
        <f>COUNTIFS(Tbl_Responses[Not being able to get soil test results at the right time for decision making_PL],$GO54,Tbl_Responses[[Resp_Group]:[Resp_Group]],Grower)</f>
        <v>1</v>
      </c>
      <c r="GQ54" s="4">
        <f>Tbl_196567[[#This Row],[No. Responses]]/SUM(Tbl_196567[No. Responses])</f>
        <v>0.14285714285714285</v>
      </c>
      <c r="GT54" t="s">
        <v>116</v>
      </c>
      <c r="GU54" s="3">
        <f>COUNTIFS(Tbl_Responses[Not being able to get soil test results at the right time for decision making_PLP],$GT54,Tbl_Responses[[Resp_Group]:[Resp_Group]],Grower)</f>
        <v>0</v>
      </c>
      <c r="GV54" s="4">
        <f>Tbl_19656668[[#This Row],[No. Responses]]/SUM(Tbl_19656668[No. Responses])</f>
        <v>0</v>
      </c>
      <c r="HA54" s="87" t="s">
        <v>156</v>
      </c>
      <c r="HB54" s="3">
        <f>COUNTIFS(Tbl_Responses[Brochures / booklets],$HA54,Tbl_Responses[[Resp_Group]:[Resp_Group]],Grower)</f>
        <v>12</v>
      </c>
      <c r="HC54" s="4">
        <f>Tbl_infoSources70[[#This Row],[No. Responses]]/SUM(Tbl_infoSources70[No. Responses])</f>
        <v>4.1666666666666664E-2</v>
      </c>
    </row>
    <row r="55" spans="1:211" x14ac:dyDescent="0.25">
      <c r="A55" t="s">
        <v>310</v>
      </c>
      <c r="B55" s="3">
        <f>COUNTIFS(Tbl_Responses[Q1: region],Results!$A55,Tbl_Responses[Resp_Group],Grower)</f>
        <v>11</v>
      </c>
      <c r="C55" s="4">
        <f>B55/SUM(Tbl_Q19[Respondants])</f>
        <v>0.1111111111111111</v>
      </c>
      <c r="D55" s="7">
        <f>AVERAGEIFS(Tbl_Responses[Q2: Cropped Area],Tbl_Responses[Q1: region],Tbl_Q19[[#This Row],[Region]],Tbl_Responses[[Resp_Group]:[Resp_Group]],Grower)</f>
        <v>1008.3636363636364</v>
      </c>
      <c r="F55">
        <v>50001</v>
      </c>
      <c r="G55">
        <v>1000000</v>
      </c>
      <c r="H55" t="str">
        <f t="shared" si="2"/>
        <v>50001-1000000</v>
      </c>
      <c r="I55" s="3">
        <f>COUNTIFS(Tbl_Responses[Q2: Cropped Area],"&gt;"&amp;F55,Tbl_Responses[Q2: Cropped Area],"&lt;="&amp;G55,Tbl_Responses[Resp_Group],Grower)</f>
        <v>1</v>
      </c>
      <c r="J55" s="4">
        <f>I55/SUM(Tbl_Q210[Number])</f>
        <v>1.0101010101010102E-2</v>
      </c>
      <c r="S55" s="8" t="s">
        <v>215</v>
      </c>
      <c r="T55" s="4">
        <f>COUNTIFS(Tbl_Responses[[Variable Costs]:[Variable Costs]],T$3,Tbl_Responses[[Q1: region]:[Q1: region]],$S55,Tbl_Responses[[Resp_Group]:[Resp_Group]],Grower)/COUNTIFS(Tbl_Responses[[Q1: region]:[Q1: region]],$S55,Tbl_Responses[[Resp_Group]:[Resp_Group]],Grower)</f>
        <v>0</v>
      </c>
      <c r="U55" s="4">
        <f>COUNTIFS(Tbl_Responses[[Variable Costs]:[Variable Costs]],U$3,Tbl_Responses[[Q1: region]:[Q1: region]],$S55,Tbl_Responses[[Resp_Group]:[Resp_Group]],Grower)/COUNTIFS(Tbl_Responses[[Q1: region]:[Q1: region]],$S55,Tbl_Responses[[Resp_Group]:[Resp_Group]],Grower)</f>
        <v>9.5238095238095233E-2</v>
      </c>
      <c r="V55" s="4">
        <f>COUNTIFS(Tbl_Responses[[Variable Costs]:[Variable Costs]],V$3,Tbl_Responses[[Q1: region]:[Q1: region]],$S55,Tbl_Responses[[Resp_Group]:[Resp_Group]],Grower)/COUNTIFS(Tbl_Responses[[Q1: region]:[Q1: region]],$S55,Tbl_Responses[[Resp_Group]:[Resp_Group]],Grower)</f>
        <v>9.5238095238095233E-2</v>
      </c>
      <c r="W55" s="4">
        <f>COUNTIFS(Tbl_Responses[[Variable Costs]:[Variable Costs]],W$3,Tbl_Responses[[Q1: region]:[Q1: region]],$S55,Tbl_Responses[[Resp_Group]:[Resp_Group]],Grower)/COUNTIFS(Tbl_Responses[[Q1: region]:[Q1: region]],$S55,Tbl_Responses[[Resp_Group]:[Resp_Group]],Grower)</f>
        <v>0.38095238095238093</v>
      </c>
      <c r="X55" s="4">
        <f>COUNTIFS(Tbl_Responses[[Variable Costs]:[Variable Costs]],X$3,Tbl_Responses[[Q1: region]:[Q1: region]],$S55,Tbl_Responses[[Resp_Group]:[Resp_Group]],Grower)/COUNTIFS(Tbl_Responses[[Q1: region]:[Q1: region]],$S55,Tbl_Responses[[Resp_Group]:[Resp_Group]],Grower)</f>
        <v>9.5238095238095233E-2</v>
      </c>
      <c r="Y55" s="4">
        <f>COUNTIFS(Tbl_Responses[[Variable Costs]:[Variable Costs]],Y$3,Tbl_Responses[[Q1: region]:[Q1: region]],$S55,Tbl_Responses[[Resp_Group]:[Resp_Group]],Grower)/COUNTIFS(Tbl_Responses[[Q1: region]:[Q1: region]],$S55,Tbl_Responses[[Resp_Group]:[Resp_Group]],Grower)</f>
        <v>9.5238095238095233E-2</v>
      </c>
      <c r="Z55" s="4">
        <f>COUNTIFS(Tbl_Responses[[Variable Costs]:[Variable Costs]],Z$3,Tbl_Responses[[Q1: region]:[Q1: region]],$S55,Tbl_Responses[[Resp_Group]:[Resp_Group]],Grower)/COUNTIFS(Tbl_Responses[[Q1: region]:[Q1: region]],$S55,Tbl_Responses[[Resp_Group]:[Resp_Group]],Grower)</f>
        <v>9.5238095238095233E-2</v>
      </c>
      <c r="AA55" s="4">
        <f>COUNTIFS(Tbl_Responses[[Variable Costs]:[Variable Costs]],AA$3,Tbl_Responses[[Q1: region]:[Q1: region]],$S55,Tbl_Responses[[Resp_Group]:[Resp_Group]],Grower)/COUNTIFS(Tbl_Responses[[Q1: region]:[Q1: region]],$S55,Tbl_Responses[[Resp_Group]:[Resp_Group]],Grower)</f>
        <v>0</v>
      </c>
      <c r="AB55" s="4">
        <f>COUNTIFS(Tbl_Responses[[Variable Costs]:[Variable Costs]],AB$3,Tbl_Responses[[Q1: region]:[Q1: region]],$S55,Tbl_Responses[[Resp_Group]:[Resp_Group]],Grower)/COUNTIFS(Tbl_Responses[[Q1: region]:[Q1: region]],$S55,Tbl_Responses[[Resp_Group]:[Resp_Group]],Grower)</f>
        <v>4.7619047619047616E-2</v>
      </c>
      <c r="AG55" t="s">
        <v>215</v>
      </c>
      <c r="AH55" s="4">
        <f>COUNTIFS(Tbl_Responses[[Def_Nutrient_ID]:[Def_Nutrient_ID]],"*N*",Tbl_Responses[[Q1: region]:[Q1: region]],$AG55,Tbl_Responses[[Resp_Group]:[Resp_Group]],Grower)/COUNTIFS(Tbl_Responses[[Def_Nutrient_ID]:[Def_Nutrient_ID]],"&lt;&gt;"&amp;"",Tbl_Responses[[Q1: region]:[Q1: region]],$AG55,Tbl_Responses[[Resp_Group]:[Resp_Group]],Grower)</f>
        <v>1</v>
      </c>
      <c r="AI55" s="4">
        <f>COUNTIFS(Tbl_Responses[[Def_Nutrient_ID]:[Def_Nutrient_ID]],"*P*",Tbl_Responses[[Q1: region]:[Q1: region]],$AG55,Tbl_Responses[[Resp_Group]:[Resp_Group]],Grower)/COUNTIFS(Tbl_Responses[[Def_Nutrient_ID]:[Def_Nutrient_ID]],"&lt;&gt;"&amp;"",Tbl_Responses[[Q1: region]:[Q1: region]],$AG55,Tbl_Responses[[Resp_Group]:[Resp_Group]],Grower)</f>
        <v>0.35</v>
      </c>
      <c r="AJ55" s="4">
        <f>COUNTIFS(Tbl_Responses[[Def_Nutrient_ID]:[Def_Nutrient_ID]],"*K*",Tbl_Responses[[Q1: region]:[Q1: region]],$AG55,Tbl_Responses[[Resp_Group]:[Resp_Group]],Grower)/COUNTIFS(Tbl_Responses[[Def_Nutrient_ID]:[Def_Nutrient_ID]],"&lt;&gt;"&amp;"",Tbl_Responses[[Q1: region]:[Q1: region]],$AG55,Tbl_Responses[[Resp_Group]:[Resp_Group]],Grower)</f>
        <v>0.1</v>
      </c>
      <c r="AK55" s="4">
        <f>COUNTIFS(Tbl_Responses[[Def_Nutrient_ID]:[Def_Nutrient_ID]],"*S*",Tbl_Responses[[Q1: region]:[Q1: region]],$AG55,Tbl_Responses[[Resp_Group]:[Resp_Group]],Grower)/COUNTIFS(Tbl_Responses[[Def_Nutrient_ID]:[Def_Nutrient_ID]],"&lt;&gt;"&amp;"",Tbl_Responses[[Q1: region]:[Q1: region]],$AG55,Tbl_Responses[[Resp_Group]:[Resp_Group]],Grower)</f>
        <v>0.2</v>
      </c>
      <c r="AL55" s="4">
        <f>COUNTIFS(Tbl_Responses[[Def_Nutrient_ID]:[Def_Nutrient_ID]],"*Zn*",Tbl_Responses[[Q1: region]:[Q1: region]],$AG55,Tbl_Responses[[Resp_Group]:[Resp_Group]],Grower)/COUNTIFS(Tbl_Responses[[Def_Nutrient_ID]:[Def_Nutrient_ID]],"&lt;&gt;"&amp;"",Tbl_Responses[[Q1: region]:[Q1: region]],$AG55,Tbl_Responses[[Resp_Group]:[Resp_Group]],Grower)</f>
        <v>0.2</v>
      </c>
      <c r="AM55" s="4">
        <f>COUNTIFS(Tbl_Responses[[Def_Nutrient_ID]:[Def_Nutrient_ID]],"*Mn*",Tbl_Responses[[Q1: region]:[Q1: region]],$AG55,Tbl_Responses[[Resp_Group]:[Resp_Group]],Grower)/COUNTIFS(Tbl_Responses[[Def_Nutrient_ID]:[Def_Nutrient_ID]],"&lt;&gt;"&amp;"",Tbl_Responses[[Q1: region]:[Q1: region]],$AG55,Tbl_Responses[[Resp_Group]:[Resp_Group]],Grower)</f>
        <v>0</v>
      </c>
      <c r="AN55" s="4">
        <f>COUNTIFS(Tbl_Responses[[Def_Nutrient_ID]:[Def_Nutrient_ID]],"*Mg*",Tbl_Responses[[Q1: region]:[Q1: region]],$AG55,Tbl_Responses[[Resp_Group]:[Resp_Group]],Grower)/COUNTIFS(Tbl_Responses[[Def_Nutrient_ID]:[Def_Nutrient_ID]],"&lt;&gt;"&amp;"",Tbl_Responses[[Q1: region]:[Q1: region]],$AG55,Tbl_Responses[[Resp_Group]:[Resp_Group]],Grower)</f>
        <v>0</v>
      </c>
      <c r="AO55" s="4">
        <f>COUNTIFS(Tbl_Responses[[Def_Nutrient_ID]:[Def_Nutrient_ID]],"*Cu*",Tbl_Responses[[Q1: region]:[Q1: region]],$AG55,Tbl_Responses[[Resp_Group]:[Resp_Group]],Grower)/COUNTIFS(Tbl_Responses[[Def_Nutrient_ID]:[Def_Nutrient_ID]],"&lt;&gt;"&amp;"",Tbl_Responses[[Q1: region]:[Q1: region]],$AG55,Tbl_Responses[[Resp_Group]:[Resp_Group]],Grower)</f>
        <v>0</v>
      </c>
      <c r="AP55" s="4">
        <f>COUNTIFS(Tbl_Responses[[Def_Nutrient_ID]:[Def_Nutrient_ID]],"*B*",Tbl_Responses[[Q1: region]:[Q1: region]],$AG55,Tbl_Responses[[Resp_Group]:[Resp_Group]],Grower)/COUNTIFS(Tbl_Responses[[Def_Nutrient_ID]:[Def_Nutrient_ID]],"&lt;&gt;"&amp;"",Tbl_Responses[[Q1: region]:[Q1: region]],$AG55,Tbl_Responses[[Resp_Group]:[Resp_Group]],Grower)</f>
        <v>0</v>
      </c>
      <c r="AQ55" s="4">
        <f>COUNTIFS(Tbl_Responses[[Def_Nutrient_ID]:[Def_Nutrient_ID]],"*Ca*",Tbl_Responses[[Q1: region]:[Q1: region]],$AG55,Tbl_Responses[[Resp_Group]:[Resp_Group]],Grower)/COUNTIFS(Tbl_Responses[[Def_Nutrient_ID]:[Def_Nutrient_ID]],"&lt;&gt;"&amp;"",Tbl_Responses[[Q1: region]:[Q1: region]],$AG55,Tbl_Responses[[Resp_Group]:[Resp_Group]],Grower)</f>
        <v>0</v>
      </c>
      <c r="AR55" s="4">
        <f>COUNTIFS(Tbl_Responses[[Def_Nutrient_ID]:[Def_Nutrient_ID]],"*pH*",Tbl_Responses[[Q1: region]:[Q1: region]],$AG55,Tbl_Responses[[Resp_Group]:[Resp_Group]],Grower)/COUNTIFS(Tbl_Responses[[Def_Nutrient_ID]:[Def_Nutrient_ID]],"&lt;&gt;"&amp;"",Tbl_Responses[[Q1: region]:[Q1: region]],$AG55,Tbl_Responses[[Resp_Group]:[Resp_Group]],Grower)</f>
        <v>0</v>
      </c>
      <c r="AS55" s="4">
        <f>COUNTIFS(Tbl_Responses[[Def_Nutrient_ID]:[Def_Nutrient_ID]],"*T*",Tbl_Responses[[Q1: region]:[Q1: region]],$AG55,Tbl_Responses[[Resp_Group]:[Resp_Group]],Grower)/COUNTIFS(Tbl_Responses[[Def_Nutrient_ID]:[Def_Nutrient_ID]],"&lt;&gt;"&amp;"",Tbl_Responses[[Q1: region]:[Q1: region]],$AG55,Tbl_Responses[[Resp_Group]:[Resp_Group]],Grower)</f>
        <v>0.05</v>
      </c>
      <c r="AV55" t="s">
        <v>215</v>
      </c>
      <c r="AW55" s="4">
        <f>COUNTIFS(Tbl_Responses[[Q6: Do you do/recommend soil and/or plant testing?]:[Q6: Do you do/recommend soil and/or plant testing?]],"Yes",Tbl_Responses[[Q1: region]:[Q1: region]],$AV55,Tbl_Responses[[Resp_Group]:[Resp_Group]],Grower)/COUNTIFS(Tbl_Responses[[Q6: Do you do/recommend soil and/or plant testing?]:[Q6: Do you do/recommend soil and/or plant testing?]],"&lt;&gt;"&amp;"",Tbl_Responses[[Q1: region]:[Q1: region]],$AV55,Tbl_Responses[[Resp_Group]:[Resp_Group]],Grower)</f>
        <v>0.47619047619047616</v>
      </c>
      <c r="AX55" s="4">
        <f>COUNTIFS(Tbl_Responses[[Q6: Do you do/recommend soil and/or plant testing?]:[Q6: Do you do/recommend soil and/or plant testing?]],"No",Tbl_Responses[[Q1: region]:[Q1: region]],$AV55,Tbl_Responses[[Resp_Group]:[Resp_Group]],Grower)/COUNTIFS(Tbl_Responses[[Q6: Do you do/recommend soil and/or plant testing?]:[Q6: Do you do/recommend soil and/or plant testing?]],"&lt;&gt;"&amp;"",Tbl_Responses[[Q1: region]:[Q1: region]],$AV55,Tbl_Responses[[Resp_Group]:[Resp_Group]],Grower)</f>
        <v>0.52380952380952384</v>
      </c>
      <c r="AY55" s="3">
        <f>COUNTIFS(Tbl_Responses[[Q6: Do you do/recommend soil and/or plant testing?]:[Q6: Do you do/recommend soil and/or plant testing?]],"&gt;""",Tbl_Responses[[Q1: region]:[Q1: region]],$AV11,Tbl_Responses[[Resp_Group]:[Resp_Group]],Grower)</f>
        <v>21</v>
      </c>
      <c r="BE55" s="34" t="s">
        <v>2436</v>
      </c>
      <c r="BF55" s="34" t="s">
        <v>2437</v>
      </c>
      <c r="BH55" t="s">
        <v>2441</v>
      </c>
      <c r="BI55" s="3">
        <f>COUNTIFS(Tbl_Responses[Source_1_ID],$BH55,Tbl_Responses[[Resp_Group]:[Resp_Group]],Grower)+COUNTIFS(Tbl_Responses[Source_2_ID],$BH55,Tbl_Responses[[Resp_Group]:[Resp_Group]],Grower)+COUNTIFS(Tbl_Responses[Source_3_ID],$BH55,Tbl_Responses[[Resp_Group]:[Resp_Group]],Grower)</f>
        <v>7</v>
      </c>
      <c r="BJ55" s="4">
        <f>Tbl_Q1120[[#This Row],[Q11 Response]]/SUM(Tbl_Q1120[Q11 Response])</f>
        <v>4.8611111111111112E-2</v>
      </c>
      <c r="BQ55" s="58" t="s">
        <v>2479</v>
      </c>
      <c r="CT55" s="73"/>
      <c r="CU55" s="73"/>
      <c r="CX55" s="73"/>
      <c r="CY55" s="73"/>
      <c r="CZ55" s="73"/>
      <c r="DD55" s="73"/>
      <c r="DE55" s="73"/>
      <c r="DF55" s="80" t="s">
        <v>190</v>
      </c>
      <c r="DG55" s="72">
        <f>(COUNTIFS(Tbl_Responses[1 - Type of test],DF55,Tbl_Responses[[Resp_Group]:[Resp_Group]],Grower)+COUNTIFS(Tbl_Responses[2 - Type of test],DF55,Tbl_Responses[[Resp_Group]:[Resp_Group]],Grower)+COUNTIFS(Tbl_Responses[3 - Type of test],DF55,Tbl_Responses[[Resp_Group]:[Resp_Group]],Grower)+COUNTIFS(Tbl_Responses[4 - Type of test],DF55,Tbl_Responses[[Resp_Group]:[Resp_Group]],Grower)+COUNTIFS(Tbl_Responses[5 - Type of test],DF55,Tbl_Responses[[Resp_Group]:[Resp_Group]],Grower))/(COUNTIFS(Tbl_Responses[1 - Type of test],"&gt;""",Tbl_Responses[[Resp_Group]:[Resp_Group]],Grower)+COUNTIFS(Tbl_Responses[2 - Type of test],"&gt;""",Tbl_Responses[[Resp_Group]:[Resp_Group]],Grower)+COUNTIFS(Tbl_Responses[3 - Type of test],"&gt;""",Tbl_Responses[[Resp_Group]:[Resp_Group]],Grower)+COUNTIFS(Tbl_Responses[4 - Type of test],"&gt;""",Tbl_Responses[[Resp_Group]:[Resp_Group]],Grower)+COUNTIFS(Tbl_Responses[5 - Type of test],"&gt;""",Tbl_Responses[[Resp_Group]:[Resp_Group]],Grower))</f>
        <v>0.10869565217391304</v>
      </c>
      <c r="DH55" s="73"/>
      <c r="DI55" s="73"/>
      <c r="DJ55" s="73"/>
      <c r="EM55" s="59" t="s">
        <v>1686</v>
      </c>
      <c r="ET55" t="s">
        <v>1041</v>
      </c>
      <c r="EU55" s="3">
        <f>COUNTIFS(Tbl_Responses[Soil testing annual spend],$ET55,Tbl_Responses[[Resp_Group]:[Resp_Group]],Agronomist)</f>
        <v>1</v>
      </c>
      <c r="EV55" s="4">
        <f>Tbl_Q2248[[#This Row],[No. Respondants]]/SUM(Tbl_Q2248[No. Respondants])</f>
        <v>1.6129032258064516E-2</v>
      </c>
      <c r="EY55" s="59" t="s">
        <v>1718</v>
      </c>
      <c r="FD55" s="59" t="s">
        <v>1554</v>
      </c>
      <c r="FS55" s="59" t="s">
        <v>1810</v>
      </c>
      <c r="FZ55" t="s">
        <v>1041</v>
      </c>
      <c r="GA55" s="3">
        <f>COUNTIFS(Tbl_Responses[Average annual spend - Plant testing],$FZ55,Tbl_Responses[[Resp_Group]:[Resp_Group]],Grower)</f>
        <v>0</v>
      </c>
      <c r="GB55" s="4">
        <f>Tbl_Q2860[[#This Row],[No. Respondants]]/SUM(Tbl_Q2860[No. Respondants])</f>
        <v>0</v>
      </c>
      <c r="GJ55" s="34" t="s">
        <v>2568</v>
      </c>
      <c r="HA55" s="87" t="s">
        <v>157</v>
      </c>
      <c r="HB55" s="3">
        <f>COUNTIFS(Tbl_Responses[Local trials],$HA55,Tbl_Responses[[Resp_Group]:[Resp_Group]],Grower)</f>
        <v>38</v>
      </c>
      <c r="HC55" s="4">
        <f>Tbl_infoSources70[[#This Row],[No. Responses]]/SUM(Tbl_infoSources70[No. Responses])</f>
        <v>0.13194444444444445</v>
      </c>
    </row>
    <row r="56" spans="1:211" x14ac:dyDescent="0.25">
      <c r="A56" t="s">
        <v>315</v>
      </c>
      <c r="B56" s="3">
        <f>COUNTIFS(Tbl_Responses[Q1: region],Results!$A56,Tbl_Responses[Resp_Group],Grower)</f>
        <v>6</v>
      </c>
      <c r="C56" s="4">
        <f>B56/SUM(Tbl_Q19[Respondants])</f>
        <v>6.0606060606060608E-2</v>
      </c>
      <c r="D56" s="7">
        <f>AVERAGEIFS(Tbl_Responses[Q2: Cropped Area],Tbl_Responses[Q1: region],Tbl_Q19[[#This Row],[Region]],Tbl_Responses[[Resp_Group]:[Resp_Group]],Grower)</f>
        <v>2770</v>
      </c>
      <c r="S56" t="s">
        <v>310</v>
      </c>
      <c r="T56" s="4">
        <f>COUNTIFS(Tbl_Responses[[Variable Costs]:[Variable Costs]],T$3,Tbl_Responses[[Q1: region]:[Q1: region]],$S56,Tbl_Responses[[Resp_Group]:[Resp_Group]],Grower)/COUNTIFS(Tbl_Responses[[Q1: region]:[Q1: region]],$S56,Tbl_Responses[[Resp_Group]:[Resp_Group]],Grower)</f>
        <v>0</v>
      </c>
      <c r="U56" s="4">
        <f>COUNTIFS(Tbl_Responses[[Variable Costs]:[Variable Costs]],U$3,Tbl_Responses[[Q1: region]:[Q1: region]],$S56,Tbl_Responses[[Resp_Group]:[Resp_Group]],Grower)/COUNTIFS(Tbl_Responses[[Q1: region]:[Q1: region]],$S56,Tbl_Responses[[Resp_Group]:[Resp_Group]],Grower)</f>
        <v>0</v>
      </c>
      <c r="V56" s="4">
        <f>COUNTIFS(Tbl_Responses[[Variable Costs]:[Variable Costs]],V$3,Tbl_Responses[[Q1: region]:[Q1: region]],$S56,Tbl_Responses[[Resp_Group]:[Resp_Group]],Grower)/COUNTIFS(Tbl_Responses[[Q1: region]:[Q1: region]],$S56,Tbl_Responses[[Resp_Group]:[Resp_Group]],Grower)</f>
        <v>0.18181818181818182</v>
      </c>
      <c r="W56" s="4">
        <f>COUNTIFS(Tbl_Responses[[Variable Costs]:[Variable Costs]],W$3,Tbl_Responses[[Q1: region]:[Q1: region]],$S56,Tbl_Responses[[Resp_Group]:[Resp_Group]],Grower)/COUNTIFS(Tbl_Responses[[Q1: region]:[Q1: region]],$S56,Tbl_Responses[[Resp_Group]:[Resp_Group]],Grower)</f>
        <v>0.27272727272727271</v>
      </c>
      <c r="X56" s="4">
        <f>COUNTIFS(Tbl_Responses[[Variable Costs]:[Variable Costs]],X$3,Tbl_Responses[[Q1: region]:[Q1: region]],$S56,Tbl_Responses[[Resp_Group]:[Resp_Group]],Grower)/COUNTIFS(Tbl_Responses[[Q1: region]:[Q1: region]],$S56,Tbl_Responses[[Resp_Group]:[Resp_Group]],Grower)</f>
        <v>0.36363636363636365</v>
      </c>
      <c r="Y56" s="4">
        <f>COUNTIFS(Tbl_Responses[[Variable Costs]:[Variable Costs]],Y$3,Tbl_Responses[[Q1: region]:[Q1: region]],$S56,Tbl_Responses[[Resp_Group]:[Resp_Group]],Grower)/COUNTIFS(Tbl_Responses[[Q1: region]:[Q1: region]],$S56,Tbl_Responses[[Resp_Group]:[Resp_Group]],Grower)</f>
        <v>0.18181818181818182</v>
      </c>
      <c r="Z56" s="4">
        <f>COUNTIFS(Tbl_Responses[[Variable Costs]:[Variable Costs]],Z$3,Tbl_Responses[[Q1: region]:[Q1: region]],$S56,Tbl_Responses[[Resp_Group]:[Resp_Group]],Grower)/COUNTIFS(Tbl_Responses[[Q1: region]:[Q1: region]],$S56,Tbl_Responses[[Resp_Group]:[Resp_Group]],Grower)</f>
        <v>0</v>
      </c>
      <c r="AA56" s="4">
        <f>COUNTIFS(Tbl_Responses[[Variable Costs]:[Variable Costs]],AA$3,Tbl_Responses[[Q1: region]:[Q1: region]],$S56,Tbl_Responses[[Resp_Group]:[Resp_Group]],Grower)/COUNTIFS(Tbl_Responses[[Q1: region]:[Q1: region]],$S56,Tbl_Responses[[Resp_Group]:[Resp_Group]],Grower)</f>
        <v>0</v>
      </c>
      <c r="AB56" s="4">
        <f>COUNTIFS(Tbl_Responses[[Variable Costs]:[Variable Costs]],AB$3,Tbl_Responses[[Q1: region]:[Q1: region]],$S56,Tbl_Responses[[Resp_Group]:[Resp_Group]],Grower)/COUNTIFS(Tbl_Responses[[Q1: region]:[Q1: region]],$S56,Tbl_Responses[[Resp_Group]:[Resp_Group]],Grower)</f>
        <v>0</v>
      </c>
      <c r="AG56" t="s">
        <v>310</v>
      </c>
      <c r="AH56" s="4">
        <f>COUNTIFS(Tbl_Responses[[Def_Nutrient_ID]:[Def_Nutrient_ID]],"*N*",Tbl_Responses[[Q1: region]:[Q1: region]],$AG56,Tbl_Responses[[Resp_Group]:[Resp_Group]],Grower)/COUNTIFS(Tbl_Responses[[Def_Nutrient_ID]:[Def_Nutrient_ID]],"&lt;&gt;"&amp;"",Tbl_Responses[[Q1: region]:[Q1: region]],$AG56,Tbl_Responses[[Resp_Group]:[Resp_Group]],Grower)</f>
        <v>1</v>
      </c>
      <c r="AI56" s="4">
        <f>COUNTIFS(Tbl_Responses[[Def_Nutrient_ID]:[Def_Nutrient_ID]],"*P*",Tbl_Responses[[Q1: region]:[Q1: region]],$AG56,Tbl_Responses[[Resp_Group]:[Resp_Group]],Grower)/COUNTIFS(Tbl_Responses[[Def_Nutrient_ID]:[Def_Nutrient_ID]],"&lt;&gt;"&amp;"",Tbl_Responses[[Q1: region]:[Q1: region]],$AG56,Tbl_Responses[[Resp_Group]:[Resp_Group]],Grower)</f>
        <v>0.72727272727272729</v>
      </c>
      <c r="AJ56" s="4">
        <f>COUNTIFS(Tbl_Responses[[Def_Nutrient_ID]:[Def_Nutrient_ID]],"*K*",Tbl_Responses[[Q1: region]:[Q1: region]],$AG56,Tbl_Responses[[Resp_Group]:[Resp_Group]],Grower)/COUNTIFS(Tbl_Responses[[Def_Nutrient_ID]:[Def_Nutrient_ID]],"&lt;&gt;"&amp;"",Tbl_Responses[[Q1: region]:[Q1: region]],$AG56,Tbl_Responses[[Resp_Group]:[Resp_Group]],Grower)</f>
        <v>0.18181818181818182</v>
      </c>
      <c r="AK56" s="4">
        <f>COUNTIFS(Tbl_Responses[[Def_Nutrient_ID]:[Def_Nutrient_ID]],"*S*",Tbl_Responses[[Q1: region]:[Q1: region]],$AG56,Tbl_Responses[[Resp_Group]:[Resp_Group]],Grower)/COUNTIFS(Tbl_Responses[[Def_Nutrient_ID]:[Def_Nutrient_ID]],"&lt;&gt;"&amp;"",Tbl_Responses[[Q1: region]:[Q1: region]],$AG56,Tbl_Responses[[Resp_Group]:[Resp_Group]],Grower)</f>
        <v>0.18181818181818182</v>
      </c>
      <c r="AL56" s="4">
        <f>COUNTIFS(Tbl_Responses[[Def_Nutrient_ID]:[Def_Nutrient_ID]],"*Zn*",Tbl_Responses[[Q1: region]:[Q1: region]],$AG56,Tbl_Responses[[Resp_Group]:[Resp_Group]],Grower)/COUNTIFS(Tbl_Responses[[Def_Nutrient_ID]:[Def_Nutrient_ID]],"&lt;&gt;"&amp;"",Tbl_Responses[[Q1: region]:[Q1: region]],$AG56,Tbl_Responses[[Resp_Group]:[Resp_Group]],Grower)</f>
        <v>9.0909090909090912E-2</v>
      </c>
      <c r="AM56" s="4">
        <f>COUNTIFS(Tbl_Responses[[Def_Nutrient_ID]:[Def_Nutrient_ID]],"*Mn*",Tbl_Responses[[Q1: region]:[Q1: region]],$AG56,Tbl_Responses[[Resp_Group]:[Resp_Group]],Grower)/COUNTIFS(Tbl_Responses[[Def_Nutrient_ID]:[Def_Nutrient_ID]],"&lt;&gt;"&amp;"",Tbl_Responses[[Q1: region]:[Q1: region]],$AG56,Tbl_Responses[[Resp_Group]:[Resp_Group]],Grower)</f>
        <v>0</v>
      </c>
      <c r="AN56" s="4">
        <f>COUNTIFS(Tbl_Responses[[Def_Nutrient_ID]:[Def_Nutrient_ID]],"*Mg*",Tbl_Responses[[Q1: region]:[Q1: region]],$AG56,Tbl_Responses[[Resp_Group]:[Resp_Group]],Grower)/COUNTIFS(Tbl_Responses[[Def_Nutrient_ID]:[Def_Nutrient_ID]],"&lt;&gt;"&amp;"",Tbl_Responses[[Q1: region]:[Q1: region]],$AG56,Tbl_Responses[[Resp_Group]:[Resp_Group]],Grower)</f>
        <v>0</v>
      </c>
      <c r="AO56" s="4">
        <f>COUNTIFS(Tbl_Responses[[Def_Nutrient_ID]:[Def_Nutrient_ID]],"*Cu*",Tbl_Responses[[Q1: region]:[Q1: region]],$AG56,Tbl_Responses[[Resp_Group]:[Resp_Group]],Grower)/COUNTIFS(Tbl_Responses[[Def_Nutrient_ID]:[Def_Nutrient_ID]],"&lt;&gt;"&amp;"",Tbl_Responses[[Q1: region]:[Q1: region]],$AG56,Tbl_Responses[[Resp_Group]:[Resp_Group]],Grower)</f>
        <v>9.0909090909090912E-2</v>
      </c>
      <c r="AP56" s="4">
        <f>COUNTIFS(Tbl_Responses[[Def_Nutrient_ID]:[Def_Nutrient_ID]],"*B*",Tbl_Responses[[Q1: region]:[Q1: region]],$AG56,Tbl_Responses[[Resp_Group]:[Resp_Group]],Grower)/COUNTIFS(Tbl_Responses[[Def_Nutrient_ID]:[Def_Nutrient_ID]],"&lt;&gt;"&amp;"",Tbl_Responses[[Q1: region]:[Q1: region]],$AG56,Tbl_Responses[[Resp_Group]:[Resp_Group]],Grower)</f>
        <v>0</v>
      </c>
      <c r="AQ56" s="4">
        <f>COUNTIFS(Tbl_Responses[[Def_Nutrient_ID]:[Def_Nutrient_ID]],"*Ca*",Tbl_Responses[[Q1: region]:[Q1: region]],$AG56,Tbl_Responses[[Resp_Group]:[Resp_Group]],Grower)/COUNTIFS(Tbl_Responses[[Def_Nutrient_ID]:[Def_Nutrient_ID]],"&lt;&gt;"&amp;"",Tbl_Responses[[Q1: region]:[Q1: region]],$AG56,Tbl_Responses[[Resp_Group]:[Resp_Group]],Grower)</f>
        <v>0</v>
      </c>
      <c r="AR56" s="4">
        <f>COUNTIFS(Tbl_Responses[[Def_Nutrient_ID]:[Def_Nutrient_ID]],"*pH*",Tbl_Responses[[Q1: region]:[Q1: region]],$AG56,Tbl_Responses[[Resp_Group]:[Resp_Group]],Grower)/COUNTIFS(Tbl_Responses[[Def_Nutrient_ID]:[Def_Nutrient_ID]],"&lt;&gt;"&amp;"",Tbl_Responses[[Q1: region]:[Q1: region]],$AG56,Tbl_Responses[[Resp_Group]:[Resp_Group]],Grower)</f>
        <v>0.18181818181818182</v>
      </c>
      <c r="AS56" s="4">
        <f>COUNTIFS(Tbl_Responses[[Def_Nutrient_ID]:[Def_Nutrient_ID]],"*T*",Tbl_Responses[[Q1: region]:[Q1: region]],$AG56,Tbl_Responses[[Resp_Group]:[Resp_Group]],Grower)/COUNTIFS(Tbl_Responses[[Def_Nutrient_ID]:[Def_Nutrient_ID]],"&lt;&gt;"&amp;"",Tbl_Responses[[Q1: region]:[Q1: region]],$AG56,Tbl_Responses[[Resp_Group]:[Resp_Group]],Grower)</f>
        <v>0</v>
      </c>
      <c r="AV56" t="s">
        <v>310</v>
      </c>
      <c r="AW56" s="4">
        <f>COUNTIFS(Tbl_Responses[[Q6: Do you do/recommend soil and/or plant testing?]:[Q6: Do you do/recommend soil and/or plant testing?]],"Yes",Tbl_Responses[[Q1: region]:[Q1: region]],$AV56,Tbl_Responses[[Resp_Group]:[Resp_Group]],Grower)/COUNTIFS(Tbl_Responses[[Q6: Do you do/recommend soil and/or plant testing?]:[Q6: Do you do/recommend soil and/or plant testing?]],"&lt;&gt;"&amp;"",Tbl_Responses[[Q1: region]:[Q1: region]],$AV56,Tbl_Responses[[Resp_Group]:[Resp_Group]],Grower)</f>
        <v>0.81818181818181823</v>
      </c>
      <c r="AX56" s="4">
        <f>COUNTIFS(Tbl_Responses[[Q6: Do you do/recommend soil and/or plant testing?]:[Q6: Do you do/recommend soil and/or plant testing?]],"No",Tbl_Responses[[Q1: region]:[Q1: region]],$AV56,Tbl_Responses[[Resp_Group]:[Resp_Group]],Grower)/COUNTIFS(Tbl_Responses[[Q6: Do you do/recommend soil and/or plant testing?]:[Q6: Do you do/recommend soil and/or plant testing?]],"&lt;&gt;"&amp;"",Tbl_Responses[[Q1: region]:[Q1: region]],$AV56,Tbl_Responses[[Resp_Group]:[Resp_Group]],Grower)</f>
        <v>0.18181818181818182</v>
      </c>
      <c r="AY56" s="3">
        <f>COUNTIFS(Tbl_Responses[[Q6: Do you do/recommend soil and/or plant testing?]:[Q6: Do you do/recommend soil and/or plant testing?]],"&gt;""",Tbl_Responses[[Q1: region]:[Q1: region]],$AV12,Tbl_Responses[[Resp_Group]:[Resp_Group]],Grower)</f>
        <v>11</v>
      </c>
      <c r="BE56" s="33" t="s">
        <v>1474</v>
      </c>
      <c r="BF56" s="33"/>
      <c r="BH56" t="s">
        <v>559</v>
      </c>
      <c r="BI56" s="3">
        <f>COUNTIFS(Tbl_Responses[Source_1_ID],$BH56,Tbl_Responses[[Resp_Group]:[Resp_Group]],Grower)+COUNTIFS(Tbl_Responses[Source_2_ID],$BH56,Tbl_Responses[[Resp_Group]:[Resp_Group]],Grower)+COUNTIFS(Tbl_Responses[Source_3_ID],$BH56,Tbl_Responses[[Resp_Group]:[Resp_Group]],Grower)</f>
        <v>0</v>
      </c>
      <c r="BJ56" s="4">
        <f>Tbl_Q1120[[#This Row],[Q11 Response]]/SUM(Tbl_Q1120[Q11 Response])</f>
        <v>0</v>
      </c>
      <c r="BQ56" s="57" t="s">
        <v>1715</v>
      </c>
      <c r="CB56" s="34" t="s">
        <v>2482</v>
      </c>
      <c r="CM56" s="34" t="s">
        <v>2486</v>
      </c>
      <c r="CZ56" s="34" t="s">
        <v>2489</v>
      </c>
      <c r="DF56" s="81" t="s">
        <v>193</v>
      </c>
      <c r="DG56" s="78">
        <f>(COUNTIFS(Tbl_Responses[1 - Type of test],DF56,Tbl_Responses[[Resp_Group]:[Resp_Group]],Grower)+COUNTIFS(Tbl_Responses[2 - Type of test],DF56,Tbl_Responses[[Resp_Group]:[Resp_Group]],Grower)+COUNTIFS(Tbl_Responses[3 - Type of test],DF56,Tbl_Responses[[Resp_Group]:[Resp_Group]],Grower)+COUNTIFS(Tbl_Responses[4 - Type of test],DF56,Tbl_Responses[[Resp_Group]:[Resp_Group]],Grower)+COUNTIFS(Tbl_Responses[5 - Type of test],DF56,Tbl_Responses[[Resp_Group]:[Resp_Group]],Grower))/(COUNTIFS(Tbl_Responses[1 - Type of test],"&gt;""",Tbl_Responses[[Resp_Group]:[Resp_Group]],Grower)+COUNTIFS(Tbl_Responses[2 - Type of test],"&gt;""",Tbl_Responses[[Resp_Group]:[Resp_Group]],Grower)+COUNTIFS(Tbl_Responses[3 - Type of test],"&gt;""",Tbl_Responses[[Resp_Group]:[Resp_Group]],Grower)+COUNTIFS(Tbl_Responses[4 - Type of test],"&gt;""",Tbl_Responses[[Resp_Group]:[Resp_Group]],Grower)+COUNTIFS(Tbl_Responses[5 - Type of test],"&gt;""",Tbl_Responses[[Resp_Group]:[Resp_Group]],Grower))</f>
        <v>5.434782608695652E-2</v>
      </c>
      <c r="DJ56" s="34" t="s">
        <v>2495</v>
      </c>
      <c r="EC56" s="34" t="s">
        <v>2525</v>
      </c>
      <c r="EH56" s="34" t="s">
        <v>2526</v>
      </c>
      <c r="EM56" s="59" t="s">
        <v>1808</v>
      </c>
      <c r="ET56" t="s">
        <v>1046</v>
      </c>
      <c r="EU56" s="3">
        <f>COUNTIFS(Tbl_Responses[Soil testing annual spend],$ET56,Tbl_Responses[[Resp_Group]:[Resp_Group]],Agronomist)</f>
        <v>0</v>
      </c>
      <c r="EV56" s="4">
        <f>Tbl_Q2248[[#This Row],[No. Respondants]]/SUM(Tbl_Q2248[No. Respondants])</f>
        <v>0</v>
      </c>
      <c r="EY56" s="59" t="s">
        <v>1776</v>
      </c>
      <c r="FD56" s="59" t="s">
        <v>1581</v>
      </c>
      <c r="FN56" s="34" t="s">
        <v>2546</v>
      </c>
      <c r="FZ56" t="s">
        <v>1046</v>
      </c>
      <c r="GA56" s="3">
        <f>COUNTIFS(Tbl_Responses[Average annual spend - Plant testing],$FZ56,Tbl_Responses[[Resp_Group]:[Resp_Group]],Grower)</f>
        <v>0</v>
      </c>
      <c r="GB56" s="4">
        <f>Tbl_Q2860[[#This Row],[No. Respondants]]/SUM(Tbl_Q2860[No. Respondants])</f>
        <v>0</v>
      </c>
      <c r="GJ56" s="59" t="s">
        <v>1432</v>
      </c>
      <c r="GO56" s="5" t="s">
        <v>2577</v>
      </c>
      <c r="GT56" s="5" t="s">
        <v>2577</v>
      </c>
      <c r="HA56" s="87" t="s">
        <v>158</v>
      </c>
      <c r="HB56" s="3">
        <f>COUNTIFS(Tbl_Responses[Fertilizer company information, e.g. fact sheets],$HA56,Tbl_Responses[[Resp_Group]:[Resp_Group]],Grower)</f>
        <v>16</v>
      </c>
      <c r="HC56" s="4">
        <f>Tbl_infoSources70[[#This Row],[No. Responses]]/SUM(Tbl_infoSources70[No. Responses])</f>
        <v>5.5555555555555552E-2</v>
      </c>
    </row>
    <row r="57" spans="1:211" x14ac:dyDescent="0.25">
      <c r="A57" t="s">
        <v>33</v>
      </c>
      <c r="B57" s="3">
        <f>COUNTIFS(Tbl_Responses[Q1: region],Results!$A57,Tbl_Responses[Resp_Group],Grower)</f>
        <v>2</v>
      </c>
      <c r="C57" s="4">
        <f>B57/SUM(Tbl_Q19[Respondants])</f>
        <v>2.0202020202020204E-2</v>
      </c>
      <c r="D57" s="7">
        <f>AVERAGEIFS(Tbl_Responses[Q2: Cropped Area],Tbl_Responses[Q1: region],Tbl_Q19[[#This Row],[Region]],Tbl_Responses[[Resp_Group]:[Resp_Group]],Grower)</f>
        <v>232.5</v>
      </c>
      <c r="S57" t="s">
        <v>315</v>
      </c>
      <c r="T57" s="4">
        <f>COUNTIFS(Tbl_Responses[[Variable Costs]:[Variable Costs]],T$3,Tbl_Responses[[Q1: region]:[Q1: region]],$S57,Tbl_Responses[[Resp_Group]:[Resp_Group]],Grower)/COUNTIFS(Tbl_Responses[[Q1: region]:[Q1: region]],$S57,Tbl_Responses[[Resp_Group]:[Resp_Group]],Grower)</f>
        <v>0</v>
      </c>
      <c r="U57" s="4">
        <f>COUNTIFS(Tbl_Responses[[Variable Costs]:[Variable Costs]],U$3,Tbl_Responses[[Q1: region]:[Q1: region]],$S57,Tbl_Responses[[Resp_Group]:[Resp_Group]],Grower)/COUNTIFS(Tbl_Responses[[Q1: region]:[Q1: region]],$S57,Tbl_Responses[[Resp_Group]:[Resp_Group]],Grower)</f>
        <v>0</v>
      </c>
      <c r="V57" s="4">
        <f>COUNTIFS(Tbl_Responses[[Variable Costs]:[Variable Costs]],V$3,Tbl_Responses[[Q1: region]:[Q1: region]],$S57,Tbl_Responses[[Resp_Group]:[Resp_Group]],Grower)/COUNTIFS(Tbl_Responses[[Q1: region]:[Q1: region]],$S57,Tbl_Responses[[Resp_Group]:[Resp_Group]],Grower)</f>
        <v>0</v>
      </c>
      <c r="W57" s="4">
        <f>COUNTIFS(Tbl_Responses[[Variable Costs]:[Variable Costs]],W$3,Tbl_Responses[[Q1: region]:[Q1: region]],$S57,Tbl_Responses[[Resp_Group]:[Resp_Group]],Grower)/COUNTIFS(Tbl_Responses[[Q1: region]:[Q1: region]],$S57,Tbl_Responses[[Resp_Group]:[Resp_Group]],Grower)</f>
        <v>0</v>
      </c>
      <c r="X57" s="4">
        <f>COUNTIFS(Tbl_Responses[[Variable Costs]:[Variable Costs]],X$3,Tbl_Responses[[Q1: region]:[Q1: region]],$S57,Tbl_Responses[[Resp_Group]:[Resp_Group]],Grower)/COUNTIFS(Tbl_Responses[[Q1: region]:[Q1: region]],$S57,Tbl_Responses[[Resp_Group]:[Resp_Group]],Grower)</f>
        <v>0.16666666666666666</v>
      </c>
      <c r="Y57" s="4">
        <f>COUNTIFS(Tbl_Responses[[Variable Costs]:[Variable Costs]],Y$3,Tbl_Responses[[Q1: region]:[Q1: region]],$S57,Tbl_Responses[[Resp_Group]:[Resp_Group]],Grower)/COUNTIFS(Tbl_Responses[[Q1: region]:[Q1: region]],$S57,Tbl_Responses[[Resp_Group]:[Resp_Group]],Grower)</f>
        <v>0.5</v>
      </c>
      <c r="Z57" s="4">
        <f>COUNTIFS(Tbl_Responses[[Variable Costs]:[Variable Costs]],Z$3,Tbl_Responses[[Q1: region]:[Q1: region]],$S57,Tbl_Responses[[Resp_Group]:[Resp_Group]],Grower)/COUNTIFS(Tbl_Responses[[Q1: region]:[Q1: region]],$S57,Tbl_Responses[[Resp_Group]:[Resp_Group]],Grower)</f>
        <v>0.16666666666666666</v>
      </c>
      <c r="AA57" s="4">
        <f>COUNTIFS(Tbl_Responses[[Variable Costs]:[Variable Costs]],AA$3,Tbl_Responses[[Q1: region]:[Q1: region]],$S57,Tbl_Responses[[Resp_Group]:[Resp_Group]],Grower)/COUNTIFS(Tbl_Responses[[Q1: region]:[Q1: region]],$S57,Tbl_Responses[[Resp_Group]:[Resp_Group]],Grower)</f>
        <v>0</v>
      </c>
      <c r="AB57" s="4">
        <f>COUNTIFS(Tbl_Responses[[Variable Costs]:[Variable Costs]],AB$3,Tbl_Responses[[Q1: region]:[Q1: region]],$S57,Tbl_Responses[[Resp_Group]:[Resp_Group]],Grower)/COUNTIFS(Tbl_Responses[[Q1: region]:[Q1: region]],$S57,Tbl_Responses[[Resp_Group]:[Resp_Group]],Grower)</f>
        <v>0</v>
      </c>
      <c r="AG57" t="s">
        <v>315</v>
      </c>
      <c r="AH57" s="4">
        <f>COUNTIFS(Tbl_Responses[[Def_Nutrient_ID]:[Def_Nutrient_ID]],"*N*",Tbl_Responses[[Q1: region]:[Q1: region]],$AG57,Tbl_Responses[[Resp_Group]:[Resp_Group]],Grower)/COUNTIFS(Tbl_Responses[[Def_Nutrient_ID]:[Def_Nutrient_ID]],"&lt;&gt;"&amp;"",Tbl_Responses[[Q1: region]:[Q1: region]],$AG57,Tbl_Responses[[Resp_Group]:[Resp_Group]],Grower)</f>
        <v>1</v>
      </c>
      <c r="AI57" s="4">
        <f>COUNTIFS(Tbl_Responses[[Def_Nutrient_ID]:[Def_Nutrient_ID]],"*P*",Tbl_Responses[[Q1: region]:[Q1: region]],$AG57,Tbl_Responses[[Resp_Group]:[Resp_Group]],Grower)/COUNTIFS(Tbl_Responses[[Def_Nutrient_ID]:[Def_Nutrient_ID]],"&lt;&gt;"&amp;"",Tbl_Responses[[Q1: region]:[Q1: region]],$AG57,Tbl_Responses[[Resp_Group]:[Resp_Group]],Grower)</f>
        <v>0.66666666666666663</v>
      </c>
      <c r="AJ57" s="4">
        <f>COUNTIFS(Tbl_Responses[[Def_Nutrient_ID]:[Def_Nutrient_ID]],"*K*",Tbl_Responses[[Q1: region]:[Q1: region]],$AG57,Tbl_Responses[[Resp_Group]:[Resp_Group]],Grower)/COUNTIFS(Tbl_Responses[[Def_Nutrient_ID]:[Def_Nutrient_ID]],"&lt;&gt;"&amp;"",Tbl_Responses[[Q1: region]:[Q1: region]],$AG57,Tbl_Responses[[Resp_Group]:[Resp_Group]],Grower)</f>
        <v>0</v>
      </c>
      <c r="AK57" s="4">
        <f>COUNTIFS(Tbl_Responses[[Def_Nutrient_ID]:[Def_Nutrient_ID]],"*S*",Tbl_Responses[[Q1: region]:[Q1: region]],$AG57,Tbl_Responses[[Resp_Group]:[Resp_Group]],Grower)/COUNTIFS(Tbl_Responses[[Def_Nutrient_ID]:[Def_Nutrient_ID]],"&lt;&gt;"&amp;"",Tbl_Responses[[Q1: region]:[Q1: region]],$AG57,Tbl_Responses[[Resp_Group]:[Resp_Group]],Grower)</f>
        <v>0</v>
      </c>
      <c r="AL57" s="4">
        <f>COUNTIFS(Tbl_Responses[[Def_Nutrient_ID]:[Def_Nutrient_ID]],"*Zn*",Tbl_Responses[[Q1: region]:[Q1: region]],$AG57,Tbl_Responses[[Resp_Group]:[Resp_Group]],Grower)/COUNTIFS(Tbl_Responses[[Def_Nutrient_ID]:[Def_Nutrient_ID]],"&lt;&gt;"&amp;"",Tbl_Responses[[Q1: region]:[Q1: region]],$AG57,Tbl_Responses[[Resp_Group]:[Resp_Group]],Grower)</f>
        <v>0.33333333333333331</v>
      </c>
      <c r="AM57" s="4">
        <f>COUNTIFS(Tbl_Responses[[Def_Nutrient_ID]:[Def_Nutrient_ID]],"*Mn*",Tbl_Responses[[Q1: region]:[Q1: region]],$AG57,Tbl_Responses[[Resp_Group]:[Resp_Group]],Grower)/COUNTIFS(Tbl_Responses[[Def_Nutrient_ID]:[Def_Nutrient_ID]],"&lt;&gt;"&amp;"",Tbl_Responses[[Q1: region]:[Q1: region]],$AG57,Tbl_Responses[[Resp_Group]:[Resp_Group]],Grower)</f>
        <v>0</v>
      </c>
      <c r="AN57" s="4">
        <f>COUNTIFS(Tbl_Responses[[Def_Nutrient_ID]:[Def_Nutrient_ID]],"*Mg*",Tbl_Responses[[Q1: region]:[Q1: region]],$AG57,Tbl_Responses[[Resp_Group]:[Resp_Group]],Grower)/COUNTIFS(Tbl_Responses[[Def_Nutrient_ID]:[Def_Nutrient_ID]],"&lt;&gt;"&amp;"",Tbl_Responses[[Q1: region]:[Q1: region]],$AG57,Tbl_Responses[[Resp_Group]:[Resp_Group]],Grower)</f>
        <v>0</v>
      </c>
      <c r="AO57" s="4">
        <f>COUNTIFS(Tbl_Responses[[Def_Nutrient_ID]:[Def_Nutrient_ID]],"*Cu*",Tbl_Responses[[Q1: region]:[Q1: region]],$AG57,Tbl_Responses[[Resp_Group]:[Resp_Group]],Grower)/COUNTIFS(Tbl_Responses[[Def_Nutrient_ID]:[Def_Nutrient_ID]],"&lt;&gt;"&amp;"",Tbl_Responses[[Q1: region]:[Q1: region]],$AG57,Tbl_Responses[[Resp_Group]:[Resp_Group]],Grower)</f>
        <v>0</v>
      </c>
      <c r="AP57" s="4">
        <f>COUNTIFS(Tbl_Responses[[Def_Nutrient_ID]:[Def_Nutrient_ID]],"*B*",Tbl_Responses[[Q1: region]:[Q1: region]],$AG57,Tbl_Responses[[Resp_Group]:[Resp_Group]],Grower)/COUNTIFS(Tbl_Responses[[Def_Nutrient_ID]:[Def_Nutrient_ID]],"&lt;&gt;"&amp;"",Tbl_Responses[[Q1: region]:[Q1: region]],$AG57,Tbl_Responses[[Resp_Group]:[Resp_Group]],Grower)</f>
        <v>0.16666666666666666</v>
      </c>
      <c r="AQ57" s="4">
        <f>COUNTIFS(Tbl_Responses[[Def_Nutrient_ID]:[Def_Nutrient_ID]],"*Ca*",Tbl_Responses[[Q1: region]:[Q1: region]],$AG57,Tbl_Responses[[Resp_Group]:[Resp_Group]],Grower)/COUNTIFS(Tbl_Responses[[Def_Nutrient_ID]:[Def_Nutrient_ID]],"&lt;&gt;"&amp;"",Tbl_Responses[[Q1: region]:[Q1: region]],$AG57,Tbl_Responses[[Resp_Group]:[Resp_Group]],Grower)</f>
        <v>0</v>
      </c>
      <c r="AR57" s="4">
        <f>COUNTIFS(Tbl_Responses[[Def_Nutrient_ID]:[Def_Nutrient_ID]],"*pH*",Tbl_Responses[[Q1: region]:[Q1: region]],$AG57,Tbl_Responses[[Resp_Group]:[Resp_Group]],Grower)/COUNTIFS(Tbl_Responses[[Def_Nutrient_ID]:[Def_Nutrient_ID]],"&lt;&gt;"&amp;"",Tbl_Responses[[Q1: region]:[Q1: region]],$AG57,Tbl_Responses[[Resp_Group]:[Resp_Group]],Grower)</f>
        <v>0.5</v>
      </c>
      <c r="AS57" s="4">
        <f>COUNTIFS(Tbl_Responses[[Def_Nutrient_ID]:[Def_Nutrient_ID]],"*T*",Tbl_Responses[[Q1: region]:[Q1: region]],$AG57,Tbl_Responses[[Resp_Group]:[Resp_Group]],Grower)/COUNTIFS(Tbl_Responses[[Def_Nutrient_ID]:[Def_Nutrient_ID]],"&lt;&gt;"&amp;"",Tbl_Responses[[Q1: region]:[Q1: region]],$AG57,Tbl_Responses[[Resp_Group]:[Resp_Group]],Grower)</f>
        <v>0</v>
      </c>
      <c r="AV57" t="s">
        <v>315</v>
      </c>
      <c r="AW57" s="4">
        <f>COUNTIFS(Tbl_Responses[[Q6: Do you do/recommend soil and/or plant testing?]:[Q6: Do you do/recommend soil and/or plant testing?]],"Yes",Tbl_Responses[[Q1: region]:[Q1: region]],$AV57,Tbl_Responses[[Resp_Group]:[Resp_Group]],Grower)/COUNTIFS(Tbl_Responses[[Q6: Do you do/recommend soil and/or plant testing?]:[Q6: Do you do/recommend soil and/or plant testing?]],"&lt;&gt;"&amp;"",Tbl_Responses[[Q1: region]:[Q1: region]],$AV57,Tbl_Responses[[Resp_Group]:[Resp_Group]],Grower)</f>
        <v>0.83333333333333337</v>
      </c>
      <c r="AX57" s="4">
        <f>COUNTIFS(Tbl_Responses[[Q6: Do you do/recommend soil and/or plant testing?]:[Q6: Do you do/recommend soil and/or plant testing?]],"No",Tbl_Responses[[Q1: region]:[Q1: region]],$AV57,Tbl_Responses[[Resp_Group]:[Resp_Group]],Grower)/COUNTIFS(Tbl_Responses[[Q6: Do you do/recommend soil and/or plant testing?]:[Q6: Do you do/recommend soil and/or plant testing?]],"&lt;&gt;"&amp;"",Tbl_Responses[[Q1: region]:[Q1: region]],$AV57,Tbl_Responses[[Resp_Group]:[Resp_Group]],Grower)</f>
        <v>0.16666666666666666</v>
      </c>
      <c r="AY57" s="3">
        <f>COUNTIFS(Tbl_Responses[[Q6: Do you do/recommend soil and/or plant testing?]:[Q6: Do you do/recommend soil and/or plant testing?]],"&gt;""",Tbl_Responses[[Q1: region]:[Q1: region]],$AV13,Tbl_Responses[[Resp_Group]:[Resp_Group]],Grower)</f>
        <v>6</v>
      </c>
      <c r="BE57" s="33"/>
      <c r="BF57" s="33"/>
      <c r="BH57" t="s">
        <v>2444</v>
      </c>
      <c r="BI57" s="3">
        <f>COUNTIFS(Tbl_Responses[Source_1_ID],$BH57,Tbl_Responses[[Resp_Group]:[Resp_Group]],Grower)+COUNTIFS(Tbl_Responses[Source_2_ID],$BH57,Tbl_Responses[[Resp_Group]:[Resp_Group]],Grower)+COUNTIFS(Tbl_Responses[Source_3_ID],$BH57,Tbl_Responses[[Resp_Group]:[Resp_Group]],Grower)</f>
        <v>2</v>
      </c>
      <c r="BJ57" s="4">
        <f>Tbl_Q1120[[#This Row],[Q11 Response]]/SUM(Tbl_Q1120[Q11 Response])</f>
        <v>1.3888888888888888E-2</v>
      </c>
      <c r="BQ57" s="57" t="s">
        <v>1818</v>
      </c>
      <c r="CB57" s="33" t="s">
        <v>1463</v>
      </c>
      <c r="CM57" s="33" t="s">
        <v>1423</v>
      </c>
      <c r="CZ57" s="33" t="s">
        <v>1464</v>
      </c>
      <c r="DB57" s="33"/>
      <c r="DC57" s="33"/>
      <c r="DD57" s="33"/>
      <c r="DE57" s="33"/>
      <c r="DF57" s="81" t="s">
        <v>189</v>
      </c>
      <c r="DG57" s="78">
        <f>(COUNTIFS(Tbl_Responses[1 - Type of test],DF57,Tbl_Responses[[Resp_Group]:[Resp_Group]],Grower)+COUNTIFS(Tbl_Responses[2 - Type of test],DF57,Tbl_Responses[[Resp_Group]:[Resp_Group]],Grower)+COUNTIFS(Tbl_Responses[3 - Type of test],DF57,Tbl_Responses[[Resp_Group]:[Resp_Group]],Grower)+COUNTIFS(Tbl_Responses[4 - Type of test],DF57,Tbl_Responses[[Resp_Group]:[Resp_Group]],Grower)+COUNTIFS(Tbl_Responses[5 - Type of test],DF57,Tbl_Responses[[Resp_Group]:[Resp_Group]],Grower))/(COUNTIFS(Tbl_Responses[1 - Type of test],"&gt;""",Tbl_Responses[[Resp_Group]:[Resp_Group]],Grower)+COUNTIFS(Tbl_Responses[2 - Type of test],"&gt;""",Tbl_Responses[[Resp_Group]:[Resp_Group]],Grower)+COUNTIFS(Tbl_Responses[3 - Type of test],"&gt;""",Tbl_Responses[[Resp_Group]:[Resp_Group]],Grower)+COUNTIFS(Tbl_Responses[4 - Type of test],"&gt;""",Tbl_Responses[[Resp_Group]:[Resp_Group]],Grower)+COUNTIFS(Tbl_Responses[5 - Type of test],"&gt;""",Tbl_Responses[[Resp_Group]:[Resp_Group]],Grower))</f>
        <v>7.6086956521739135E-2</v>
      </c>
      <c r="DH57" s="33"/>
      <c r="DI57" s="33"/>
      <c r="DJ57" s="33" t="s">
        <v>1464</v>
      </c>
      <c r="EC57" s="59" t="s">
        <v>1627</v>
      </c>
      <c r="EH57" s="59" t="s">
        <v>1426</v>
      </c>
      <c r="EM57" s="59" t="s">
        <v>1903</v>
      </c>
      <c r="EY57" s="59" t="s">
        <v>1809</v>
      </c>
      <c r="FD57" s="59" t="s">
        <v>1629</v>
      </c>
      <c r="FN57" s="59" t="s">
        <v>1431</v>
      </c>
      <c r="GJ57" s="59" t="s">
        <v>1632</v>
      </c>
      <c r="GT57" s="5" t="s">
        <v>2587</v>
      </c>
      <c r="HA57" s="87" t="s">
        <v>159</v>
      </c>
      <c r="HB57" s="3">
        <f>COUNTIFS(Tbl_Responses[Soil or plant testing companies],$HA57,Tbl_Responses[[Resp_Group]:[Resp_Group]],Grower)</f>
        <v>9</v>
      </c>
      <c r="HC57" s="4">
        <f>Tbl_infoSources70[[#This Row],[No. Responses]]/SUM(Tbl_infoSources70[No. Responses])</f>
        <v>3.125E-2</v>
      </c>
    </row>
    <row r="58" spans="1:211" x14ac:dyDescent="0.25">
      <c r="F58" s="5" t="s">
        <v>1305</v>
      </c>
      <c r="M58" s="5" t="s">
        <v>1315</v>
      </c>
      <c r="S58" t="s">
        <v>33</v>
      </c>
      <c r="T58" s="4">
        <f>COUNTIFS(Tbl_Responses[[Variable Costs]:[Variable Costs]],T$3,Tbl_Responses[[Q1: region]:[Q1: region]],$S58,Tbl_Responses[[Resp_Group]:[Resp_Group]],Grower)/COUNTIFS(Tbl_Responses[[Q1: region]:[Q1: region]],$S58,Tbl_Responses[[Resp_Group]:[Resp_Group]],Grower)</f>
        <v>0</v>
      </c>
      <c r="U58" s="4">
        <f>COUNTIFS(Tbl_Responses[[Variable Costs]:[Variable Costs]],U$3,Tbl_Responses[[Q1: region]:[Q1: region]],$S58,Tbl_Responses[[Resp_Group]:[Resp_Group]],Grower)/COUNTIFS(Tbl_Responses[[Q1: region]:[Q1: region]],$S58,Tbl_Responses[[Resp_Group]:[Resp_Group]],Grower)</f>
        <v>0</v>
      </c>
      <c r="V58" s="4">
        <f>COUNTIFS(Tbl_Responses[[Variable Costs]:[Variable Costs]],V$3,Tbl_Responses[[Q1: region]:[Q1: region]],$S58,Tbl_Responses[[Resp_Group]:[Resp_Group]],Grower)/COUNTIFS(Tbl_Responses[[Q1: region]:[Q1: region]],$S58,Tbl_Responses[[Resp_Group]:[Resp_Group]],Grower)</f>
        <v>0.5</v>
      </c>
      <c r="W58" s="4">
        <f>COUNTIFS(Tbl_Responses[[Variable Costs]:[Variable Costs]],W$3,Tbl_Responses[[Q1: region]:[Q1: region]],$S58,Tbl_Responses[[Resp_Group]:[Resp_Group]],Grower)/COUNTIFS(Tbl_Responses[[Q1: region]:[Q1: region]],$S58,Tbl_Responses[[Resp_Group]:[Resp_Group]],Grower)</f>
        <v>0.5</v>
      </c>
      <c r="X58" s="4">
        <f>COUNTIFS(Tbl_Responses[[Variable Costs]:[Variable Costs]],X$3,Tbl_Responses[[Q1: region]:[Q1: region]],$S58,Tbl_Responses[[Resp_Group]:[Resp_Group]],Grower)/COUNTIFS(Tbl_Responses[[Q1: region]:[Q1: region]],$S58,Tbl_Responses[[Resp_Group]:[Resp_Group]],Grower)</f>
        <v>0</v>
      </c>
      <c r="Y58" s="4">
        <f>COUNTIFS(Tbl_Responses[[Variable Costs]:[Variable Costs]],Y$3,Tbl_Responses[[Q1: region]:[Q1: region]],$S58,Tbl_Responses[[Resp_Group]:[Resp_Group]],Grower)/COUNTIFS(Tbl_Responses[[Q1: region]:[Q1: region]],$S58,Tbl_Responses[[Resp_Group]:[Resp_Group]],Grower)</f>
        <v>0</v>
      </c>
      <c r="Z58" s="4">
        <f>COUNTIFS(Tbl_Responses[[Variable Costs]:[Variable Costs]],Z$3,Tbl_Responses[[Q1: region]:[Q1: region]],$S58,Tbl_Responses[[Resp_Group]:[Resp_Group]],Grower)/COUNTIFS(Tbl_Responses[[Q1: region]:[Q1: region]],$S58,Tbl_Responses[[Resp_Group]:[Resp_Group]],Grower)</f>
        <v>0</v>
      </c>
      <c r="AA58" s="4">
        <f>COUNTIFS(Tbl_Responses[[Variable Costs]:[Variable Costs]],AA$3,Tbl_Responses[[Q1: region]:[Q1: region]],$S58,Tbl_Responses[[Resp_Group]:[Resp_Group]],Grower)/COUNTIFS(Tbl_Responses[[Q1: region]:[Q1: region]],$S58,Tbl_Responses[[Resp_Group]:[Resp_Group]],Grower)</f>
        <v>0</v>
      </c>
      <c r="AB58" s="4">
        <f>COUNTIFS(Tbl_Responses[[Variable Costs]:[Variable Costs]],AB$3,Tbl_Responses[[Q1: region]:[Q1: region]],$S58,Tbl_Responses[[Resp_Group]:[Resp_Group]],Grower)/COUNTIFS(Tbl_Responses[[Q1: region]:[Q1: region]],$S58,Tbl_Responses[[Resp_Group]:[Resp_Group]],Grower)</f>
        <v>0</v>
      </c>
      <c r="AG58" t="s">
        <v>33</v>
      </c>
      <c r="AH58" s="4">
        <f>COUNTIFS(Tbl_Responses[[Def_Nutrient_ID]:[Def_Nutrient_ID]],"*N*",Tbl_Responses[[Q1: region]:[Q1: region]],$AG58,Tbl_Responses[[Resp_Group]:[Resp_Group]],Grower)/COUNTIFS(Tbl_Responses[[Def_Nutrient_ID]:[Def_Nutrient_ID]],"&lt;&gt;"&amp;"",Tbl_Responses[[Q1: region]:[Q1: region]],$AG58,Tbl_Responses[[Resp_Group]:[Resp_Group]],Grower)</f>
        <v>0.5</v>
      </c>
      <c r="AI58" s="4">
        <f>COUNTIFS(Tbl_Responses[[Def_Nutrient_ID]:[Def_Nutrient_ID]],"*P*",Tbl_Responses[[Q1: region]:[Q1: region]],$AG58,Tbl_Responses[[Resp_Group]:[Resp_Group]],Grower)/COUNTIFS(Tbl_Responses[[Def_Nutrient_ID]:[Def_Nutrient_ID]],"&lt;&gt;"&amp;"",Tbl_Responses[[Q1: region]:[Q1: region]],$AG58,Tbl_Responses[[Resp_Group]:[Resp_Group]],Grower)</f>
        <v>1</v>
      </c>
      <c r="AJ58" s="4">
        <f>COUNTIFS(Tbl_Responses[[Def_Nutrient_ID]:[Def_Nutrient_ID]],"*K*",Tbl_Responses[[Q1: region]:[Q1: region]],$AG58,Tbl_Responses[[Resp_Group]:[Resp_Group]],Grower)/COUNTIFS(Tbl_Responses[[Def_Nutrient_ID]:[Def_Nutrient_ID]],"&lt;&gt;"&amp;"",Tbl_Responses[[Q1: region]:[Q1: region]],$AG58,Tbl_Responses[[Resp_Group]:[Resp_Group]],Grower)</f>
        <v>0</v>
      </c>
      <c r="AK58" s="4">
        <f>COUNTIFS(Tbl_Responses[[Def_Nutrient_ID]:[Def_Nutrient_ID]],"*S*",Tbl_Responses[[Q1: region]:[Q1: region]],$AG58,Tbl_Responses[[Resp_Group]:[Resp_Group]],Grower)/COUNTIFS(Tbl_Responses[[Def_Nutrient_ID]:[Def_Nutrient_ID]],"&lt;&gt;"&amp;"",Tbl_Responses[[Q1: region]:[Q1: region]],$AG58,Tbl_Responses[[Resp_Group]:[Resp_Group]],Grower)</f>
        <v>0</v>
      </c>
      <c r="AL58" s="4">
        <f>COUNTIFS(Tbl_Responses[[Def_Nutrient_ID]:[Def_Nutrient_ID]],"*Zn*",Tbl_Responses[[Q1: region]:[Q1: region]],$AG58,Tbl_Responses[[Resp_Group]:[Resp_Group]],Grower)/COUNTIFS(Tbl_Responses[[Def_Nutrient_ID]:[Def_Nutrient_ID]],"&lt;&gt;"&amp;"",Tbl_Responses[[Q1: region]:[Q1: region]],$AG58,Tbl_Responses[[Resp_Group]:[Resp_Group]],Grower)</f>
        <v>0</v>
      </c>
      <c r="AM58" s="4">
        <f>COUNTIFS(Tbl_Responses[[Def_Nutrient_ID]:[Def_Nutrient_ID]],"*Mn*",Tbl_Responses[[Q1: region]:[Q1: region]],$AG58,Tbl_Responses[[Resp_Group]:[Resp_Group]],Grower)/COUNTIFS(Tbl_Responses[[Def_Nutrient_ID]:[Def_Nutrient_ID]],"&lt;&gt;"&amp;"",Tbl_Responses[[Q1: region]:[Q1: region]],$AG58,Tbl_Responses[[Resp_Group]:[Resp_Group]],Grower)</f>
        <v>0</v>
      </c>
      <c r="AN58" s="4">
        <f>COUNTIFS(Tbl_Responses[[Def_Nutrient_ID]:[Def_Nutrient_ID]],"*Mg*",Tbl_Responses[[Q1: region]:[Q1: region]],$AG58,Tbl_Responses[[Resp_Group]:[Resp_Group]],Grower)/COUNTIFS(Tbl_Responses[[Def_Nutrient_ID]:[Def_Nutrient_ID]],"&lt;&gt;"&amp;"",Tbl_Responses[[Q1: region]:[Q1: region]],$AG58,Tbl_Responses[[Resp_Group]:[Resp_Group]],Grower)</f>
        <v>0</v>
      </c>
      <c r="AO58" s="4">
        <f>COUNTIFS(Tbl_Responses[[Def_Nutrient_ID]:[Def_Nutrient_ID]],"*Cu*",Tbl_Responses[[Q1: region]:[Q1: region]],$AG58,Tbl_Responses[[Resp_Group]:[Resp_Group]],Grower)/COUNTIFS(Tbl_Responses[[Def_Nutrient_ID]:[Def_Nutrient_ID]],"&lt;&gt;"&amp;"",Tbl_Responses[[Q1: region]:[Q1: region]],$AG58,Tbl_Responses[[Resp_Group]:[Resp_Group]],Grower)</f>
        <v>0</v>
      </c>
      <c r="AP58" s="4">
        <f>COUNTIFS(Tbl_Responses[[Def_Nutrient_ID]:[Def_Nutrient_ID]],"*B*",Tbl_Responses[[Q1: region]:[Q1: region]],$AG58,Tbl_Responses[[Resp_Group]:[Resp_Group]],Grower)/COUNTIFS(Tbl_Responses[[Def_Nutrient_ID]:[Def_Nutrient_ID]],"&lt;&gt;"&amp;"",Tbl_Responses[[Q1: region]:[Q1: region]],$AG58,Tbl_Responses[[Resp_Group]:[Resp_Group]],Grower)</f>
        <v>0</v>
      </c>
      <c r="AQ58" s="4">
        <f>COUNTIFS(Tbl_Responses[[Def_Nutrient_ID]:[Def_Nutrient_ID]],"*Ca*",Tbl_Responses[[Q1: region]:[Q1: region]],$AG58,Tbl_Responses[[Resp_Group]:[Resp_Group]],Grower)/COUNTIFS(Tbl_Responses[[Def_Nutrient_ID]:[Def_Nutrient_ID]],"&lt;&gt;"&amp;"",Tbl_Responses[[Q1: region]:[Q1: region]],$AG58,Tbl_Responses[[Resp_Group]:[Resp_Group]],Grower)</f>
        <v>0</v>
      </c>
      <c r="AR58" s="4">
        <f>COUNTIFS(Tbl_Responses[[Def_Nutrient_ID]:[Def_Nutrient_ID]],"*pH*",Tbl_Responses[[Q1: region]:[Q1: region]],$AG58,Tbl_Responses[[Resp_Group]:[Resp_Group]],Grower)/COUNTIFS(Tbl_Responses[[Def_Nutrient_ID]:[Def_Nutrient_ID]],"&lt;&gt;"&amp;"",Tbl_Responses[[Q1: region]:[Q1: region]],$AG58,Tbl_Responses[[Resp_Group]:[Resp_Group]],Grower)</f>
        <v>0</v>
      </c>
      <c r="AS58" s="4">
        <f>COUNTIFS(Tbl_Responses[[Def_Nutrient_ID]:[Def_Nutrient_ID]],"*T*",Tbl_Responses[[Q1: region]:[Q1: region]],$AG58,Tbl_Responses[[Resp_Group]:[Resp_Group]],Grower)/COUNTIFS(Tbl_Responses[[Def_Nutrient_ID]:[Def_Nutrient_ID]],"&lt;&gt;"&amp;"",Tbl_Responses[[Q1: region]:[Q1: region]],$AG58,Tbl_Responses[[Resp_Group]:[Resp_Group]],Grower)</f>
        <v>0</v>
      </c>
      <c r="AV58" t="s">
        <v>33</v>
      </c>
      <c r="AW58" s="4">
        <f>COUNTIFS(Tbl_Responses[[Q6: Do you do/recommend soil and/or plant testing?]:[Q6: Do you do/recommend soil and/or plant testing?]],"Yes",Tbl_Responses[[Q1: region]:[Q1: region]],$AV58,Tbl_Responses[[Resp_Group]:[Resp_Group]],Grower)/COUNTIFS(Tbl_Responses[[Q6: Do you do/recommend soil and/or plant testing?]:[Q6: Do you do/recommend soil and/or plant testing?]],"&lt;&gt;"&amp;"",Tbl_Responses[[Q1: region]:[Q1: region]],$AV58,Tbl_Responses[[Resp_Group]:[Resp_Group]],Grower)</f>
        <v>1</v>
      </c>
      <c r="AX58" s="4">
        <f>COUNTIFS(Tbl_Responses[[Q6: Do you do/recommend soil and/or plant testing?]:[Q6: Do you do/recommend soil and/or plant testing?]],"No",Tbl_Responses[[Q1: region]:[Q1: region]],$AV58,Tbl_Responses[[Resp_Group]:[Resp_Group]],Grower)/COUNTIFS(Tbl_Responses[[Q6: Do you do/recommend soil and/or plant testing?]:[Q6: Do you do/recommend soil and/or plant testing?]],"&lt;&gt;"&amp;"",Tbl_Responses[[Q1: region]:[Q1: region]],$AV58,Tbl_Responses[[Resp_Group]:[Resp_Group]],Grower)</f>
        <v>0</v>
      </c>
      <c r="AY58" s="3">
        <f>COUNTIFS(Tbl_Responses[[Q6: Do you do/recommend soil and/or plant testing?]:[Q6: Do you do/recommend soil and/or plant testing?]],"&gt;""",Tbl_Responses[[Q1: region]:[Q1: region]],$AV14,Tbl_Responses[[Resp_Group]:[Resp_Group]],Grower)</f>
        <v>2</v>
      </c>
      <c r="BE58" s="33"/>
      <c r="BF58" s="33"/>
      <c r="BH58" t="s">
        <v>2446</v>
      </c>
      <c r="BI58" s="3">
        <f>COUNTIFS(Tbl_Responses[Source_1_ID],$BH58,Tbl_Responses[[Resp_Group]:[Resp_Group]],Grower)+COUNTIFS(Tbl_Responses[Source_2_ID],$BH58,Tbl_Responses[[Resp_Group]:[Resp_Group]],Grower)+COUNTIFS(Tbl_Responses[Source_3_ID],$BH58,Tbl_Responses[[Resp_Group]:[Resp_Group]],Grower)</f>
        <v>4</v>
      </c>
      <c r="BJ58" s="4">
        <f>Tbl_Q1120[[#This Row],[Q11 Response]]/SUM(Tbl_Q1120[Q11 Response])</f>
        <v>2.7777777777777776E-2</v>
      </c>
      <c r="BQ58" s="57" t="s">
        <v>2012</v>
      </c>
      <c r="CB58" s="33" t="s">
        <v>1550</v>
      </c>
      <c r="CM58" s="33" t="s">
        <v>1550</v>
      </c>
      <c r="CZ58" s="33" t="s">
        <v>1481</v>
      </c>
      <c r="DB58" s="33"/>
      <c r="DC58" s="33"/>
      <c r="DD58" s="33"/>
      <c r="DE58" s="33"/>
      <c r="DF58" s="81" t="s">
        <v>1011</v>
      </c>
      <c r="DG58" s="78">
        <f>(COUNTIFS(Tbl_Responses[1 - Type of test],DF58,Tbl_Responses[[Resp_Group]:[Resp_Group]],Grower)+COUNTIFS(Tbl_Responses[2 - Type of test],DF58,Tbl_Responses[[Resp_Group]:[Resp_Group]],Grower)+COUNTIFS(Tbl_Responses[3 - Type of test],DF58,Tbl_Responses[[Resp_Group]:[Resp_Group]],Grower)+COUNTIFS(Tbl_Responses[4 - Type of test],DF58,Tbl_Responses[[Resp_Group]:[Resp_Group]],Grower)+COUNTIFS(Tbl_Responses[5 - Type of test],DF58,Tbl_Responses[[Resp_Group]:[Resp_Group]],Grower))/(COUNTIFS(Tbl_Responses[1 - Type of test],"&gt;""",Tbl_Responses[[Resp_Group]:[Resp_Group]],Grower)+COUNTIFS(Tbl_Responses[2 - Type of test],"&gt;""",Tbl_Responses[[Resp_Group]:[Resp_Group]],Grower)+COUNTIFS(Tbl_Responses[3 - Type of test],"&gt;""",Tbl_Responses[[Resp_Group]:[Resp_Group]],Grower)+COUNTIFS(Tbl_Responses[4 - Type of test],"&gt;""",Tbl_Responses[[Resp_Group]:[Resp_Group]],Grower)+COUNTIFS(Tbl_Responses[5 - Type of test],"&gt;""",Tbl_Responses[[Resp_Group]:[Resp_Group]],Grower))</f>
        <v>2.1739130434782608E-2</v>
      </c>
      <c r="DH58" s="33"/>
      <c r="DI58" s="33"/>
      <c r="DJ58" s="33" t="s">
        <v>1575</v>
      </c>
      <c r="EC58" s="59" t="s">
        <v>1658</v>
      </c>
      <c r="EH58" s="59" t="s">
        <v>1485</v>
      </c>
      <c r="EM58" s="59" t="s">
        <v>2169</v>
      </c>
      <c r="ET58" s="34" t="s">
        <v>2534</v>
      </c>
      <c r="EY58" s="59" t="s">
        <v>1881</v>
      </c>
      <c r="FD58" s="59" t="s">
        <v>1706</v>
      </c>
      <c r="FN58" s="59" t="s">
        <v>1488</v>
      </c>
      <c r="FZ58" s="34" t="s">
        <v>2563</v>
      </c>
      <c r="GJ58" s="59" t="s">
        <v>1708</v>
      </c>
      <c r="HA58" s="87" t="s">
        <v>160</v>
      </c>
      <c r="HB58" s="3">
        <f>COUNTIFS(Tbl_Responses[Researchers],$HA58,Tbl_Responses[[Resp_Group]:[Resp_Group]],Grower)</f>
        <v>20</v>
      </c>
      <c r="HC58" s="4">
        <f>Tbl_infoSources70[[#This Row],[No. Responses]]/SUM(Tbl_infoSources70[No. Responses])</f>
        <v>6.9444444444444448E-2</v>
      </c>
    </row>
    <row r="59" spans="1:211" x14ac:dyDescent="0.25">
      <c r="F59" s="5" t="s">
        <v>1306</v>
      </c>
      <c r="M59" s="5" t="s">
        <v>1316</v>
      </c>
      <c r="BE59" s="33"/>
      <c r="BF59" s="33"/>
      <c r="BH59" t="s">
        <v>2443</v>
      </c>
      <c r="BI59" s="3">
        <f>COUNTIFS(Tbl_Responses[Source_1_ID],$BH59,Tbl_Responses[[Resp_Group]:[Resp_Group]],Grower)+COUNTIFS(Tbl_Responses[Source_2_ID],$BH59,Tbl_Responses[[Resp_Group]:[Resp_Group]],Grower)+COUNTIFS(Tbl_Responses[Source_3_ID],$BH59,Tbl_Responses[[Resp_Group]:[Resp_Group]],Grower)</f>
        <v>0</v>
      </c>
      <c r="BJ59" s="4">
        <f>Tbl_Q1120[[#This Row],[Q11 Response]]/SUM(Tbl_Q1120[Q11 Response])</f>
        <v>0</v>
      </c>
      <c r="BQ59" s="57" t="s">
        <v>2284</v>
      </c>
      <c r="CB59" s="33" t="s">
        <v>1571</v>
      </c>
      <c r="CM59" s="33" t="s">
        <v>1573</v>
      </c>
      <c r="CZ59" s="33" t="s">
        <v>1574</v>
      </c>
      <c r="DB59" s="33"/>
      <c r="DC59" s="33"/>
      <c r="DD59" s="33"/>
      <c r="DE59" s="33"/>
      <c r="DF59" s="33"/>
      <c r="DG59" s="33"/>
      <c r="DH59" s="33"/>
      <c r="DI59" s="33"/>
      <c r="DJ59" s="33" t="s">
        <v>1602</v>
      </c>
      <c r="EC59" s="59" t="s">
        <v>1704</v>
      </c>
      <c r="EH59" s="59" t="s">
        <v>1579</v>
      </c>
      <c r="EM59" s="59" t="s">
        <v>2247</v>
      </c>
      <c r="ET59" s="59" t="s">
        <v>313</v>
      </c>
      <c r="EY59" s="59" t="s">
        <v>2153</v>
      </c>
      <c r="FD59" s="59" t="s">
        <v>1746</v>
      </c>
      <c r="FN59" s="59" t="s">
        <v>1539</v>
      </c>
      <c r="FZ59" s="59" t="s">
        <v>1489</v>
      </c>
      <c r="GJ59" s="59" t="s">
        <v>166</v>
      </c>
      <c r="HA59" s="87" t="s">
        <v>161</v>
      </c>
      <c r="HB59" s="3">
        <f>COUNTIFS(Tbl_Responses[Google],$HA59,Tbl_Responses[[Resp_Group]:[Resp_Group]],Grower)</f>
        <v>18</v>
      </c>
      <c r="HC59" s="4">
        <f>Tbl_infoSources70[[#This Row],[No. Responses]]/SUM(Tbl_infoSources70[No. Responses])</f>
        <v>6.25E-2</v>
      </c>
    </row>
    <row r="60" spans="1:211" x14ac:dyDescent="0.25">
      <c r="BE60" s="33"/>
      <c r="BF60" s="33"/>
      <c r="BH60" t="s">
        <v>2445</v>
      </c>
      <c r="BI60" s="3">
        <f>COUNTIFS(Tbl_Responses[Source_1_ID],$BH60,Tbl_Responses[[Resp_Group]:[Resp_Group]],Grower)+COUNTIFS(Tbl_Responses[Source_2_ID],$BH60,Tbl_Responses[[Resp_Group]:[Resp_Group]],Grower)+COUNTIFS(Tbl_Responses[Source_3_ID],$BH60,Tbl_Responses[[Resp_Group]:[Resp_Group]],Grower)</f>
        <v>7</v>
      </c>
      <c r="BJ60" s="4">
        <f>Tbl_Q1120[[#This Row],[Q11 Response]]/SUM(Tbl_Q1120[Q11 Response])</f>
        <v>4.8611111111111112E-2</v>
      </c>
      <c r="CB60" s="33" t="s">
        <v>1624</v>
      </c>
      <c r="CM60" s="33" t="s">
        <v>1625</v>
      </c>
      <c r="CZ60" s="33" t="s">
        <v>1602</v>
      </c>
      <c r="DB60" s="33"/>
      <c r="DC60" s="33"/>
      <c r="DD60" s="33"/>
      <c r="DE60" s="33"/>
      <c r="DF60" s="33"/>
      <c r="DG60" s="33"/>
      <c r="DH60" s="33"/>
      <c r="DI60" s="33"/>
      <c r="DJ60" s="33" t="s">
        <v>1942</v>
      </c>
      <c r="EC60" s="59" t="s">
        <v>1732</v>
      </c>
      <c r="EH60" s="59" t="s">
        <v>1628</v>
      </c>
      <c r="ET60" s="59" t="s">
        <v>1580</v>
      </c>
      <c r="EY60" s="59" t="s">
        <v>2232</v>
      </c>
      <c r="FD60" s="59" t="s">
        <v>1792</v>
      </c>
      <c r="FN60" s="59" t="s">
        <v>1689</v>
      </c>
      <c r="GJ60" s="59" t="s">
        <v>2043</v>
      </c>
      <c r="HA60" s="87" t="s">
        <v>162</v>
      </c>
      <c r="HB60" s="3">
        <f>COUNTIFS(Tbl_Responses[Social media],$HA60,Tbl_Responses[[Resp_Group]:[Resp_Group]],Grower)</f>
        <v>22</v>
      </c>
      <c r="HC60" s="4">
        <f>Tbl_infoSources70[[#This Row],[No. Responses]]/SUM(Tbl_infoSources70[No. Responses])</f>
        <v>7.6388888888888895E-2</v>
      </c>
    </row>
    <row r="61" spans="1:211" x14ac:dyDescent="0.25">
      <c r="AG61" s="5" t="s">
        <v>1380</v>
      </c>
      <c r="BE61" s="33"/>
      <c r="BF61" s="33"/>
      <c r="BH61" t="s">
        <v>2447</v>
      </c>
      <c r="BI61" s="3">
        <f>COUNTIFS(Tbl_Responses[Source_1_ID],$BH61,Tbl_Responses[[Resp_Group]:[Resp_Group]],Grower)+COUNTIFS(Tbl_Responses[Source_2_ID],$BH61,Tbl_Responses[[Resp_Group]:[Resp_Group]],Grower)+COUNTIFS(Tbl_Responses[Source_3_ID],$BH61,Tbl_Responses[[Resp_Group]:[Resp_Group]],Grower)</f>
        <v>2</v>
      </c>
      <c r="BJ61" s="4">
        <f>Tbl_Q1120[[#This Row],[Q11 Response]]/SUM(Tbl_Q1120[Q11 Response])</f>
        <v>1.3888888888888888E-2</v>
      </c>
      <c r="CB61" s="33" t="s">
        <v>1655</v>
      </c>
      <c r="CM61" s="33" t="s">
        <v>1671</v>
      </c>
      <c r="CZ61" s="33" t="s">
        <v>1943</v>
      </c>
      <c r="DJ61" s="33" t="s">
        <v>917</v>
      </c>
      <c r="EC61" s="59" t="s">
        <v>1745</v>
      </c>
      <c r="EH61" s="59" t="s">
        <v>1705</v>
      </c>
      <c r="FD61" s="59" t="s">
        <v>2136</v>
      </c>
      <c r="FN61" s="59" t="s">
        <v>1778</v>
      </c>
      <c r="GJ61" s="59" t="s">
        <v>2077</v>
      </c>
    </row>
    <row r="62" spans="1:211" x14ac:dyDescent="0.25">
      <c r="AG62" s="5" t="s">
        <v>2419</v>
      </c>
      <c r="BE62" s="33"/>
      <c r="CB62" s="33" t="s">
        <v>1670</v>
      </c>
      <c r="CM62" s="33" t="s">
        <v>968</v>
      </c>
      <c r="CZ62" s="33" t="s">
        <v>313</v>
      </c>
      <c r="DJ62" s="33" t="s">
        <v>2068</v>
      </c>
      <c r="EC62" s="59" t="s">
        <v>1806</v>
      </c>
      <c r="EH62" s="59" t="s">
        <v>1733</v>
      </c>
      <c r="FN62" s="59" t="s">
        <v>2020</v>
      </c>
      <c r="GJ62" s="59" t="s">
        <v>2104</v>
      </c>
      <c r="HA62" s="34" t="s">
        <v>2589</v>
      </c>
    </row>
    <row r="63" spans="1:211" x14ac:dyDescent="0.25">
      <c r="BE63" s="33"/>
      <c r="CB63" s="33" t="s">
        <v>1701</v>
      </c>
      <c r="CM63" s="33" t="s">
        <v>1773</v>
      </c>
      <c r="CZ63" s="33" t="s">
        <v>917</v>
      </c>
      <c r="DJ63" s="33" t="s">
        <v>2068</v>
      </c>
      <c r="EC63" s="59" t="s">
        <v>1861</v>
      </c>
      <c r="EH63" s="59" t="s">
        <v>1775</v>
      </c>
      <c r="FN63" s="59" t="s">
        <v>2103</v>
      </c>
      <c r="GJ63" s="59" t="s">
        <v>166</v>
      </c>
      <c r="HA63" s="59" t="s">
        <v>1454</v>
      </c>
    </row>
    <row r="64" spans="1:211" x14ac:dyDescent="0.25">
      <c r="BE64" s="33"/>
      <c r="CB64" s="33" t="s">
        <v>1742</v>
      </c>
      <c r="CM64" s="33" t="s">
        <v>1942</v>
      </c>
      <c r="CZ64" s="33" t="s">
        <v>2069</v>
      </c>
      <c r="DJ64" s="33" t="s">
        <v>2111</v>
      </c>
      <c r="EC64" s="59" t="s">
        <v>1961</v>
      </c>
      <c r="EH64" s="59" t="s">
        <v>1807</v>
      </c>
      <c r="FN64" s="59" t="s">
        <v>2139</v>
      </c>
      <c r="GJ64" s="59" t="s">
        <v>2140</v>
      </c>
      <c r="HA64" s="59" t="s">
        <v>1493</v>
      </c>
    </row>
    <row r="65" spans="57:209" x14ac:dyDescent="0.25">
      <c r="BE65" s="33"/>
      <c r="CB65" s="33" t="s">
        <v>1859</v>
      </c>
      <c r="CM65" s="33" t="s">
        <v>1957</v>
      </c>
      <c r="CZ65" s="33" t="s">
        <v>2082</v>
      </c>
      <c r="DJ65" s="33" t="s">
        <v>2130</v>
      </c>
      <c r="EC65" s="59" t="s">
        <v>1991</v>
      </c>
      <c r="EH65" s="59" t="s">
        <v>2017</v>
      </c>
      <c r="FN65" s="59" t="s">
        <v>313</v>
      </c>
      <c r="GJ65" s="59" t="s">
        <v>166</v>
      </c>
      <c r="HA65" s="59" t="s">
        <v>1510</v>
      </c>
    </row>
    <row r="66" spans="57:209" x14ac:dyDescent="0.25">
      <c r="CB66" s="33" t="s">
        <v>1942</v>
      </c>
      <c r="CM66" s="33" t="s">
        <v>1976</v>
      </c>
      <c r="CZ66" s="33" t="s">
        <v>2113</v>
      </c>
      <c r="DJ66" s="33" t="s">
        <v>2150</v>
      </c>
      <c r="EC66" s="59" t="s">
        <v>2016</v>
      </c>
      <c r="EH66" s="59" t="s">
        <v>2135</v>
      </c>
      <c r="FN66" s="59" t="s">
        <v>2339</v>
      </c>
      <c r="GJ66" s="59" t="s">
        <v>2251</v>
      </c>
      <c r="HA66" s="59" t="s">
        <v>1612</v>
      </c>
    </row>
    <row r="67" spans="57:209" x14ac:dyDescent="0.25">
      <c r="CB67" s="33" t="s">
        <v>1956</v>
      </c>
      <c r="CM67" s="33" t="s">
        <v>917</v>
      </c>
      <c r="CZ67" s="33" t="s">
        <v>2129</v>
      </c>
      <c r="DJ67" s="33" t="s">
        <v>2165</v>
      </c>
      <c r="EC67" s="59" t="s">
        <v>2101</v>
      </c>
      <c r="EH67" s="59" t="s">
        <v>2231</v>
      </c>
      <c r="FN67" s="59" t="s">
        <v>2354</v>
      </c>
      <c r="GJ67" s="59" t="s">
        <v>2270</v>
      </c>
      <c r="HA67" s="59" t="s">
        <v>1762</v>
      </c>
    </row>
    <row r="68" spans="57:209" x14ac:dyDescent="0.25">
      <c r="CB68" s="33" t="s">
        <v>1975</v>
      </c>
      <c r="CM68" s="33" t="s">
        <v>2069</v>
      </c>
      <c r="CZ68" s="33" t="s">
        <v>2263</v>
      </c>
      <c r="DJ68" s="33" t="s">
        <v>2183</v>
      </c>
      <c r="EC68" s="59" t="s">
        <v>2134</v>
      </c>
      <c r="EH68" s="59" t="s">
        <v>2336</v>
      </c>
      <c r="GJ68" s="59" t="s">
        <v>1708</v>
      </c>
      <c r="HA68" s="59" t="s">
        <v>1826</v>
      </c>
    </row>
    <row r="69" spans="57:209" x14ac:dyDescent="0.25">
      <c r="CB69" s="33" t="s">
        <v>1987</v>
      </c>
      <c r="CM69" s="33" t="s">
        <v>2069</v>
      </c>
      <c r="CZ69" s="33" t="s">
        <v>1504</v>
      </c>
      <c r="DJ69" s="33" t="s">
        <v>2244</v>
      </c>
      <c r="EC69" s="59" t="s">
        <v>2168</v>
      </c>
      <c r="GJ69" s="59" t="s">
        <v>166</v>
      </c>
      <c r="HA69" s="59" t="s">
        <v>1834</v>
      </c>
    </row>
    <row r="70" spans="57:209" x14ac:dyDescent="0.25">
      <c r="CB70" s="33">
        <v>5</v>
      </c>
      <c r="CM70" s="33" t="s">
        <v>2100</v>
      </c>
      <c r="CZ70" s="33" t="s">
        <v>2350</v>
      </c>
      <c r="DJ70" s="33" t="s">
        <v>2264</v>
      </c>
      <c r="EC70" s="59" t="s">
        <v>2204</v>
      </c>
      <c r="HA70" s="59" t="s">
        <v>1851</v>
      </c>
    </row>
    <row r="71" spans="57:209" x14ac:dyDescent="0.25">
      <c r="CB71" s="33" t="s">
        <v>2068</v>
      </c>
      <c r="CM71" s="33" t="s">
        <v>2112</v>
      </c>
      <c r="DJ71" s="33" t="s">
        <v>2316</v>
      </c>
      <c r="EC71" s="59" t="s">
        <v>2230</v>
      </c>
      <c r="HA71" s="59" t="s">
        <v>2044</v>
      </c>
    </row>
    <row r="72" spans="57:209" x14ac:dyDescent="0.25">
      <c r="CB72" s="33" t="s">
        <v>2068</v>
      </c>
      <c r="CM72" s="33" t="s">
        <v>2128</v>
      </c>
      <c r="DJ72" s="33" t="s">
        <v>2351</v>
      </c>
      <c r="EC72" s="59" t="s">
        <v>2319</v>
      </c>
      <c r="HA72" s="59" t="s">
        <v>2272</v>
      </c>
    </row>
    <row r="73" spans="57:209" x14ac:dyDescent="0.25">
      <c r="CB73" s="33" t="s">
        <v>1039</v>
      </c>
      <c r="CM73" s="33" t="s">
        <v>2149</v>
      </c>
      <c r="EC73" s="59" t="s">
        <v>2335</v>
      </c>
      <c r="HA73" s="59" t="s">
        <v>569</v>
      </c>
    </row>
    <row r="74" spans="57:209" x14ac:dyDescent="0.25">
      <c r="CB74" s="33" t="s">
        <v>2111</v>
      </c>
      <c r="CM74" s="33" t="s">
        <v>2164</v>
      </c>
      <c r="HA74" s="59" t="s">
        <v>651</v>
      </c>
    </row>
    <row r="75" spans="57:209" x14ac:dyDescent="0.25">
      <c r="CB75" s="33" t="s">
        <v>2127</v>
      </c>
      <c r="CM75" s="33" t="s">
        <v>2183</v>
      </c>
      <c r="HA75" s="59" t="s">
        <v>651</v>
      </c>
    </row>
    <row r="76" spans="57:209" x14ac:dyDescent="0.25">
      <c r="CB76" s="33" t="s">
        <v>2163</v>
      </c>
      <c r="CM76" s="33" t="s">
        <v>2193</v>
      </c>
    </row>
    <row r="77" spans="57:209" x14ac:dyDescent="0.25">
      <c r="CB77" s="33" t="s">
        <v>2182</v>
      </c>
      <c r="CM77" s="33" t="s">
        <v>2227</v>
      </c>
    </row>
    <row r="78" spans="57:209" x14ac:dyDescent="0.25">
      <c r="CB78" s="33" t="s">
        <v>2192</v>
      </c>
      <c r="CM78" s="33" t="s">
        <v>2262</v>
      </c>
    </row>
    <row r="79" spans="57:209" x14ac:dyDescent="0.25">
      <c r="CB79" s="33" t="s">
        <v>2243</v>
      </c>
      <c r="CM79" s="33" t="s">
        <v>2293</v>
      </c>
    </row>
    <row r="80" spans="57:209" x14ac:dyDescent="0.25">
      <c r="CB80" s="33" t="s">
        <v>2261</v>
      </c>
      <c r="CM80" s="33" t="s">
        <v>2332</v>
      </c>
    </row>
    <row r="81" spans="80:80" x14ac:dyDescent="0.25">
      <c r="CB81" s="33" t="s">
        <v>313</v>
      </c>
    </row>
    <row r="82" spans="80:80" x14ac:dyDescent="0.25">
      <c r="CB82" s="33" t="s">
        <v>2349</v>
      </c>
    </row>
    <row r="83" spans="80:80" x14ac:dyDescent="0.25">
      <c r="CB83" s="33" t="s">
        <v>2373</v>
      </c>
    </row>
  </sheetData>
  <mergeCells count="44">
    <mergeCell ref="DY2:DZ2"/>
    <mergeCell ref="CB46:CF46"/>
    <mergeCell ref="CM46:CR46"/>
    <mergeCell ref="CV46:CW46"/>
    <mergeCell ref="CZ46:DC46"/>
    <mergeCell ref="DF46:DG46"/>
    <mergeCell ref="CB2:CF2"/>
    <mergeCell ref="CM2:CR2"/>
    <mergeCell ref="CV2:CW2"/>
    <mergeCell ref="CZ2:DC2"/>
    <mergeCell ref="DF2:DG2"/>
    <mergeCell ref="DY46:DZ46"/>
    <mergeCell ref="F46:J46"/>
    <mergeCell ref="M46:P46"/>
    <mergeCell ref="A2:D2"/>
    <mergeCell ref="BQ2:BU2"/>
    <mergeCell ref="BQ46:BU46"/>
    <mergeCell ref="BL2:BO2"/>
    <mergeCell ref="A46:D46"/>
    <mergeCell ref="S46:AB46"/>
    <mergeCell ref="AG46:AS46"/>
    <mergeCell ref="BH46:BJ46"/>
    <mergeCell ref="BL46:BO46"/>
    <mergeCell ref="AV2:AY2"/>
    <mergeCell ref="AV46:AY46"/>
    <mergeCell ref="BA46:BC46"/>
    <mergeCell ref="BH2:BJ2"/>
    <mergeCell ref="BB2:BD2"/>
    <mergeCell ref="AG2:AS2"/>
    <mergeCell ref="S2:AB2"/>
    <mergeCell ref="F2:J2"/>
    <mergeCell ref="DJ2:DV2"/>
    <mergeCell ref="M2:P2"/>
    <mergeCell ref="EY2:FA2"/>
    <mergeCell ref="EY46:FA46"/>
    <mergeCell ref="FN2:FP2"/>
    <mergeCell ref="FN46:FP46"/>
    <mergeCell ref="FS2:FW2"/>
    <mergeCell ref="FS46:FW46"/>
    <mergeCell ref="GE2:GG2"/>
    <mergeCell ref="FZ2:GB2"/>
    <mergeCell ref="GJ2:GL2"/>
    <mergeCell ref="GE46:GG46"/>
    <mergeCell ref="GJ46:GL46"/>
  </mergeCells>
  <conditionalFormatting sqref="T4:AB14 AH4:AS14">
    <cfRule type="cellIs" dxfId="263" priority="3" operator="equal">
      <formula>0</formula>
    </cfRule>
  </conditionalFormatting>
  <conditionalFormatting sqref="T48:AB58">
    <cfRule type="cellIs" dxfId="262" priority="2" operator="equal">
      <formula>0</formula>
    </cfRule>
  </conditionalFormatting>
  <conditionalFormatting sqref="AH48:AS58">
    <cfRule type="cellIs" dxfId="261" priority="1" operator="equal">
      <formula>0</formula>
    </cfRule>
  </conditionalFormatting>
  <pageMargins left="0.7" right="0.7" top="0.75" bottom="0.75" header="0.3" footer="0.3"/>
  <pageSetup paperSize="9" orientation="portrait" r:id="rId1"/>
  <tableParts count="6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P176"/>
  <sheetViews>
    <sheetView tabSelected="1" workbookViewId="0">
      <selection activeCell="AA4" sqref="AA4"/>
    </sheetView>
  </sheetViews>
  <sheetFormatPr defaultRowHeight="15" x14ac:dyDescent="0.25"/>
  <cols>
    <col min="1" max="1" width="20.140625" bestFit="1" customWidth="1"/>
    <col min="2" max="3" width="18.28515625" customWidth="1"/>
    <col min="4" max="11" width="4.42578125" customWidth="1"/>
    <col min="12" max="12" width="20.28515625" customWidth="1"/>
    <col min="13" max="13" width="17.85546875" customWidth="1"/>
    <col min="14" max="41" width="4.42578125" customWidth="1"/>
    <col min="42" max="42" width="13.28515625" customWidth="1"/>
    <col min="43" max="43" width="12.7109375" customWidth="1"/>
    <col min="44" max="46" width="4.42578125" customWidth="1"/>
    <col min="47" max="47" width="19.140625" customWidth="1"/>
    <col min="48" max="48" width="29.42578125" customWidth="1"/>
    <col min="49" max="49" width="20.7109375" customWidth="1"/>
    <col min="50" max="50" width="23.28515625" customWidth="1"/>
    <col min="51" max="51" width="11.42578125" customWidth="1"/>
    <col min="52" max="131" width="4.42578125" customWidth="1"/>
    <col min="132" max="133" width="3.7109375" customWidth="1"/>
    <col min="134" max="135" width="4.42578125" customWidth="1"/>
    <col min="136" max="136" width="49" customWidth="1"/>
    <col min="137" max="137" width="41.5703125" customWidth="1"/>
    <col min="138" max="138" width="31.28515625" customWidth="1"/>
    <col min="139" max="139" width="32" customWidth="1"/>
    <col min="140" max="140" width="14.7109375" customWidth="1"/>
    <col min="141" max="141" width="18.85546875" customWidth="1"/>
    <col min="142" max="142" width="21.7109375" customWidth="1"/>
    <col min="143" max="143" width="22" customWidth="1"/>
    <col min="144" max="144" width="24.5703125" customWidth="1"/>
    <col min="145" max="149" width="4.85546875" customWidth="1"/>
    <col min="150" max="150" width="28.42578125" customWidth="1"/>
    <col min="151" max="154" width="4.7109375" customWidth="1"/>
    <col min="155" max="155" width="24.7109375" customWidth="1"/>
    <col min="156" max="158" width="4.7109375" customWidth="1"/>
    <col min="159" max="159" width="77.85546875" customWidth="1"/>
    <col min="160" max="167" width="4.28515625" customWidth="1"/>
    <col min="168" max="175" width="5" customWidth="1"/>
    <col min="176" max="176" width="101.28515625" customWidth="1"/>
    <col min="177" max="177" width="48.7109375" customWidth="1"/>
    <col min="178" max="178" width="39.85546875" customWidth="1"/>
    <col min="179" max="179" width="28.7109375" customWidth="1"/>
    <col min="180" max="180" width="72.7109375" customWidth="1"/>
    <col min="181" max="181" width="41.42578125" customWidth="1"/>
    <col min="182" max="182" width="85.140625" bestFit="1" customWidth="1"/>
    <col min="183" max="183" width="73.42578125" customWidth="1"/>
    <col min="184" max="184" width="12.7109375" customWidth="1"/>
    <col min="185" max="185" width="90.5703125" bestFit="1" customWidth="1"/>
    <col min="186" max="186" width="94" bestFit="1" customWidth="1"/>
    <col min="187" max="187" width="44.42578125" customWidth="1"/>
    <col min="188" max="188" width="42.7109375" bestFit="1" customWidth="1"/>
    <col min="189" max="189" width="30.7109375" customWidth="1"/>
    <col min="190" max="190" width="31.85546875" customWidth="1"/>
    <col min="191" max="191" width="30.7109375" customWidth="1"/>
    <col min="192" max="192" width="54" customWidth="1"/>
    <col min="193" max="193" width="35.140625" customWidth="1"/>
    <col min="194" max="194" width="33.140625" customWidth="1"/>
    <col min="195" max="195" width="32" customWidth="1"/>
    <col min="196" max="196" width="33.140625" customWidth="1"/>
    <col min="197" max="197" width="32" customWidth="1"/>
    <col min="198" max="198" width="55.28515625" customWidth="1"/>
    <col min="199" max="199" width="36.42578125" customWidth="1"/>
    <col min="200" max="200" width="27.7109375" customWidth="1"/>
    <col min="201" max="201" width="96" bestFit="1" customWidth="1"/>
    <col min="202" max="202" width="64.7109375" customWidth="1"/>
    <col min="203" max="203" width="74.7109375" bestFit="1" customWidth="1"/>
    <col min="204" max="204" width="86" customWidth="1"/>
    <col min="205" max="205" width="66" customWidth="1"/>
    <col min="206" max="206" width="27.7109375" customWidth="1"/>
    <col min="207" max="207" width="25.5703125" customWidth="1"/>
    <col min="208" max="208" width="27.5703125" customWidth="1"/>
    <col min="209" max="209" width="35" customWidth="1"/>
    <col min="210" max="210" width="14.140625" customWidth="1"/>
    <col min="211" max="211" width="50.28515625" customWidth="1"/>
    <col min="212" max="212" width="34.28515625" customWidth="1"/>
    <col min="213" max="213" width="16.140625" customWidth="1"/>
    <col min="214" max="214" width="10.5703125" customWidth="1"/>
    <col min="215" max="215" width="15.85546875" customWidth="1"/>
    <col min="216" max="216" width="76.28515625" bestFit="1" customWidth="1"/>
    <col min="217" max="217" width="17.140625" customWidth="1"/>
    <col min="218" max="218" width="110.140625" customWidth="1"/>
    <col min="219" max="219" width="63.42578125" customWidth="1"/>
    <col min="220" max="220" width="54.7109375" customWidth="1"/>
    <col min="221" max="221" width="52.42578125" bestFit="1" customWidth="1"/>
    <col min="222" max="222" width="49" bestFit="1" customWidth="1"/>
    <col min="223" max="223" width="44.140625" bestFit="1" customWidth="1"/>
    <col min="224" max="224" width="30.42578125" customWidth="1"/>
  </cols>
  <sheetData>
    <row r="1" spans="1:224" ht="72" thickBot="1" x14ac:dyDescent="0.3">
      <c r="A1" t="s">
        <v>2701</v>
      </c>
      <c r="B1" s="93" t="s">
        <v>0</v>
      </c>
      <c r="C1" s="93" t="s">
        <v>2382</v>
      </c>
      <c r="D1" s="93" t="s">
        <v>1</v>
      </c>
      <c r="E1" s="93" t="s">
        <v>2</v>
      </c>
      <c r="F1" s="93" t="s">
        <v>3</v>
      </c>
      <c r="G1" s="93" t="s">
        <v>4</v>
      </c>
      <c r="H1" s="93" t="s">
        <v>5</v>
      </c>
      <c r="I1" s="93" t="s">
        <v>6</v>
      </c>
      <c r="J1" s="93" t="s">
        <v>7</v>
      </c>
      <c r="L1" t="s">
        <v>2702</v>
      </c>
      <c r="M1" t="s">
        <v>2703</v>
      </c>
      <c r="N1" t="s">
        <v>2704</v>
      </c>
      <c r="O1" t="s">
        <v>2705</v>
      </c>
      <c r="P1" t="s">
        <v>2706</v>
      </c>
      <c r="Q1" t="s">
        <v>2707</v>
      </c>
      <c r="R1" t="s">
        <v>2708</v>
      </c>
      <c r="S1" t="s">
        <v>2709</v>
      </c>
      <c r="T1" t="s">
        <v>2710</v>
      </c>
      <c r="U1" t="s">
        <v>2711</v>
      </c>
      <c r="V1" t="s">
        <v>2712</v>
      </c>
      <c r="W1" t="s">
        <v>2713</v>
      </c>
      <c r="X1" t="s">
        <v>2714</v>
      </c>
      <c r="Y1" t="s">
        <v>2715</v>
      </c>
      <c r="Z1" t="s">
        <v>2716</v>
      </c>
      <c r="AA1" t="s">
        <v>2717</v>
      </c>
      <c r="AB1" t="s">
        <v>2910</v>
      </c>
      <c r="AC1" t="s">
        <v>2718</v>
      </c>
      <c r="AD1" t="s">
        <v>2719</v>
      </c>
      <c r="AE1" t="s">
        <v>2720</v>
      </c>
      <c r="AF1" t="s">
        <v>2721</v>
      </c>
      <c r="AG1" t="s">
        <v>2722</v>
      </c>
      <c r="AH1" t="s">
        <v>2723</v>
      </c>
      <c r="AI1" t="s">
        <v>2724</v>
      </c>
      <c r="AJ1" t="s">
        <v>2725</v>
      </c>
      <c r="AK1" t="s">
        <v>2726</v>
      </c>
      <c r="AL1" t="s">
        <v>2727</v>
      </c>
      <c r="AM1" t="s">
        <v>2728</v>
      </c>
      <c r="AN1" t="s">
        <v>2729</v>
      </c>
      <c r="AO1" t="s">
        <v>2730</v>
      </c>
      <c r="AP1" t="s">
        <v>2731</v>
      </c>
      <c r="AQ1" t="s">
        <v>2732</v>
      </c>
      <c r="AR1" t="s">
        <v>2733</v>
      </c>
      <c r="AS1" t="s">
        <v>2734</v>
      </c>
      <c r="AT1" t="s">
        <v>2735</v>
      </c>
      <c r="AU1" t="s">
        <v>2736</v>
      </c>
      <c r="AV1" t="s">
        <v>2737</v>
      </c>
      <c r="AW1" t="s">
        <v>2738</v>
      </c>
      <c r="AX1" t="s">
        <v>2739</v>
      </c>
      <c r="AY1" t="s">
        <v>2740</v>
      </c>
      <c r="AZ1" t="s">
        <v>2741</v>
      </c>
      <c r="BA1" t="s">
        <v>2742</v>
      </c>
      <c r="BB1" t="s">
        <v>2743</v>
      </c>
      <c r="BC1" t="s">
        <v>2744</v>
      </c>
      <c r="BD1" t="s">
        <v>2745</v>
      </c>
      <c r="BE1" t="s">
        <v>2746</v>
      </c>
      <c r="BF1" t="s">
        <v>2747</v>
      </c>
      <c r="BG1" t="s">
        <v>2748</v>
      </c>
      <c r="BH1" t="s">
        <v>2749</v>
      </c>
      <c r="BI1" t="s">
        <v>2750</v>
      </c>
      <c r="BJ1" t="s">
        <v>2751</v>
      </c>
      <c r="BK1" t="s">
        <v>2752</v>
      </c>
      <c r="BL1" t="s">
        <v>2753</v>
      </c>
      <c r="BM1" t="s">
        <v>2754</v>
      </c>
      <c r="BN1" t="s">
        <v>2755</v>
      </c>
      <c r="BO1" t="s">
        <v>2756</v>
      </c>
      <c r="BP1" t="s">
        <v>2757</v>
      </c>
      <c r="BQ1" t="s">
        <v>2758</v>
      </c>
      <c r="BR1" t="s">
        <v>2759</v>
      </c>
      <c r="BS1" t="s">
        <v>2760</v>
      </c>
      <c r="BT1" t="s">
        <v>2761</v>
      </c>
      <c r="BU1" t="s">
        <v>2762</v>
      </c>
      <c r="BV1" t="s">
        <v>2763</v>
      </c>
      <c r="BW1" t="s">
        <v>2764</v>
      </c>
      <c r="BX1" t="s">
        <v>2765</v>
      </c>
      <c r="BY1" t="s">
        <v>2766</v>
      </c>
      <c r="BZ1" t="s">
        <v>2767</v>
      </c>
      <c r="CA1" t="s">
        <v>2768</v>
      </c>
      <c r="CB1" t="s">
        <v>2769</v>
      </c>
      <c r="CC1" t="s">
        <v>2770</v>
      </c>
      <c r="CD1" t="s">
        <v>2771</v>
      </c>
      <c r="CE1" t="s">
        <v>2772</v>
      </c>
      <c r="CF1" t="s">
        <v>2773</v>
      </c>
      <c r="CG1" t="s">
        <v>2774</v>
      </c>
      <c r="CH1" t="s">
        <v>2775</v>
      </c>
      <c r="CI1" t="s">
        <v>2776</v>
      </c>
      <c r="CJ1" t="s">
        <v>2777</v>
      </c>
      <c r="CK1" t="s">
        <v>2778</v>
      </c>
      <c r="CL1" t="s">
        <v>2779</v>
      </c>
      <c r="CM1" t="s">
        <v>2780</v>
      </c>
      <c r="CN1" t="s">
        <v>2781</v>
      </c>
      <c r="CO1" t="s">
        <v>2782</v>
      </c>
      <c r="CP1" t="s">
        <v>2783</v>
      </c>
      <c r="CQ1" t="s">
        <v>2784</v>
      </c>
      <c r="CR1" t="s">
        <v>2785</v>
      </c>
      <c r="CS1" t="s">
        <v>2786</v>
      </c>
      <c r="CT1" t="s">
        <v>2787</v>
      </c>
      <c r="CU1" t="s">
        <v>2788</v>
      </c>
      <c r="CV1" t="s">
        <v>2789</v>
      </c>
      <c r="CW1" t="s">
        <v>2790</v>
      </c>
      <c r="CX1" t="s">
        <v>2791</v>
      </c>
      <c r="CY1" t="s">
        <v>2792</v>
      </c>
      <c r="CZ1" t="s">
        <v>2793</v>
      </c>
      <c r="DA1" t="s">
        <v>2794</v>
      </c>
      <c r="DB1" t="s">
        <v>2795</v>
      </c>
      <c r="DC1" t="s">
        <v>2796</v>
      </c>
      <c r="DD1" t="s">
        <v>2797</v>
      </c>
      <c r="DE1" t="s">
        <v>2798</v>
      </c>
      <c r="DF1" t="s">
        <v>2799</v>
      </c>
      <c r="DG1" t="s">
        <v>2800</v>
      </c>
      <c r="DH1" t="s">
        <v>2801</v>
      </c>
      <c r="DI1" t="s">
        <v>2802</v>
      </c>
      <c r="DJ1" t="s">
        <v>2803</v>
      </c>
      <c r="DK1" t="s">
        <v>2804</v>
      </c>
      <c r="DL1" t="s">
        <v>2805</v>
      </c>
      <c r="DM1" t="s">
        <v>2806</v>
      </c>
      <c r="DN1" t="s">
        <v>2807</v>
      </c>
      <c r="DO1" t="s">
        <v>2808</v>
      </c>
      <c r="DP1" t="s">
        <v>2809</v>
      </c>
      <c r="DQ1" t="s">
        <v>2810</v>
      </c>
      <c r="DR1" t="s">
        <v>2811</v>
      </c>
      <c r="DS1" t="s">
        <v>2812</v>
      </c>
      <c r="DT1" t="s">
        <v>2813</v>
      </c>
      <c r="DU1" t="s">
        <v>2814</v>
      </c>
      <c r="DV1" t="s">
        <v>2815</v>
      </c>
      <c r="DW1" t="s">
        <v>2816</v>
      </c>
      <c r="DX1" t="s">
        <v>2817</v>
      </c>
      <c r="DY1" t="s">
        <v>2818</v>
      </c>
      <c r="DZ1" t="s">
        <v>2819</v>
      </c>
      <c r="EA1" t="s">
        <v>2820</v>
      </c>
      <c r="EB1" t="s">
        <v>2821</v>
      </c>
      <c r="EC1" t="s">
        <v>2822</v>
      </c>
      <c r="ED1" t="s">
        <v>2823</v>
      </c>
      <c r="EE1" t="s">
        <v>2824</v>
      </c>
      <c r="EF1" t="s">
        <v>2825</v>
      </c>
      <c r="EG1" t="s">
        <v>2826</v>
      </c>
      <c r="EH1" t="s">
        <v>2827</v>
      </c>
      <c r="EI1" t="s">
        <v>2828</v>
      </c>
      <c r="EJ1" t="s">
        <v>2829</v>
      </c>
      <c r="EK1" t="s">
        <v>2830</v>
      </c>
      <c r="EL1" t="s">
        <v>2831</v>
      </c>
      <c r="EM1" t="s">
        <v>2832</v>
      </c>
      <c r="EN1" t="s">
        <v>2833</v>
      </c>
      <c r="EO1" t="s">
        <v>2834</v>
      </c>
      <c r="EP1" t="s">
        <v>2835</v>
      </c>
      <c r="EQ1" t="s">
        <v>2836</v>
      </c>
      <c r="ER1" t="s">
        <v>2837</v>
      </c>
      <c r="ES1" t="s">
        <v>2838</v>
      </c>
      <c r="ET1" t="s">
        <v>2839</v>
      </c>
      <c r="EU1" t="s">
        <v>2840</v>
      </c>
      <c r="EV1" t="s">
        <v>2841</v>
      </c>
      <c r="EW1" t="s">
        <v>2842</v>
      </c>
      <c r="EX1" t="s">
        <v>2843</v>
      </c>
      <c r="EY1" t="s">
        <v>2844</v>
      </c>
      <c r="EZ1" t="s">
        <v>2845</v>
      </c>
      <c r="FA1" t="s">
        <v>2846</v>
      </c>
      <c r="FB1" t="s">
        <v>2847</v>
      </c>
      <c r="FC1" t="s">
        <v>2848</v>
      </c>
      <c r="FD1" t="s">
        <v>2849</v>
      </c>
      <c r="FE1" t="s">
        <v>2850</v>
      </c>
      <c r="FF1" t="s">
        <v>2851</v>
      </c>
      <c r="FG1" t="s">
        <v>2852</v>
      </c>
      <c r="FH1" t="s">
        <v>2853</v>
      </c>
      <c r="FI1" t="s">
        <v>2854</v>
      </c>
      <c r="FJ1" t="s">
        <v>2855</v>
      </c>
      <c r="FK1" t="s">
        <v>2856</v>
      </c>
      <c r="FL1" t="s">
        <v>2857</v>
      </c>
      <c r="FM1" t="s">
        <v>2858</v>
      </c>
      <c r="FN1" t="s">
        <v>2859</v>
      </c>
      <c r="FO1" t="s">
        <v>2860</v>
      </c>
      <c r="FP1" t="s">
        <v>2861</v>
      </c>
      <c r="FQ1" t="s">
        <v>2862</v>
      </c>
      <c r="FR1" t="s">
        <v>2863</v>
      </c>
      <c r="FS1" t="s">
        <v>2864</v>
      </c>
      <c r="FT1" t="s">
        <v>2865</v>
      </c>
      <c r="FU1" t="s">
        <v>2866</v>
      </c>
      <c r="FV1" t="s">
        <v>2867</v>
      </c>
      <c r="FW1" t="s">
        <v>2868</v>
      </c>
      <c r="FX1" t="s">
        <v>2869</v>
      </c>
      <c r="FY1" t="s">
        <v>2870</v>
      </c>
      <c r="FZ1" t="s">
        <v>2871</v>
      </c>
      <c r="GA1" t="s">
        <v>2872</v>
      </c>
      <c r="GB1" t="s">
        <v>2873</v>
      </c>
      <c r="GC1" t="s">
        <v>2874</v>
      </c>
      <c r="GD1" t="s">
        <v>2875</v>
      </c>
      <c r="GE1" t="s">
        <v>2876</v>
      </c>
      <c r="GF1" t="s">
        <v>2877</v>
      </c>
      <c r="GG1" t="s">
        <v>2878</v>
      </c>
      <c r="GH1" t="s">
        <v>2879</v>
      </c>
      <c r="GI1" t="s">
        <v>2880</v>
      </c>
      <c r="GJ1" t="s">
        <v>2881</v>
      </c>
      <c r="GK1" t="s">
        <v>2882</v>
      </c>
      <c r="GL1" t="s">
        <v>2883</v>
      </c>
      <c r="GM1" t="s">
        <v>2884</v>
      </c>
      <c r="GN1" t="s">
        <v>2885</v>
      </c>
      <c r="GO1" t="s">
        <v>2886</v>
      </c>
      <c r="GP1" t="s">
        <v>2887</v>
      </c>
      <c r="GQ1" t="s">
        <v>2888</v>
      </c>
      <c r="GR1" t="s">
        <v>2889</v>
      </c>
      <c r="GS1" t="s">
        <v>2890</v>
      </c>
      <c r="GT1" t="s">
        <v>2891</v>
      </c>
      <c r="GU1" t="s">
        <v>2892</v>
      </c>
      <c r="GV1" t="s">
        <v>2893</v>
      </c>
      <c r="GW1" t="s">
        <v>2894</v>
      </c>
      <c r="GX1" t="s">
        <v>2895</v>
      </c>
      <c r="GY1" t="s">
        <v>2896</v>
      </c>
      <c r="GZ1" t="s">
        <v>2897</v>
      </c>
      <c r="HA1" t="s">
        <v>2898</v>
      </c>
      <c r="HB1" t="s">
        <v>2899</v>
      </c>
      <c r="HC1" t="s">
        <v>2900</v>
      </c>
      <c r="HD1" t="s">
        <v>2901</v>
      </c>
      <c r="HE1" t="s">
        <v>2902</v>
      </c>
      <c r="HF1" t="s">
        <v>2903</v>
      </c>
      <c r="HG1" t="s">
        <v>2904</v>
      </c>
      <c r="HH1" t="s">
        <v>2905</v>
      </c>
      <c r="HI1" t="s">
        <v>2906</v>
      </c>
      <c r="HJ1" t="s">
        <v>2907</v>
      </c>
      <c r="HK1" t="s">
        <v>2908</v>
      </c>
      <c r="HL1" t="s">
        <v>2909</v>
      </c>
    </row>
    <row r="2" spans="1:224" s="20" customFormat="1" ht="15.75" customHeight="1" x14ac:dyDescent="0.2">
      <c r="A2" s="18" t="s">
        <v>2386</v>
      </c>
      <c r="B2" s="13" t="s">
        <v>0</v>
      </c>
      <c r="C2" s="19"/>
      <c r="D2" s="14" t="s">
        <v>1</v>
      </c>
      <c r="E2" s="14" t="s">
        <v>2</v>
      </c>
      <c r="F2" s="14" t="s">
        <v>3</v>
      </c>
      <c r="G2" s="14" t="s">
        <v>4</v>
      </c>
      <c r="H2" s="14" t="s">
        <v>5</v>
      </c>
      <c r="I2" s="14" t="s">
        <v>6</v>
      </c>
      <c r="J2" s="14" t="s">
        <v>7</v>
      </c>
      <c r="K2" s="14" t="s">
        <v>8</v>
      </c>
      <c r="L2" s="14" t="s">
        <v>1383</v>
      </c>
      <c r="M2" s="14" t="s">
        <v>33</v>
      </c>
      <c r="N2" s="14" t="s">
        <v>1384</v>
      </c>
      <c r="O2" s="14" t="s">
        <v>1385</v>
      </c>
      <c r="P2" s="14"/>
      <c r="Q2" s="14"/>
      <c r="R2" s="14"/>
      <c r="S2" s="14"/>
      <c r="T2" s="14"/>
      <c r="U2" s="14" t="s">
        <v>1386</v>
      </c>
      <c r="V2" s="14" t="s">
        <v>1387</v>
      </c>
      <c r="W2" s="19"/>
      <c r="X2" s="14" t="s">
        <v>1388</v>
      </c>
      <c r="Y2" s="14" t="s">
        <v>2474</v>
      </c>
      <c r="Z2" s="19"/>
      <c r="AA2" s="19"/>
      <c r="AB2" s="19"/>
      <c r="AC2" s="14" t="s">
        <v>1390</v>
      </c>
      <c r="AD2" s="19" t="s">
        <v>33</v>
      </c>
      <c r="AE2" s="14" t="s">
        <v>2473</v>
      </c>
      <c r="AF2" s="14" t="s">
        <v>33</v>
      </c>
      <c r="AG2" s="19" t="s">
        <v>2451</v>
      </c>
      <c r="AH2" s="19"/>
      <c r="AI2" s="19"/>
      <c r="AJ2" s="19"/>
      <c r="AK2" s="19"/>
      <c r="AL2" s="19"/>
      <c r="AM2" s="19" t="s">
        <v>2455</v>
      </c>
      <c r="AN2" s="19"/>
      <c r="AO2" s="19"/>
      <c r="AP2" s="19" t="s">
        <v>2462</v>
      </c>
      <c r="AQ2" s="19"/>
      <c r="AR2" s="19"/>
      <c r="AS2" s="19"/>
      <c r="AT2" s="19" t="s">
        <v>2389</v>
      </c>
      <c r="AU2" s="19" t="s">
        <v>2480</v>
      </c>
      <c r="AV2" s="19"/>
      <c r="AW2" s="19"/>
      <c r="AX2" s="19"/>
      <c r="AY2" s="19"/>
      <c r="AZ2" s="19"/>
      <c r="BA2" s="19"/>
      <c r="BB2" s="19"/>
      <c r="BC2" s="19"/>
      <c r="BD2" s="19"/>
      <c r="BE2" s="19" t="s">
        <v>2484</v>
      </c>
      <c r="BF2" s="19"/>
      <c r="BG2" s="19"/>
      <c r="BH2" s="19"/>
      <c r="BI2" s="19"/>
      <c r="BJ2" s="19"/>
      <c r="BK2" s="19"/>
      <c r="BL2" s="19"/>
      <c r="BM2" s="19"/>
      <c r="BN2" s="19"/>
      <c r="BO2" s="19"/>
      <c r="BP2" s="19"/>
      <c r="BQ2" s="19"/>
      <c r="BR2" s="19"/>
      <c r="BS2" s="19"/>
      <c r="BT2" s="19"/>
      <c r="BU2" s="19" t="s">
        <v>2488</v>
      </c>
      <c r="BV2" s="19"/>
      <c r="BW2" s="19"/>
      <c r="BX2" s="19"/>
      <c r="BY2" s="19"/>
      <c r="BZ2" s="19"/>
      <c r="CA2" s="19"/>
      <c r="CB2" s="19"/>
      <c r="CC2" s="19"/>
      <c r="CD2" s="19"/>
      <c r="CE2" s="19" t="s">
        <v>2491</v>
      </c>
      <c r="CF2" s="19"/>
      <c r="CG2" s="19"/>
      <c r="CH2" s="19"/>
      <c r="CI2" s="19"/>
      <c r="CJ2" s="19"/>
      <c r="CK2" s="19"/>
      <c r="CL2" s="19"/>
      <c r="CM2" s="19"/>
      <c r="CN2" s="19"/>
      <c r="CO2" s="19"/>
      <c r="CP2" s="19"/>
      <c r="CQ2" s="19"/>
      <c r="CR2" s="19"/>
      <c r="CS2" s="19"/>
      <c r="CT2" s="19"/>
      <c r="CU2" s="19"/>
      <c r="CV2" s="19"/>
      <c r="CW2" s="19"/>
      <c r="CX2" s="19"/>
      <c r="CY2" s="19"/>
      <c r="CZ2" s="19"/>
      <c r="DA2" s="19"/>
      <c r="DB2" s="19"/>
      <c r="DC2" s="19"/>
      <c r="DD2" s="19" t="s">
        <v>2493</v>
      </c>
      <c r="DE2" s="19"/>
      <c r="DF2" s="19"/>
      <c r="DG2" s="19" t="s">
        <v>2508</v>
      </c>
      <c r="DN2" s="19"/>
      <c r="DO2" s="19" t="s">
        <v>2511</v>
      </c>
      <c r="DP2" s="19"/>
      <c r="DQ2" s="19"/>
      <c r="DR2" s="19"/>
      <c r="DS2" s="19"/>
      <c r="DT2" s="19"/>
      <c r="DU2" s="19"/>
      <c r="DV2" s="19"/>
      <c r="DW2" s="19" t="s">
        <v>2522</v>
      </c>
      <c r="DX2" s="19"/>
      <c r="DZ2" s="19" t="s">
        <v>1415</v>
      </c>
      <c r="EA2" s="19"/>
      <c r="EB2" s="19" t="s">
        <v>2528</v>
      </c>
      <c r="EC2" s="19"/>
      <c r="ED2" s="19" t="s">
        <v>2535</v>
      </c>
      <c r="EE2" s="19"/>
      <c r="EF2" s="19" t="s">
        <v>2539</v>
      </c>
      <c r="EG2" s="19" t="s">
        <v>18</v>
      </c>
      <c r="EH2" s="19" t="s">
        <v>2544</v>
      </c>
      <c r="EI2" s="19"/>
      <c r="EJ2" s="19"/>
      <c r="EK2" s="19"/>
      <c r="EL2" s="19" t="s">
        <v>2545</v>
      </c>
      <c r="EM2" s="19"/>
      <c r="EN2" s="19"/>
      <c r="EO2" s="19"/>
      <c r="EP2" s="19"/>
      <c r="EQ2" s="19"/>
      <c r="ER2" s="19"/>
      <c r="ES2" s="19"/>
      <c r="ET2" s="19" t="s">
        <v>2554</v>
      </c>
      <c r="EU2" s="19"/>
      <c r="EV2" s="19" t="s">
        <v>1418</v>
      </c>
      <c r="EW2" s="19"/>
      <c r="EX2" s="19"/>
      <c r="EY2" s="19" t="s">
        <v>2557</v>
      </c>
      <c r="EZ2" s="19"/>
      <c r="FA2" s="19" t="s">
        <v>2559</v>
      </c>
      <c r="FB2" s="19" t="s">
        <v>2561</v>
      </c>
      <c r="FC2" s="19" t="s">
        <v>2568</v>
      </c>
      <c r="FD2" s="19" t="s">
        <v>2569</v>
      </c>
      <c r="FE2" s="19"/>
      <c r="FF2" s="19"/>
      <c r="FG2" s="19"/>
      <c r="FH2" s="19"/>
      <c r="FI2" s="19"/>
      <c r="FJ2" s="19"/>
      <c r="FK2" s="19"/>
      <c r="FL2" s="19" t="s">
        <v>2578</v>
      </c>
      <c r="FM2" s="19"/>
      <c r="FN2" s="19"/>
      <c r="FO2" s="19"/>
      <c r="FP2" s="19"/>
      <c r="FQ2" s="19"/>
      <c r="FR2" s="19"/>
      <c r="FS2" s="19"/>
      <c r="FT2" s="19" t="s">
        <v>17</v>
      </c>
      <c r="FU2" s="19"/>
      <c r="FV2" s="19" t="s">
        <v>23</v>
      </c>
      <c r="FW2" s="19"/>
      <c r="FX2" s="19"/>
      <c r="FY2" s="19"/>
      <c r="FZ2" s="19"/>
      <c r="GA2" s="19"/>
      <c r="GB2" s="19"/>
      <c r="GC2" s="19"/>
      <c r="GD2" s="19"/>
      <c r="GE2" s="19" t="s">
        <v>21</v>
      </c>
      <c r="GF2" s="19"/>
      <c r="GG2" s="19" t="s">
        <v>24</v>
      </c>
      <c r="GH2" s="19"/>
      <c r="GI2" s="19"/>
      <c r="GJ2" s="19"/>
      <c r="GK2" s="19"/>
      <c r="GL2" s="19"/>
      <c r="GM2" s="19"/>
      <c r="GN2" s="19"/>
      <c r="GO2" s="19"/>
      <c r="GP2" s="19"/>
      <c r="GQ2" s="19"/>
      <c r="GR2" s="19"/>
      <c r="GS2" s="19"/>
      <c r="GT2" s="19" t="s">
        <v>25</v>
      </c>
      <c r="GU2" s="19"/>
      <c r="GV2" s="19" t="s">
        <v>26</v>
      </c>
      <c r="GW2" s="19" t="s">
        <v>27</v>
      </c>
      <c r="GX2" s="19"/>
      <c r="GY2" s="19"/>
      <c r="GZ2" s="19"/>
      <c r="HA2" s="19"/>
      <c r="HB2" s="19"/>
      <c r="HC2" s="19"/>
      <c r="HD2" s="19"/>
      <c r="HE2" s="19"/>
      <c r="HF2" s="19"/>
      <c r="HG2" s="19"/>
      <c r="HH2" s="19"/>
      <c r="HI2" s="19"/>
      <c r="HJ2" s="19"/>
      <c r="HK2" s="19" t="s">
        <v>28</v>
      </c>
      <c r="HL2" s="19" t="s">
        <v>25</v>
      </c>
      <c r="HM2" s="19" t="s">
        <v>29</v>
      </c>
      <c r="HN2" s="19" t="s">
        <v>30</v>
      </c>
      <c r="HO2" s="19" t="s">
        <v>31</v>
      </c>
      <c r="HP2" s="19" t="s">
        <v>32</v>
      </c>
    </row>
    <row r="3" spans="1:224" s="20" customFormat="1" ht="18" customHeight="1" thickBot="1" x14ac:dyDescent="0.25">
      <c r="A3" s="21" t="s">
        <v>2384</v>
      </c>
      <c r="B3" s="15" t="s">
        <v>0</v>
      </c>
      <c r="C3" s="16"/>
      <c r="D3" s="16" t="s">
        <v>1</v>
      </c>
      <c r="E3" s="16" t="s">
        <v>2</v>
      </c>
      <c r="F3" s="16" t="s">
        <v>3</v>
      </c>
      <c r="G3" s="16" t="s">
        <v>4</v>
      </c>
      <c r="H3" s="16" t="s">
        <v>5</v>
      </c>
      <c r="I3" s="16" t="s">
        <v>6</v>
      </c>
      <c r="J3" s="16" t="s">
        <v>7</v>
      </c>
      <c r="K3" s="16" t="s">
        <v>8</v>
      </c>
      <c r="L3" s="16" t="s">
        <v>1257</v>
      </c>
      <c r="M3" s="16"/>
      <c r="N3" s="16" t="s">
        <v>1258</v>
      </c>
      <c r="O3" s="16" t="s">
        <v>1307</v>
      </c>
      <c r="P3" s="16"/>
      <c r="Q3" s="16"/>
      <c r="R3" s="16"/>
      <c r="S3" s="16"/>
      <c r="T3" s="16"/>
      <c r="U3" s="16" t="s">
        <v>1317</v>
      </c>
      <c r="V3" s="16" t="s">
        <v>1319</v>
      </c>
      <c r="W3" s="22"/>
      <c r="X3" s="16" t="s">
        <v>9</v>
      </c>
      <c r="Y3" s="23"/>
      <c r="Z3" s="16" t="s">
        <v>10</v>
      </c>
      <c r="AA3" s="16" t="s">
        <v>11</v>
      </c>
      <c r="AB3" s="16" t="s">
        <v>12</v>
      </c>
      <c r="AC3" s="16" t="s">
        <v>2432</v>
      </c>
      <c r="AD3" s="22" t="s">
        <v>33</v>
      </c>
      <c r="AE3" s="16" t="s">
        <v>2433</v>
      </c>
      <c r="AF3" s="16" t="s">
        <v>33</v>
      </c>
      <c r="AG3" s="16" t="s">
        <v>2452</v>
      </c>
      <c r="AH3" s="16"/>
      <c r="AI3" s="16"/>
      <c r="AJ3" s="16"/>
      <c r="AK3" s="16"/>
      <c r="AL3" s="16"/>
      <c r="AM3" s="16" t="s">
        <v>2456</v>
      </c>
      <c r="AN3" s="16"/>
      <c r="AO3" s="16"/>
      <c r="AP3" s="16" t="s">
        <v>2462</v>
      </c>
      <c r="AQ3" s="16"/>
      <c r="AR3" s="16"/>
      <c r="AS3" s="16"/>
      <c r="AT3" s="16"/>
      <c r="AU3" s="16" t="s">
        <v>2481</v>
      </c>
      <c r="AV3" s="16"/>
      <c r="AW3" s="16"/>
      <c r="AX3" s="16"/>
      <c r="AY3" s="16"/>
      <c r="AZ3" s="16"/>
      <c r="BA3" s="16"/>
      <c r="BB3" s="16"/>
      <c r="BC3" s="16"/>
      <c r="BD3" s="16"/>
      <c r="BE3" s="16" t="s">
        <v>2485</v>
      </c>
      <c r="BF3" s="16"/>
      <c r="BG3" s="16"/>
      <c r="BH3" s="16"/>
      <c r="BI3" s="16"/>
      <c r="BJ3" s="16"/>
      <c r="BK3" s="16"/>
      <c r="BL3" s="16"/>
      <c r="BM3" s="16"/>
      <c r="BN3" s="16"/>
      <c r="BO3" s="16"/>
      <c r="BP3" s="16"/>
      <c r="BQ3" s="16"/>
      <c r="BR3" s="16"/>
      <c r="BS3" s="16"/>
      <c r="BT3" s="16"/>
      <c r="BU3" s="16" t="s">
        <v>2488</v>
      </c>
      <c r="BV3" s="16"/>
      <c r="BW3" s="16"/>
      <c r="BX3" s="16"/>
      <c r="BY3" s="16"/>
      <c r="BZ3" s="16"/>
      <c r="CA3" s="16"/>
      <c r="CB3" s="16"/>
      <c r="CC3" s="16"/>
      <c r="CD3" s="16"/>
      <c r="CE3" s="16" t="s">
        <v>2492</v>
      </c>
      <c r="CF3" s="16"/>
      <c r="CG3" s="16"/>
      <c r="CH3" s="16"/>
      <c r="CI3" s="16"/>
      <c r="CJ3" s="16"/>
      <c r="CK3" s="16"/>
      <c r="CL3" s="16"/>
      <c r="CM3" s="16"/>
      <c r="CN3" s="16"/>
      <c r="CO3" s="16"/>
      <c r="CP3" s="16"/>
      <c r="CQ3" s="16"/>
      <c r="CR3" s="16"/>
      <c r="CS3" s="16"/>
      <c r="CT3" s="16"/>
      <c r="CU3" s="16"/>
      <c r="CV3" s="16"/>
      <c r="CW3" s="16"/>
      <c r="CX3" s="16"/>
      <c r="CY3" s="16"/>
      <c r="CZ3" s="16"/>
      <c r="DA3" s="16"/>
      <c r="DB3" s="16"/>
      <c r="DC3" s="16"/>
      <c r="DD3" s="16" t="s">
        <v>2494</v>
      </c>
      <c r="DE3" s="16"/>
      <c r="DF3" s="16"/>
      <c r="DG3" s="16" t="s">
        <v>2508</v>
      </c>
      <c r="DH3" s="16"/>
      <c r="DI3" s="16"/>
      <c r="DJ3" s="16"/>
      <c r="DK3" s="16"/>
      <c r="DL3" s="16"/>
      <c r="DM3" s="16"/>
      <c r="DN3" s="16"/>
      <c r="DO3" s="16" t="s">
        <v>2511</v>
      </c>
      <c r="DP3" s="16"/>
      <c r="DQ3" s="16"/>
      <c r="DR3" s="16"/>
      <c r="DS3" s="16"/>
      <c r="DT3" s="16"/>
      <c r="DU3" s="16"/>
      <c r="DV3" s="16"/>
      <c r="DW3" s="16" t="s">
        <v>2522</v>
      </c>
      <c r="DX3" s="16"/>
      <c r="DY3" s="16"/>
      <c r="DZ3" s="16"/>
      <c r="EA3" s="16"/>
      <c r="EB3" s="16" t="s">
        <v>2529</v>
      </c>
      <c r="EC3" s="16"/>
      <c r="ED3" s="16" t="s">
        <v>2536</v>
      </c>
      <c r="EE3" s="16"/>
      <c r="EF3" s="16" t="s">
        <v>2540</v>
      </c>
      <c r="EG3" s="16" t="s">
        <v>18</v>
      </c>
      <c r="EH3" s="16" t="s">
        <v>2544</v>
      </c>
      <c r="EI3" s="16"/>
      <c r="EJ3" s="16"/>
      <c r="EK3" s="16"/>
      <c r="EL3" s="16" t="s">
        <v>2545</v>
      </c>
      <c r="EM3" s="16"/>
      <c r="EN3" s="16"/>
      <c r="EO3" s="16"/>
      <c r="EP3" s="16"/>
      <c r="EQ3" s="16"/>
      <c r="ER3" s="16"/>
      <c r="ES3" s="16"/>
      <c r="ET3" s="16" t="s">
        <v>2554</v>
      </c>
      <c r="EU3" s="16"/>
      <c r="EV3" s="23"/>
      <c r="EW3" s="16"/>
      <c r="EX3" s="16"/>
      <c r="EY3" s="16" t="s">
        <v>2558</v>
      </c>
      <c r="EZ3" s="16"/>
      <c r="FA3" s="16" t="s">
        <v>2560</v>
      </c>
      <c r="FB3" s="16" t="s">
        <v>2562</v>
      </c>
      <c r="FC3" s="23"/>
      <c r="FD3" s="16" t="s">
        <v>2569</v>
      </c>
      <c r="FE3" s="16"/>
      <c r="FF3" s="16"/>
      <c r="FG3" s="16"/>
      <c r="FH3" s="16"/>
      <c r="FI3" s="16"/>
      <c r="FJ3" s="16"/>
      <c r="FK3" s="16"/>
      <c r="FL3" s="16" t="s">
        <v>2578</v>
      </c>
      <c r="FM3" s="16"/>
      <c r="FN3" s="16"/>
      <c r="FO3" s="16"/>
      <c r="FP3" s="16"/>
      <c r="FQ3" s="16"/>
      <c r="FR3" s="16"/>
      <c r="FS3" s="16"/>
      <c r="FT3" s="16" t="s">
        <v>17</v>
      </c>
      <c r="FU3" s="16"/>
      <c r="FV3" s="16" t="s">
        <v>23</v>
      </c>
      <c r="FW3" s="16"/>
      <c r="FX3" s="16"/>
      <c r="FY3" s="16"/>
      <c r="FZ3" s="16"/>
      <c r="GA3" s="16"/>
      <c r="GB3" s="16"/>
      <c r="GC3" s="16"/>
      <c r="GD3" s="16"/>
      <c r="GE3" s="16" t="s">
        <v>21</v>
      </c>
      <c r="GF3" s="16"/>
      <c r="GG3" s="16" t="s">
        <v>24</v>
      </c>
      <c r="GH3" s="16"/>
      <c r="GI3" s="16"/>
      <c r="GJ3" s="16"/>
      <c r="GK3" s="16"/>
      <c r="GL3" s="16"/>
      <c r="GM3" s="16"/>
      <c r="GN3" s="16"/>
      <c r="GO3" s="16"/>
      <c r="GP3" s="16"/>
      <c r="GQ3" s="16"/>
      <c r="GR3" s="16"/>
      <c r="GS3" s="16"/>
      <c r="GT3" s="16" t="s">
        <v>25</v>
      </c>
      <c r="GU3" s="16"/>
      <c r="GV3" s="16" t="s">
        <v>26</v>
      </c>
      <c r="GW3" s="16" t="s">
        <v>27</v>
      </c>
      <c r="GX3" s="16"/>
      <c r="GY3" s="16"/>
      <c r="GZ3" s="16"/>
      <c r="HA3" s="16"/>
      <c r="HB3" s="16"/>
      <c r="HC3" s="16"/>
      <c r="HD3" s="16"/>
      <c r="HE3" s="16"/>
      <c r="HF3" s="16"/>
      <c r="HG3" s="16"/>
      <c r="HH3" s="16"/>
      <c r="HI3" s="16"/>
      <c r="HJ3" s="16"/>
      <c r="HK3" s="16" t="s">
        <v>28</v>
      </c>
      <c r="HL3" s="16" t="s">
        <v>25</v>
      </c>
      <c r="HM3" s="16" t="s">
        <v>29</v>
      </c>
      <c r="HN3" s="16" t="s">
        <v>30</v>
      </c>
      <c r="HO3" s="16" t="s">
        <v>31</v>
      </c>
      <c r="HP3" s="17" t="s">
        <v>32</v>
      </c>
    </row>
    <row r="4" spans="1:224" s="92" customFormat="1" ht="128.25" customHeight="1" x14ac:dyDescent="0.25">
      <c r="A4" s="91" t="s">
        <v>2385</v>
      </c>
      <c r="B4" s="106" t="s">
        <v>0</v>
      </c>
      <c r="C4" s="107" t="s">
        <v>2382</v>
      </c>
      <c r="D4" s="107" t="s">
        <v>1</v>
      </c>
      <c r="E4" s="107" t="s">
        <v>2</v>
      </c>
      <c r="F4" s="107" t="s">
        <v>3</v>
      </c>
      <c r="G4" s="107" t="s">
        <v>4</v>
      </c>
      <c r="H4" s="107" t="s">
        <v>5</v>
      </c>
      <c r="I4" s="107" t="s">
        <v>6</v>
      </c>
      <c r="J4" s="107" t="s">
        <v>7</v>
      </c>
      <c r="K4" s="107" t="s">
        <v>8</v>
      </c>
      <c r="L4" s="107" t="s">
        <v>1255</v>
      </c>
      <c r="M4" s="107" t="s">
        <v>1256</v>
      </c>
      <c r="N4" s="108" t="s">
        <v>1259</v>
      </c>
      <c r="O4" s="107" t="s">
        <v>35</v>
      </c>
      <c r="P4" s="107" t="s">
        <v>36</v>
      </c>
      <c r="Q4" s="107" t="s">
        <v>37</v>
      </c>
      <c r="R4" s="107" t="s">
        <v>38</v>
      </c>
      <c r="S4" s="107" t="s">
        <v>39</v>
      </c>
      <c r="T4" s="107" t="s">
        <v>40</v>
      </c>
      <c r="U4" s="109" t="s">
        <v>1318</v>
      </c>
      <c r="V4" s="107" t="s">
        <v>34</v>
      </c>
      <c r="W4" s="109" t="s">
        <v>1371</v>
      </c>
      <c r="X4" s="109" t="s">
        <v>2387</v>
      </c>
      <c r="Y4" s="109" t="s">
        <v>2472</v>
      </c>
      <c r="Z4" s="107" t="s">
        <v>2388</v>
      </c>
      <c r="AA4" s="107" t="s">
        <v>1260</v>
      </c>
      <c r="AB4" s="107" t="s">
        <v>1261</v>
      </c>
      <c r="AC4" s="107" t="s">
        <v>1262</v>
      </c>
      <c r="AD4" s="107" t="s">
        <v>33</v>
      </c>
      <c r="AE4" s="107" t="s">
        <v>1263</v>
      </c>
      <c r="AF4" s="107" t="s">
        <v>1264</v>
      </c>
      <c r="AG4" s="107" t="s">
        <v>41</v>
      </c>
      <c r="AH4" s="107" t="s">
        <v>2448</v>
      </c>
      <c r="AI4" s="107" t="s">
        <v>42</v>
      </c>
      <c r="AJ4" s="107" t="s">
        <v>2449</v>
      </c>
      <c r="AK4" s="107" t="s">
        <v>43</v>
      </c>
      <c r="AL4" s="107" t="s">
        <v>2450</v>
      </c>
      <c r="AM4" s="107" t="s">
        <v>44</v>
      </c>
      <c r="AN4" s="107" t="s">
        <v>45</v>
      </c>
      <c r="AO4" s="107" t="s">
        <v>46</v>
      </c>
      <c r="AP4" s="107" t="s">
        <v>47</v>
      </c>
      <c r="AQ4" s="107" t="s">
        <v>48</v>
      </c>
      <c r="AR4" s="107" t="s">
        <v>49</v>
      </c>
      <c r="AS4" s="107" t="s">
        <v>50</v>
      </c>
      <c r="AT4" s="109" t="s">
        <v>2390</v>
      </c>
      <c r="AU4" s="109" t="s">
        <v>51</v>
      </c>
      <c r="AV4" s="107" t="s">
        <v>52</v>
      </c>
      <c r="AW4" s="107" t="s">
        <v>53</v>
      </c>
      <c r="AX4" s="107" t="s">
        <v>54</v>
      </c>
      <c r="AY4" s="107" t="s">
        <v>55</v>
      </c>
      <c r="AZ4" s="107" t="s">
        <v>56</v>
      </c>
      <c r="BA4" s="107" t="s">
        <v>57</v>
      </c>
      <c r="BB4" s="107" t="s">
        <v>58</v>
      </c>
      <c r="BC4" s="107" t="s">
        <v>59</v>
      </c>
      <c r="BD4" s="109" t="s">
        <v>60</v>
      </c>
      <c r="BE4" s="107" t="s">
        <v>61</v>
      </c>
      <c r="BF4" s="107" t="s">
        <v>62</v>
      </c>
      <c r="BG4" s="107" t="s">
        <v>63</v>
      </c>
      <c r="BH4" s="107" t="s">
        <v>64</v>
      </c>
      <c r="BI4" s="107" t="s">
        <v>65</v>
      </c>
      <c r="BJ4" s="107" t="s">
        <v>66</v>
      </c>
      <c r="BK4" s="107" t="s">
        <v>67</v>
      </c>
      <c r="BL4" s="107" t="s">
        <v>68</v>
      </c>
      <c r="BM4" s="107" t="s">
        <v>69</v>
      </c>
      <c r="BN4" s="107" t="s">
        <v>70</v>
      </c>
      <c r="BO4" s="107" t="s">
        <v>71</v>
      </c>
      <c r="BP4" s="107" t="s">
        <v>72</v>
      </c>
      <c r="BQ4" s="107" t="s">
        <v>73</v>
      </c>
      <c r="BR4" s="107" t="s">
        <v>74</v>
      </c>
      <c r="BS4" s="107" t="s">
        <v>75</v>
      </c>
      <c r="BT4" s="107" t="s">
        <v>76</v>
      </c>
      <c r="BU4" s="107" t="s">
        <v>77</v>
      </c>
      <c r="BV4" s="107" t="s">
        <v>78</v>
      </c>
      <c r="BW4" s="107" t="s">
        <v>79</v>
      </c>
      <c r="BX4" s="107" t="s">
        <v>80</v>
      </c>
      <c r="BY4" s="107" t="s">
        <v>81</v>
      </c>
      <c r="BZ4" s="107" t="s">
        <v>82</v>
      </c>
      <c r="CA4" s="107" t="s">
        <v>83</v>
      </c>
      <c r="CB4" s="107" t="s">
        <v>84</v>
      </c>
      <c r="CC4" s="107" t="s">
        <v>85</v>
      </c>
      <c r="CD4" s="107" t="s">
        <v>1265</v>
      </c>
      <c r="CE4" s="107" t="s">
        <v>86</v>
      </c>
      <c r="CF4" s="107" t="s">
        <v>87</v>
      </c>
      <c r="CG4" s="107" t="s">
        <v>88</v>
      </c>
      <c r="CH4" s="107" t="s">
        <v>89</v>
      </c>
      <c r="CI4" s="107" t="s">
        <v>90</v>
      </c>
      <c r="CJ4" s="107" t="s">
        <v>91</v>
      </c>
      <c r="CK4" s="107" t="s">
        <v>92</v>
      </c>
      <c r="CL4" s="107" t="s">
        <v>93</v>
      </c>
      <c r="CM4" s="107" t="s">
        <v>94</v>
      </c>
      <c r="CN4" s="107" t="s">
        <v>95</v>
      </c>
      <c r="CO4" s="107" t="s">
        <v>96</v>
      </c>
      <c r="CP4" s="107" t="s">
        <v>97</v>
      </c>
      <c r="CQ4" s="107" t="s">
        <v>98</v>
      </c>
      <c r="CR4" s="107" t="s">
        <v>99</v>
      </c>
      <c r="CS4" s="107" t="s">
        <v>100</v>
      </c>
      <c r="CT4" s="107" t="s">
        <v>101</v>
      </c>
      <c r="CU4" s="107" t="s">
        <v>102</v>
      </c>
      <c r="CV4" s="107" t="s">
        <v>103</v>
      </c>
      <c r="CW4" s="107" t="s">
        <v>104</v>
      </c>
      <c r="CX4" s="107" t="s">
        <v>105</v>
      </c>
      <c r="CY4" s="107" t="s">
        <v>106</v>
      </c>
      <c r="CZ4" s="107" t="s">
        <v>107</v>
      </c>
      <c r="DA4" s="107" t="s">
        <v>108</v>
      </c>
      <c r="DB4" s="107" t="s">
        <v>109</v>
      </c>
      <c r="DC4" s="107" t="s">
        <v>1266</v>
      </c>
      <c r="DD4" s="107" t="s">
        <v>1267</v>
      </c>
      <c r="DE4" s="107" t="s">
        <v>1268</v>
      </c>
      <c r="DF4" s="107" t="s">
        <v>1269</v>
      </c>
      <c r="DG4" s="107" t="s">
        <v>110</v>
      </c>
      <c r="DH4" s="107" t="s">
        <v>111</v>
      </c>
      <c r="DI4" s="107" t="s">
        <v>112</v>
      </c>
      <c r="DJ4" s="107" t="s">
        <v>113</v>
      </c>
      <c r="DK4" s="107" t="s">
        <v>114</v>
      </c>
      <c r="DL4" s="107" t="s">
        <v>115</v>
      </c>
      <c r="DM4" s="107" t="s">
        <v>116</v>
      </c>
      <c r="DN4" s="107" t="s">
        <v>117</v>
      </c>
      <c r="DO4" s="107" t="s">
        <v>2512</v>
      </c>
      <c r="DP4" s="107" t="s">
        <v>2513</v>
      </c>
      <c r="DQ4" s="107" t="s">
        <v>2514</v>
      </c>
      <c r="DR4" s="107" t="s">
        <v>2515</v>
      </c>
      <c r="DS4" s="107" t="s">
        <v>2516</v>
      </c>
      <c r="DT4" s="107" t="s">
        <v>2517</v>
      </c>
      <c r="DU4" s="107" t="s">
        <v>2518</v>
      </c>
      <c r="DV4" s="109" t="s">
        <v>2521</v>
      </c>
      <c r="DW4" s="107" t="s">
        <v>118</v>
      </c>
      <c r="DX4" s="107" t="s">
        <v>119</v>
      </c>
      <c r="DY4" s="107" t="s">
        <v>120</v>
      </c>
      <c r="DZ4" s="109" t="s">
        <v>2391</v>
      </c>
      <c r="EA4" s="107" t="s">
        <v>121</v>
      </c>
      <c r="EB4" s="109" t="s">
        <v>2531</v>
      </c>
      <c r="EC4" s="107" t="s">
        <v>1270</v>
      </c>
      <c r="ED4" s="109" t="s">
        <v>2537</v>
      </c>
      <c r="EE4" s="107" t="s">
        <v>1271</v>
      </c>
      <c r="EF4" s="109" t="s">
        <v>2541</v>
      </c>
      <c r="EG4" s="107" t="s">
        <v>1272</v>
      </c>
      <c r="EH4" s="107" t="s">
        <v>1273</v>
      </c>
      <c r="EI4" s="107" t="s">
        <v>1274</v>
      </c>
      <c r="EJ4" s="107" t="s">
        <v>1275</v>
      </c>
      <c r="EK4" s="107" t="s">
        <v>1276</v>
      </c>
      <c r="EL4" s="109" t="s">
        <v>2547</v>
      </c>
      <c r="EM4" s="109" t="s">
        <v>2548</v>
      </c>
      <c r="EN4" s="109" t="s">
        <v>2549</v>
      </c>
      <c r="EO4" s="109" t="s">
        <v>2550</v>
      </c>
      <c r="EP4" s="109" t="s">
        <v>2551</v>
      </c>
      <c r="EQ4" s="109" t="s">
        <v>2552</v>
      </c>
      <c r="ER4" s="109" t="s">
        <v>2553</v>
      </c>
      <c r="ES4" s="107" t="s">
        <v>1277</v>
      </c>
      <c r="ET4" s="107" t="s">
        <v>128</v>
      </c>
      <c r="EU4" s="107" t="s">
        <v>129</v>
      </c>
      <c r="EV4" s="107" t="s">
        <v>130</v>
      </c>
      <c r="EW4" s="109" t="s">
        <v>2392</v>
      </c>
      <c r="EX4" s="109" t="s">
        <v>1278</v>
      </c>
      <c r="EY4" s="109" t="s">
        <v>2564</v>
      </c>
      <c r="EZ4" s="107" t="s">
        <v>1279</v>
      </c>
      <c r="FA4" s="109" t="s">
        <v>2566</v>
      </c>
      <c r="FB4" s="109" t="s">
        <v>2567</v>
      </c>
      <c r="FC4" s="109" t="s">
        <v>2393</v>
      </c>
      <c r="FD4" s="109" t="s">
        <v>2570</v>
      </c>
      <c r="FE4" s="109" t="s">
        <v>2571</v>
      </c>
      <c r="FF4" s="109" t="s">
        <v>2572</v>
      </c>
      <c r="FG4" s="109" t="s">
        <v>2573</v>
      </c>
      <c r="FH4" s="109" t="s">
        <v>2574</v>
      </c>
      <c r="FI4" s="109" t="s">
        <v>2575</v>
      </c>
      <c r="FJ4" s="109" t="s">
        <v>2576</v>
      </c>
      <c r="FK4" s="107" t="s">
        <v>1280</v>
      </c>
      <c r="FL4" s="109" t="s">
        <v>2579</v>
      </c>
      <c r="FM4" s="109" t="s">
        <v>2580</v>
      </c>
      <c r="FN4" s="109" t="s">
        <v>2581</v>
      </c>
      <c r="FO4" s="109" t="s">
        <v>2582</v>
      </c>
      <c r="FP4" s="109" t="s">
        <v>2583</v>
      </c>
      <c r="FQ4" s="109" t="s">
        <v>2584</v>
      </c>
      <c r="FR4" s="109" t="s">
        <v>2585</v>
      </c>
      <c r="FS4" s="107" t="s">
        <v>1281</v>
      </c>
      <c r="FT4" s="107" t="s">
        <v>1282</v>
      </c>
      <c r="FU4" s="107" t="s">
        <v>1283</v>
      </c>
      <c r="FV4" s="107" t="s">
        <v>1284</v>
      </c>
      <c r="FW4" s="107" t="s">
        <v>131</v>
      </c>
      <c r="FX4" s="107" t="s">
        <v>132</v>
      </c>
      <c r="FY4" s="107" t="s">
        <v>133</v>
      </c>
      <c r="FZ4" s="107" t="s">
        <v>1285</v>
      </c>
      <c r="GA4" s="107" t="s">
        <v>134</v>
      </c>
      <c r="GB4" s="107" t="s">
        <v>135</v>
      </c>
      <c r="GC4" s="107" t="s">
        <v>136</v>
      </c>
      <c r="GD4" s="107" t="s">
        <v>137</v>
      </c>
      <c r="GE4" s="107" t="s">
        <v>1286</v>
      </c>
      <c r="GF4" s="107" t="s">
        <v>1287</v>
      </c>
      <c r="GG4" s="107" t="s">
        <v>1288</v>
      </c>
      <c r="GH4" s="107" t="s">
        <v>138</v>
      </c>
      <c r="GI4" s="107" t="s">
        <v>139</v>
      </c>
      <c r="GJ4" s="107" t="s">
        <v>140</v>
      </c>
      <c r="GK4" s="107" t="s">
        <v>141</v>
      </c>
      <c r="GL4" s="107" t="s">
        <v>142</v>
      </c>
      <c r="GM4" s="107" t="s">
        <v>143</v>
      </c>
      <c r="GN4" s="107" t="s">
        <v>144</v>
      </c>
      <c r="GO4" s="107" t="s">
        <v>145</v>
      </c>
      <c r="GP4" s="107" t="s">
        <v>146</v>
      </c>
      <c r="GQ4" s="107" t="s">
        <v>147</v>
      </c>
      <c r="GR4" s="107" t="s">
        <v>148</v>
      </c>
      <c r="GS4" s="107" t="s">
        <v>149</v>
      </c>
      <c r="GT4" s="107" t="s">
        <v>1289</v>
      </c>
      <c r="GU4" s="107" t="s">
        <v>1290</v>
      </c>
      <c r="GV4" s="107" t="s">
        <v>1291</v>
      </c>
      <c r="GW4" s="107" t="s">
        <v>150</v>
      </c>
      <c r="GX4" s="107" t="s">
        <v>151</v>
      </c>
      <c r="GY4" s="107" t="s">
        <v>152</v>
      </c>
      <c r="GZ4" s="107" t="s">
        <v>153</v>
      </c>
      <c r="HA4" s="107" t="s">
        <v>154</v>
      </c>
      <c r="HB4" s="107" t="s">
        <v>155</v>
      </c>
      <c r="HC4" s="107" t="s">
        <v>156</v>
      </c>
      <c r="HD4" s="107" t="s">
        <v>157</v>
      </c>
      <c r="HE4" s="107" t="s">
        <v>158</v>
      </c>
      <c r="HF4" s="107" t="s">
        <v>159</v>
      </c>
      <c r="HG4" s="107" t="s">
        <v>160</v>
      </c>
      <c r="HH4" s="107" t="s">
        <v>161</v>
      </c>
      <c r="HI4" s="107" t="s">
        <v>162</v>
      </c>
      <c r="HJ4" s="107" t="s">
        <v>1292</v>
      </c>
      <c r="HK4" s="107" t="s">
        <v>1293</v>
      </c>
      <c r="HL4" s="107" t="s">
        <v>1294</v>
      </c>
      <c r="HM4" s="107" t="s">
        <v>1295</v>
      </c>
      <c r="HN4" s="107" t="s">
        <v>1296</v>
      </c>
      <c r="HO4" s="107" t="s">
        <v>1297</v>
      </c>
      <c r="HP4" s="107" t="s">
        <v>1298</v>
      </c>
    </row>
    <row r="5" spans="1:224" x14ac:dyDescent="0.25">
      <c r="B5">
        <v>10663495805</v>
      </c>
      <c r="C5" t="s">
        <v>1459</v>
      </c>
      <c r="D5">
        <v>224043989</v>
      </c>
      <c r="E5" s="2">
        <v>43570.393530092602</v>
      </c>
      <c r="F5" s="2">
        <v>43570.43577546296</v>
      </c>
      <c r="G5" t="s">
        <v>163</v>
      </c>
      <c r="L5" t="s">
        <v>164</v>
      </c>
      <c r="N5">
        <v>1500</v>
      </c>
      <c r="O5">
        <v>60</v>
      </c>
      <c r="P5">
        <v>0</v>
      </c>
      <c r="Q5">
        <v>35</v>
      </c>
      <c r="R5">
        <v>5</v>
      </c>
      <c r="S5">
        <v>0</v>
      </c>
      <c r="T5">
        <v>0</v>
      </c>
      <c r="U5" s="8" t="s">
        <v>1381</v>
      </c>
      <c r="V5" t="s">
        <v>165</v>
      </c>
      <c r="W5" t="s">
        <v>1322</v>
      </c>
      <c r="X5" t="s">
        <v>166</v>
      </c>
      <c r="Z5" t="s">
        <v>167</v>
      </c>
      <c r="AA5" t="s">
        <v>168</v>
      </c>
      <c r="AB5" t="s">
        <v>2502</v>
      </c>
      <c r="AC5" t="s">
        <v>167</v>
      </c>
      <c r="AE5" t="s">
        <v>167</v>
      </c>
      <c r="AG5" t="s">
        <v>169</v>
      </c>
      <c r="AH5" t="s">
        <v>169</v>
      </c>
      <c r="AI5" t="s">
        <v>170</v>
      </c>
      <c r="AJ5" t="s">
        <v>2438</v>
      </c>
      <c r="AK5" t="s">
        <v>171</v>
      </c>
      <c r="AL5" t="s">
        <v>2438</v>
      </c>
      <c r="AM5" t="s">
        <v>172</v>
      </c>
      <c r="AN5" t="s">
        <v>173</v>
      </c>
      <c r="AO5" t="s">
        <v>174</v>
      </c>
      <c r="AP5" t="s">
        <v>175</v>
      </c>
      <c r="AQ5" t="s">
        <v>175</v>
      </c>
      <c r="AR5" t="s">
        <v>175</v>
      </c>
      <c r="AS5" t="s">
        <v>175</v>
      </c>
      <c r="AU5" t="s">
        <v>176</v>
      </c>
      <c r="AW5" t="s">
        <v>177</v>
      </c>
      <c r="AX5" t="s">
        <v>178</v>
      </c>
      <c r="AZ5" t="s">
        <v>177</v>
      </c>
      <c r="BD5" t="s">
        <v>179</v>
      </c>
      <c r="BE5" t="s">
        <v>180</v>
      </c>
      <c r="BG5" t="s">
        <v>177</v>
      </c>
      <c r="BH5" t="s">
        <v>181</v>
      </c>
      <c r="BJ5" t="s">
        <v>177</v>
      </c>
      <c r="BK5" t="s">
        <v>182</v>
      </c>
      <c r="BM5" t="s">
        <v>177</v>
      </c>
      <c r="BN5" t="s">
        <v>183</v>
      </c>
      <c r="BP5" t="s">
        <v>177</v>
      </c>
      <c r="BU5" t="s">
        <v>184</v>
      </c>
      <c r="BW5" t="s">
        <v>177</v>
      </c>
      <c r="BX5" t="s">
        <v>185</v>
      </c>
      <c r="BZ5" t="s">
        <v>177</v>
      </c>
      <c r="CE5" t="s">
        <v>186</v>
      </c>
      <c r="CG5" t="s">
        <v>177</v>
      </c>
      <c r="CH5" t="s">
        <v>187</v>
      </c>
      <c r="CJ5" t="s">
        <v>177</v>
      </c>
      <c r="CK5" t="s">
        <v>188</v>
      </c>
      <c r="CM5" t="s">
        <v>177</v>
      </c>
      <c r="CN5" t="s">
        <v>189</v>
      </c>
      <c r="CP5" t="s">
        <v>177</v>
      </c>
      <c r="CQ5" t="s">
        <v>190</v>
      </c>
      <c r="CS5" t="s">
        <v>177</v>
      </c>
      <c r="CT5" t="s">
        <v>191</v>
      </c>
      <c r="CV5" t="s">
        <v>177</v>
      </c>
      <c r="CW5" t="s">
        <v>192</v>
      </c>
      <c r="CY5" t="s">
        <v>177</v>
      </c>
      <c r="CZ5" t="s">
        <v>193</v>
      </c>
      <c r="DB5" t="s">
        <v>177</v>
      </c>
      <c r="DD5" t="s">
        <v>194</v>
      </c>
      <c r="DE5" t="s">
        <v>195</v>
      </c>
      <c r="DF5" t="s">
        <v>196</v>
      </c>
      <c r="DN5" t="s">
        <v>197</v>
      </c>
      <c r="DV5" t="s">
        <v>197</v>
      </c>
      <c r="DW5" t="s">
        <v>198</v>
      </c>
      <c r="DX5" t="s">
        <v>199</v>
      </c>
      <c r="DY5" t="s">
        <v>200</v>
      </c>
      <c r="EB5" t="s">
        <v>201</v>
      </c>
      <c r="ED5" t="s">
        <v>202</v>
      </c>
      <c r="EF5" t="s">
        <v>203</v>
      </c>
      <c r="EH5" t="s">
        <v>204</v>
      </c>
      <c r="EI5" t="s">
        <v>205</v>
      </c>
      <c r="EJ5" t="s">
        <v>206</v>
      </c>
      <c r="EK5" t="s">
        <v>207</v>
      </c>
      <c r="ES5" t="s">
        <v>208</v>
      </c>
      <c r="ET5" t="s">
        <v>200</v>
      </c>
      <c r="EU5" t="s">
        <v>199</v>
      </c>
      <c r="EV5" t="s">
        <v>200</v>
      </c>
      <c r="EY5" t="s">
        <v>209</v>
      </c>
      <c r="FA5" t="s">
        <v>202</v>
      </c>
      <c r="FB5" t="s">
        <v>203</v>
      </c>
      <c r="GV5" t="s">
        <v>210</v>
      </c>
      <c r="GW5" t="s">
        <v>150</v>
      </c>
      <c r="GX5" t="s">
        <v>151</v>
      </c>
      <c r="GY5" t="s">
        <v>152</v>
      </c>
      <c r="HB5" t="s">
        <v>155</v>
      </c>
      <c r="HD5" t="s">
        <v>157</v>
      </c>
      <c r="HG5" t="s">
        <v>160</v>
      </c>
      <c r="HK5" t="s">
        <v>211</v>
      </c>
      <c r="HM5" t="s">
        <v>212</v>
      </c>
      <c r="HN5" t="s">
        <v>213</v>
      </c>
      <c r="HP5" t="s">
        <v>214</v>
      </c>
    </row>
    <row r="6" spans="1:224" x14ac:dyDescent="0.25">
      <c r="B6">
        <v>10659162789</v>
      </c>
      <c r="C6" t="s">
        <v>1459</v>
      </c>
      <c r="D6">
        <v>224043989</v>
      </c>
      <c r="E6" s="2">
        <v>43567.63517361111</v>
      </c>
      <c r="F6" s="2">
        <v>43567.647858796299</v>
      </c>
      <c r="G6" t="s">
        <v>163</v>
      </c>
      <c r="L6" t="s">
        <v>215</v>
      </c>
      <c r="N6">
        <v>2000</v>
      </c>
      <c r="O6">
        <v>70</v>
      </c>
      <c r="P6">
        <v>0</v>
      </c>
      <c r="Q6">
        <v>20</v>
      </c>
      <c r="R6">
        <v>5</v>
      </c>
      <c r="S6">
        <v>0</v>
      </c>
      <c r="T6">
        <v>5</v>
      </c>
      <c r="U6" t="s">
        <v>216</v>
      </c>
      <c r="V6" t="s">
        <v>217</v>
      </c>
      <c r="W6" t="s">
        <v>1322</v>
      </c>
      <c r="X6" t="s">
        <v>166</v>
      </c>
      <c r="Z6" t="s">
        <v>218</v>
      </c>
      <c r="AA6" t="s">
        <v>168</v>
      </c>
      <c r="AB6" t="s">
        <v>2502</v>
      </c>
      <c r="AC6" t="s">
        <v>218</v>
      </c>
      <c r="AE6" t="s">
        <v>167</v>
      </c>
      <c r="AG6" t="s">
        <v>169</v>
      </c>
      <c r="AH6" t="s">
        <v>169</v>
      </c>
      <c r="AI6" t="s">
        <v>170</v>
      </c>
      <c r="AJ6" t="s">
        <v>2438</v>
      </c>
      <c r="AK6" t="s">
        <v>219</v>
      </c>
      <c r="AL6" t="s">
        <v>2438</v>
      </c>
      <c r="AM6" t="s">
        <v>220</v>
      </c>
      <c r="AN6" t="s">
        <v>221</v>
      </c>
      <c r="AO6" t="s">
        <v>222</v>
      </c>
      <c r="AP6" t="s">
        <v>175</v>
      </c>
      <c r="AQ6" t="s">
        <v>175</v>
      </c>
      <c r="AR6" t="s">
        <v>175</v>
      </c>
      <c r="AS6" t="s">
        <v>175</v>
      </c>
      <c r="AU6" t="s">
        <v>178</v>
      </c>
      <c r="AW6" t="s">
        <v>223</v>
      </c>
      <c r="AX6" t="s">
        <v>176</v>
      </c>
      <c r="AZ6" t="s">
        <v>223</v>
      </c>
      <c r="BE6" t="s">
        <v>181</v>
      </c>
      <c r="BG6" t="s">
        <v>223</v>
      </c>
      <c r="BH6" t="s">
        <v>182</v>
      </c>
      <c r="BJ6" t="s">
        <v>223</v>
      </c>
      <c r="BK6" t="s">
        <v>183</v>
      </c>
      <c r="BM6" t="s">
        <v>223</v>
      </c>
      <c r="BN6" t="s">
        <v>180</v>
      </c>
      <c r="BP6" t="s">
        <v>223</v>
      </c>
      <c r="BU6" t="s">
        <v>184</v>
      </c>
      <c r="BW6" t="s">
        <v>223</v>
      </c>
      <c r="BX6" t="s">
        <v>185</v>
      </c>
      <c r="BZ6" t="s">
        <v>223</v>
      </c>
      <c r="CE6" t="s">
        <v>186</v>
      </c>
      <c r="CG6" t="s">
        <v>223</v>
      </c>
      <c r="CH6" t="s">
        <v>187</v>
      </c>
      <c r="CJ6" t="s">
        <v>223</v>
      </c>
      <c r="CK6" t="s">
        <v>188</v>
      </c>
      <c r="CM6" t="s">
        <v>223</v>
      </c>
      <c r="CN6" t="s">
        <v>190</v>
      </c>
      <c r="CP6" t="s">
        <v>223</v>
      </c>
      <c r="CQ6" t="s">
        <v>191</v>
      </c>
      <c r="CS6" t="s">
        <v>223</v>
      </c>
      <c r="CT6" t="s">
        <v>224</v>
      </c>
      <c r="CV6" t="s">
        <v>223</v>
      </c>
      <c r="CW6" t="s">
        <v>192</v>
      </c>
      <c r="CY6" t="s">
        <v>223</v>
      </c>
      <c r="CZ6" t="s">
        <v>193</v>
      </c>
      <c r="DB6" t="s">
        <v>223</v>
      </c>
      <c r="DD6" t="s">
        <v>225</v>
      </c>
      <c r="DE6" t="s">
        <v>226</v>
      </c>
      <c r="DF6" t="s">
        <v>227</v>
      </c>
      <c r="DH6" t="s">
        <v>111</v>
      </c>
      <c r="DP6" t="s">
        <v>111</v>
      </c>
      <c r="DW6" t="s">
        <v>198</v>
      </c>
      <c r="DX6" t="s">
        <v>199</v>
      </c>
      <c r="DY6" t="s">
        <v>200</v>
      </c>
      <c r="EB6" t="s">
        <v>201</v>
      </c>
      <c r="ED6" t="s">
        <v>228</v>
      </c>
      <c r="EF6" t="s">
        <v>203</v>
      </c>
      <c r="EH6" t="s">
        <v>229</v>
      </c>
      <c r="EI6" t="s">
        <v>230</v>
      </c>
      <c r="EJ6" t="s">
        <v>231</v>
      </c>
      <c r="EK6" t="s">
        <v>232</v>
      </c>
      <c r="EL6" t="s">
        <v>122</v>
      </c>
      <c r="EM6" t="s">
        <v>123</v>
      </c>
      <c r="ET6" t="s">
        <v>200</v>
      </c>
      <c r="EU6" t="s">
        <v>199</v>
      </c>
      <c r="EV6" t="s">
        <v>198</v>
      </c>
      <c r="EY6" t="s">
        <v>209</v>
      </c>
      <c r="FA6" t="s">
        <v>202</v>
      </c>
      <c r="FB6" t="s">
        <v>233</v>
      </c>
      <c r="GV6" t="s">
        <v>234</v>
      </c>
      <c r="GX6" t="s">
        <v>151</v>
      </c>
      <c r="GY6" t="s">
        <v>152</v>
      </c>
      <c r="HD6" t="s">
        <v>157</v>
      </c>
      <c r="HG6" t="s">
        <v>160</v>
      </c>
      <c r="HI6" t="s">
        <v>162</v>
      </c>
      <c r="HM6" t="s">
        <v>235</v>
      </c>
      <c r="HN6" t="s">
        <v>236</v>
      </c>
    </row>
    <row r="7" spans="1:224" x14ac:dyDescent="0.25">
      <c r="B7">
        <v>10659144125</v>
      </c>
      <c r="C7" t="s">
        <v>1459</v>
      </c>
      <c r="D7">
        <v>224043989</v>
      </c>
      <c r="E7" s="2">
        <v>43567.534837962958</v>
      </c>
      <c r="F7" s="2">
        <v>43567.635034722232</v>
      </c>
      <c r="G7" t="s">
        <v>163</v>
      </c>
      <c r="L7" t="s">
        <v>215</v>
      </c>
      <c r="N7">
        <v>4000</v>
      </c>
      <c r="O7">
        <v>60</v>
      </c>
      <c r="P7">
        <v>5</v>
      </c>
      <c r="Q7">
        <v>30</v>
      </c>
      <c r="R7">
        <v>0</v>
      </c>
      <c r="S7">
        <v>0</v>
      </c>
      <c r="T7">
        <v>5</v>
      </c>
      <c r="U7" t="s">
        <v>216</v>
      </c>
      <c r="V7" t="s">
        <v>237</v>
      </c>
      <c r="W7" t="s">
        <v>1323</v>
      </c>
      <c r="X7" t="s">
        <v>166</v>
      </c>
      <c r="Z7" t="s">
        <v>167</v>
      </c>
      <c r="AA7" t="s">
        <v>168</v>
      </c>
      <c r="AB7" t="s">
        <v>2502</v>
      </c>
      <c r="AC7" t="s">
        <v>238</v>
      </c>
      <c r="AE7" t="s">
        <v>167</v>
      </c>
      <c r="AF7" t="s">
        <v>239</v>
      </c>
      <c r="AG7" t="s">
        <v>169</v>
      </c>
      <c r="AH7" t="s">
        <v>169</v>
      </c>
      <c r="AI7" t="s">
        <v>240</v>
      </c>
      <c r="AJ7" t="s">
        <v>2438</v>
      </c>
      <c r="AK7" t="s">
        <v>241</v>
      </c>
      <c r="AL7" t="s">
        <v>2439</v>
      </c>
      <c r="AM7" t="s">
        <v>242</v>
      </c>
      <c r="AN7" t="s">
        <v>243</v>
      </c>
      <c r="AO7" t="s">
        <v>244</v>
      </c>
      <c r="AP7" t="s">
        <v>245</v>
      </c>
      <c r="AQ7" t="s">
        <v>245</v>
      </c>
      <c r="AR7" t="s">
        <v>245</v>
      </c>
      <c r="AS7" t="s">
        <v>245</v>
      </c>
      <c r="AU7" t="s">
        <v>178</v>
      </c>
      <c r="AW7" t="s">
        <v>177</v>
      </c>
      <c r="AX7" t="s">
        <v>176</v>
      </c>
      <c r="AZ7" t="s">
        <v>177</v>
      </c>
      <c r="BE7" t="s">
        <v>180</v>
      </c>
      <c r="BG7" t="s">
        <v>177</v>
      </c>
      <c r="BH7" t="s">
        <v>182</v>
      </c>
      <c r="BJ7" t="s">
        <v>177</v>
      </c>
      <c r="BU7" t="s">
        <v>184</v>
      </c>
      <c r="BW7" t="s">
        <v>177</v>
      </c>
      <c r="CE7" t="s">
        <v>186</v>
      </c>
      <c r="CG7" t="s">
        <v>177</v>
      </c>
      <c r="CH7" t="s">
        <v>187</v>
      </c>
      <c r="CJ7" t="s">
        <v>177</v>
      </c>
      <c r="CK7" t="s">
        <v>190</v>
      </c>
      <c r="CM7" t="s">
        <v>177</v>
      </c>
      <c r="CN7" t="s">
        <v>191</v>
      </c>
      <c r="CP7" t="s">
        <v>177</v>
      </c>
      <c r="CQ7" t="s">
        <v>224</v>
      </c>
      <c r="CS7" t="s">
        <v>177</v>
      </c>
      <c r="CT7" t="s">
        <v>192</v>
      </c>
      <c r="CV7" t="s">
        <v>177</v>
      </c>
      <c r="CW7" t="s">
        <v>193</v>
      </c>
      <c r="CY7" t="s">
        <v>177</v>
      </c>
      <c r="DD7" t="s">
        <v>246</v>
      </c>
      <c r="DE7" t="s">
        <v>247</v>
      </c>
      <c r="DF7" t="s">
        <v>248</v>
      </c>
      <c r="DH7" t="s">
        <v>111</v>
      </c>
      <c r="DP7" t="s">
        <v>111</v>
      </c>
      <c r="DW7" t="s">
        <v>198</v>
      </c>
      <c r="DX7" t="s">
        <v>199</v>
      </c>
      <c r="DY7" t="s">
        <v>200</v>
      </c>
      <c r="EB7" t="s">
        <v>249</v>
      </c>
      <c r="ED7" t="s">
        <v>202</v>
      </c>
      <c r="EF7" t="s">
        <v>233</v>
      </c>
      <c r="EH7" t="s">
        <v>250</v>
      </c>
      <c r="EI7" t="s">
        <v>251</v>
      </c>
      <c r="EJ7" t="s">
        <v>252</v>
      </c>
      <c r="EK7" t="s">
        <v>253</v>
      </c>
      <c r="EM7" t="s">
        <v>123</v>
      </c>
      <c r="ET7" t="s">
        <v>200</v>
      </c>
      <c r="EU7" t="s">
        <v>199</v>
      </c>
      <c r="EV7" t="s">
        <v>200</v>
      </c>
      <c r="EY7" t="s">
        <v>209</v>
      </c>
      <c r="FA7" t="s">
        <v>254</v>
      </c>
      <c r="FB7" t="s">
        <v>233</v>
      </c>
      <c r="GV7" t="s">
        <v>255</v>
      </c>
      <c r="HD7" t="s">
        <v>157</v>
      </c>
      <c r="HG7" t="s">
        <v>160</v>
      </c>
      <c r="HK7" t="s">
        <v>256</v>
      </c>
      <c r="HM7" t="s">
        <v>257</v>
      </c>
      <c r="HN7" t="s">
        <v>258</v>
      </c>
      <c r="HP7" t="s">
        <v>259</v>
      </c>
    </row>
    <row r="8" spans="1:224" x14ac:dyDescent="0.25">
      <c r="B8">
        <v>10658987797</v>
      </c>
      <c r="C8" t="s">
        <v>1459</v>
      </c>
      <c r="D8">
        <v>224043989</v>
      </c>
      <c r="E8" s="2">
        <v>43567.369212962964</v>
      </c>
      <c r="F8" s="2">
        <v>43567.534618055557</v>
      </c>
      <c r="G8" t="s">
        <v>163</v>
      </c>
      <c r="L8" t="s">
        <v>260</v>
      </c>
      <c r="N8">
        <v>1500</v>
      </c>
      <c r="O8">
        <v>60</v>
      </c>
      <c r="P8">
        <v>0</v>
      </c>
      <c r="Q8">
        <v>10</v>
      </c>
      <c r="R8">
        <v>20</v>
      </c>
      <c r="S8">
        <v>10</v>
      </c>
      <c r="T8">
        <v>0</v>
      </c>
      <c r="U8" t="s">
        <v>261</v>
      </c>
      <c r="V8" t="s">
        <v>262</v>
      </c>
      <c r="W8" t="s">
        <v>1324</v>
      </c>
      <c r="X8" t="s">
        <v>166</v>
      </c>
      <c r="Z8" t="s">
        <v>238</v>
      </c>
      <c r="AA8" t="s">
        <v>263</v>
      </c>
      <c r="AB8" t="s">
        <v>2502</v>
      </c>
      <c r="AC8" t="s">
        <v>218</v>
      </c>
      <c r="AE8" t="s">
        <v>167</v>
      </c>
      <c r="AG8" t="s">
        <v>169</v>
      </c>
      <c r="AH8" t="s">
        <v>169</v>
      </c>
      <c r="AI8" t="s">
        <v>264</v>
      </c>
      <c r="AJ8" t="s">
        <v>2438</v>
      </c>
      <c r="AK8" t="s">
        <v>265</v>
      </c>
      <c r="AL8" t="s">
        <v>559</v>
      </c>
      <c r="AM8" t="s">
        <v>266</v>
      </c>
      <c r="AN8" t="s">
        <v>267</v>
      </c>
      <c r="AO8" t="s">
        <v>268</v>
      </c>
      <c r="AP8" t="s">
        <v>175</v>
      </c>
      <c r="AQ8" t="s">
        <v>245</v>
      </c>
      <c r="AR8" t="s">
        <v>245</v>
      </c>
      <c r="AS8" t="s">
        <v>175</v>
      </c>
      <c r="AU8" t="s">
        <v>176</v>
      </c>
      <c r="AW8" t="s">
        <v>223</v>
      </c>
      <c r="BE8" t="s">
        <v>180</v>
      </c>
      <c r="BG8" t="s">
        <v>223</v>
      </c>
      <c r="BH8" t="s">
        <v>182</v>
      </c>
      <c r="BJ8" t="s">
        <v>223</v>
      </c>
      <c r="BK8" t="s">
        <v>183</v>
      </c>
      <c r="BM8" t="s">
        <v>223</v>
      </c>
      <c r="CE8" t="s">
        <v>186</v>
      </c>
      <c r="CG8" t="s">
        <v>223</v>
      </c>
      <c r="CH8" t="s">
        <v>187</v>
      </c>
      <c r="CJ8" t="s">
        <v>223</v>
      </c>
      <c r="CK8" t="s">
        <v>188</v>
      </c>
      <c r="CM8" t="s">
        <v>223</v>
      </c>
      <c r="CN8" t="s">
        <v>190</v>
      </c>
      <c r="CP8" t="s">
        <v>223</v>
      </c>
      <c r="CQ8" t="s">
        <v>189</v>
      </c>
      <c r="CS8" t="s">
        <v>223</v>
      </c>
      <c r="CT8" t="s">
        <v>191</v>
      </c>
      <c r="CV8" t="s">
        <v>223</v>
      </c>
      <c r="CW8" t="s">
        <v>192</v>
      </c>
      <c r="CY8" t="s">
        <v>223</v>
      </c>
      <c r="CZ8" t="s">
        <v>193</v>
      </c>
      <c r="DB8" t="s">
        <v>223</v>
      </c>
      <c r="DD8" t="s">
        <v>269</v>
      </c>
      <c r="DE8" t="s">
        <v>270</v>
      </c>
      <c r="DF8" t="s">
        <v>271</v>
      </c>
      <c r="DG8" t="s">
        <v>110</v>
      </c>
      <c r="DH8" t="s">
        <v>111</v>
      </c>
      <c r="DI8" t="s">
        <v>112</v>
      </c>
      <c r="DO8" t="s">
        <v>110</v>
      </c>
      <c r="DP8" t="s">
        <v>111</v>
      </c>
      <c r="DQ8" t="s">
        <v>112</v>
      </c>
      <c r="DW8" t="s">
        <v>198</v>
      </c>
      <c r="DX8" t="s">
        <v>199</v>
      </c>
      <c r="DY8" t="s">
        <v>200</v>
      </c>
      <c r="EB8" t="s">
        <v>201</v>
      </c>
      <c r="ED8" t="s">
        <v>228</v>
      </c>
      <c r="EF8" t="s">
        <v>233</v>
      </c>
      <c r="EH8" t="s">
        <v>272</v>
      </c>
      <c r="EI8" t="s">
        <v>273</v>
      </c>
      <c r="EJ8" t="s">
        <v>274</v>
      </c>
      <c r="EK8" t="s">
        <v>275</v>
      </c>
      <c r="ES8" t="s">
        <v>276</v>
      </c>
      <c r="ET8" t="s">
        <v>200</v>
      </c>
      <c r="EU8" t="s">
        <v>199</v>
      </c>
      <c r="EV8" t="s">
        <v>200</v>
      </c>
      <c r="EY8" t="s">
        <v>209</v>
      </c>
      <c r="FA8" t="s">
        <v>202</v>
      </c>
      <c r="FB8" t="s">
        <v>203</v>
      </c>
      <c r="GV8" t="s">
        <v>277</v>
      </c>
      <c r="GY8" t="s">
        <v>152</v>
      </c>
      <c r="HB8" t="s">
        <v>155</v>
      </c>
      <c r="HD8" t="s">
        <v>157</v>
      </c>
      <c r="HG8" t="s">
        <v>160</v>
      </c>
      <c r="HN8" t="s">
        <v>278</v>
      </c>
    </row>
    <row r="9" spans="1:224" x14ac:dyDescent="0.25">
      <c r="B9">
        <v>10656316969</v>
      </c>
      <c r="C9" t="s">
        <v>1459</v>
      </c>
      <c r="D9">
        <v>224043989</v>
      </c>
      <c r="E9" s="2">
        <v>43566.584826388891</v>
      </c>
      <c r="F9" s="2">
        <v>43566.606956018521</v>
      </c>
      <c r="G9" t="s">
        <v>163</v>
      </c>
      <c r="L9" t="s">
        <v>279</v>
      </c>
      <c r="N9">
        <v>30000</v>
      </c>
      <c r="O9">
        <v>55</v>
      </c>
      <c r="P9">
        <v>25</v>
      </c>
      <c r="Q9">
        <v>20</v>
      </c>
      <c r="R9">
        <v>0</v>
      </c>
      <c r="S9">
        <v>0</v>
      </c>
      <c r="T9">
        <v>0</v>
      </c>
      <c r="U9" t="s">
        <v>216</v>
      </c>
      <c r="V9" t="s">
        <v>280</v>
      </c>
      <c r="W9" t="s">
        <v>1322</v>
      </c>
      <c r="X9" t="s">
        <v>166</v>
      </c>
      <c r="Z9" t="s">
        <v>167</v>
      </c>
      <c r="AA9" t="s">
        <v>168</v>
      </c>
      <c r="AB9" t="s">
        <v>2502</v>
      </c>
      <c r="AC9" t="s">
        <v>218</v>
      </c>
      <c r="AD9" t="s">
        <v>281</v>
      </c>
      <c r="AE9" t="s">
        <v>218</v>
      </c>
      <c r="AG9" t="s">
        <v>282</v>
      </c>
      <c r="AH9" t="s">
        <v>169</v>
      </c>
      <c r="AI9" t="s">
        <v>283</v>
      </c>
      <c r="AJ9" t="s">
        <v>2438</v>
      </c>
      <c r="AK9" t="s">
        <v>284</v>
      </c>
      <c r="AL9" t="s">
        <v>559</v>
      </c>
      <c r="AM9" t="s">
        <v>285</v>
      </c>
      <c r="AN9" t="s">
        <v>286</v>
      </c>
      <c r="AO9" t="s">
        <v>287</v>
      </c>
      <c r="AP9" t="s">
        <v>245</v>
      </c>
      <c r="AQ9" t="s">
        <v>245</v>
      </c>
      <c r="AR9" t="s">
        <v>245</v>
      </c>
      <c r="AS9" t="s">
        <v>245</v>
      </c>
      <c r="AU9" t="s">
        <v>178</v>
      </c>
      <c r="AX9" t="s">
        <v>176</v>
      </c>
      <c r="BE9" t="s">
        <v>180</v>
      </c>
      <c r="BH9" t="s">
        <v>182</v>
      </c>
      <c r="BK9" t="s">
        <v>183</v>
      </c>
      <c r="BU9" t="s">
        <v>184</v>
      </c>
      <c r="DD9" t="s">
        <v>288</v>
      </c>
      <c r="DE9" t="s">
        <v>289</v>
      </c>
      <c r="DL9" t="s">
        <v>115</v>
      </c>
      <c r="DT9" t="s">
        <v>115</v>
      </c>
      <c r="DW9" t="s">
        <v>198</v>
      </c>
      <c r="DX9" t="s">
        <v>198</v>
      </c>
      <c r="DY9" t="s">
        <v>200</v>
      </c>
      <c r="EB9" t="s">
        <v>201</v>
      </c>
      <c r="ED9" t="s">
        <v>228</v>
      </c>
      <c r="EF9" t="s">
        <v>233</v>
      </c>
      <c r="GV9" t="s">
        <v>290</v>
      </c>
      <c r="GX9" t="s">
        <v>151</v>
      </c>
      <c r="HA9" t="s">
        <v>154</v>
      </c>
      <c r="HB9" t="s">
        <v>155</v>
      </c>
      <c r="HH9" t="s">
        <v>161</v>
      </c>
    </row>
    <row r="10" spans="1:224" x14ac:dyDescent="0.25">
      <c r="B10">
        <v>10656302730</v>
      </c>
      <c r="C10" t="s">
        <v>1459</v>
      </c>
      <c r="D10">
        <v>224043989</v>
      </c>
      <c r="E10" s="2">
        <v>43566.556458333333</v>
      </c>
      <c r="F10" s="2">
        <v>43566.584606481483</v>
      </c>
      <c r="G10" t="s">
        <v>163</v>
      </c>
      <c r="L10" t="s">
        <v>291</v>
      </c>
      <c r="N10">
        <v>40000</v>
      </c>
      <c r="O10">
        <v>70</v>
      </c>
      <c r="P10">
        <v>0</v>
      </c>
      <c r="Q10">
        <v>15</v>
      </c>
      <c r="R10">
        <v>15</v>
      </c>
      <c r="S10">
        <v>0</v>
      </c>
      <c r="T10">
        <v>0</v>
      </c>
      <c r="U10" t="s">
        <v>261</v>
      </c>
      <c r="V10" t="s">
        <v>292</v>
      </c>
      <c r="W10" t="s">
        <v>1339</v>
      </c>
      <c r="X10" t="s">
        <v>166</v>
      </c>
      <c r="Z10" t="s">
        <v>238</v>
      </c>
      <c r="AA10" t="s">
        <v>263</v>
      </c>
      <c r="AB10" t="s">
        <v>2502</v>
      </c>
      <c r="AC10" t="s">
        <v>218</v>
      </c>
      <c r="AE10" t="s">
        <v>167</v>
      </c>
      <c r="AG10" t="s">
        <v>293</v>
      </c>
      <c r="AH10" t="s">
        <v>169</v>
      </c>
      <c r="AI10" t="s">
        <v>294</v>
      </c>
      <c r="AJ10" t="s">
        <v>2439</v>
      </c>
      <c r="AM10" t="s">
        <v>295</v>
      </c>
      <c r="AN10" t="s">
        <v>296</v>
      </c>
      <c r="AP10" t="s">
        <v>245</v>
      </c>
      <c r="AQ10" t="s">
        <v>245</v>
      </c>
      <c r="AR10" t="s">
        <v>245</v>
      </c>
      <c r="AS10" t="s">
        <v>245</v>
      </c>
      <c r="AU10" t="s">
        <v>178</v>
      </c>
      <c r="AX10" t="s">
        <v>176</v>
      </c>
      <c r="BE10" t="s">
        <v>180</v>
      </c>
      <c r="BH10" t="s">
        <v>182</v>
      </c>
      <c r="BK10" t="s">
        <v>183</v>
      </c>
      <c r="BT10" t="s">
        <v>297</v>
      </c>
      <c r="BU10" t="s">
        <v>184</v>
      </c>
      <c r="BX10" t="s">
        <v>185</v>
      </c>
      <c r="DC10" t="s">
        <v>298</v>
      </c>
      <c r="DD10" t="s">
        <v>299</v>
      </c>
      <c r="DN10" t="s">
        <v>300</v>
      </c>
      <c r="DT10" t="s">
        <v>115</v>
      </c>
      <c r="DW10" t="s">
        <v>198</v>
      </c>
      <c r="DX10" t="s">
        <v>198</v>
      </c>
      <c r="DY10" t="s">
        <v>198</v>
      </c>
      <c r="EA10" t="s">
        <v>301</v>
      </c>
      <c r="EB10" t="s">
        <v>201</v>
      </c>
      <c r="ED10" t="s">
        <v>228</v>
      </c>
      <c r="EF10" t="s">
        <v>233</v>
      </c>
      <c r="EH10" t="s">
        <v>302</v>
      </c>
      <c r="EI10" t="s">
        <v>303</v>
      </c>
      <c r="EJ10" t="s">
        <v>304</v>
      </c>
      <c r="EO10" t="s">
        <v>113</v>
      </c>
      <c r="ER10" t="s">
        <v>127</v>
      </c>
      <c r="ET10" t="s">
        <v>199</v>
      </c>
      <c r="EU10" t="s">
        <v>199</v>
      </c>
      <c r="EV10" t="s">
        <v>199</v>
      </c>
      <c r="EY10" t="s">
        <v>209</v>
      </c>
      <c r="FA10" t="s">
        <v>202</v>
      </c>
      <c r="FB10" t="s">
        <v>233</v>
      </c>
      <c r="GV10" t="s">
        <v>305</v>
      </c>
      <c r="GX10" t="s">
        <v>151</v>
      </c>
      <c r="GY10" t="s">
        <v>152</v>
      </c>
      <c r="HD10" t="s">
        <v>157</v>
      </c>
      <c r="HE10" t="s">
        <v>158</v>
      </c>
      <c r="HF10" t="s">
        <v>159</v>
      </c>
      <c r="HH10" t="s">
        <v>161</v>
      </c>
      <c r="HK10" t="s">
        <v>306</v>
      </c>
      <c r="HM10" t="s">
        <v>307</v>
      </c>
      <c r="HN10" t="s">
        <v>308</v>
      </c>
      <c r="HP10" t="s">
        <v>309</v>
      </c>
    </row>
    <row r="11" spans="1:224" x14ac:dyDescent="0.25">
      <c r="B11">
        <v>10656267664</v>
      </c>
      <c r="C11" t="s">
        <v>1459</v>
      </c>
      <c r="D11">
        <v>224043989</v>
      </c>
      <c r="E11" s="2">
        <v>43566.525659722232</v>
      </c>
      <c r="F11" s="2">
        <v>43566.55572916667</v>
      </c>
      <c r="G11" t="s">
        <v>163</v>
      </c>
      <c r="L11" t="s">
        <v>310</v>
      </c>
      <c r="N11">
        <v>1000</v>
      </c>
      <c r="O11">
        <v>60</v>
      </c>
      <c r="P11">
        <v>20</v>
      </c>
      <c r="Q11">
        <v>20</v>
      </c>
      <c r="R11">
        <v>0</v>
      </c>
      <c r="S11">
        <v>0</v>
      </c>
      <c r="T11">
        <v>0</v>
      </c>
      <c r="U11" s="8" t="s">
        <v>1381</v>
      </c>
      <c r="V11" t="s">
        <v>311</v>
      </c>
      <c r="W11" t="s">
        <v>1325</v>
      </c>
      <c r="X11" t="s">
        <v>312</v>
      </c>
      <c r="FT11" t="s">
        <v>198</v>
      </c>
      <c r="FU11" t="s">
        <v>198</v>
      </c>
      <c r="FW11" t="s">
        <v>198</v>
      </c>
      <c r="FX11" t="s">
        <v>198</v>
      </c>
      <c r="FY11" t="s">
        <v>199</v>
      </c>
      <c r="FZ11" t="s">
        <v>199</v>
      </c>
      <c r="GA11" t="s">
        <v>199</v>
      </c>
      <c r="GB11" t="s">
        <v>199</v>
      </c>
      <c r="GC11" t="s">
        <v>199</v>
      </c>
      <c r="GE11" t="s">
        <v>198</v>
      </c>
      <c r="GF11" t="s">
        <v>198</v>
      </c>
    </row>
    <row r="12" spans="1:224" x14ac:dyDescent="0.25">
      <c r="B12">
        <v>10656187076</v>
      </c>
      <c r="C12" t="s">
        <v>1459</v>
      </c>
      <c r="D12">
        <v>224043989</v>
      </c>
      <c r="E12" s="2">
        <v>43566.500567129631</v>
      </c>
      <c r="F12" s="2">
        <v>43566.507465277777</v>
      </c>
      <c r="G12" t="s">
        <v>163</v>
      </c>
      <c r="L12" t="s">
        <v>215</v>
      </c>
      <c r="N12">
        <v>2500</v>
      </c>
      <c r="O12">
        <v>70</v>
      </c>
      <c r="P12">
        <v>5</v>
      </c>
      <c r="Q12">
        <v>5</v>
      </c>
      <c r="R12">
        <v>10</v>
      </c>
      <c r="S12">
        <v>10</v>
      </c>
      <c r="T12">
        <v>0</v>
      </c>
      <c r="U12" t="s">
        <v>313</v>
      </c>
      <c r="V12" t="s">
        <v>314</v>
      </c>
      <c r="W12" t="s">
        <v>45</v>
      </c>
      <c r="X12" t="s">
        <v>166</v>
      </c>
    </row>
    <row r="13" spans="1:224" x14ac:dyDescent="0.25">
      <c r="B13">
        <v>10656183611</v>
      </c>
      <c r="C13" t="s">
        <v>1459</v>
      </c>
      <c r="D13">
        <v>224043989</v>
      </c>
      <c r="E13" s="2">
        <v>43566.504918981482</v>
      </c>
      <c r="F13" s="2">
        <v>43566.511759259258</v>
      </c>
      <c r="G13" t="s">
        <v>163</v>
      </c>
      <c r="L13" t="s">
        <v>315</v>
      </c>
      <c r="N13">
        <v>2500</v>
      </c>
      <c r="O13">
        <v>50</v>
      </c>
      <c r="P13">
        <v>20</v>
      </c>
      <c r="Q13">
        <v>20</v>
      </c>
      <c r="R13">
        <v>10</v>
      </c>
      <c r="S13">
        <v>0</v>
      </c>
      <c r="T13">
        <v>0</v>
      </c>
      <c r="U13" t="s">
        <v>216</v>
      </c>
      <c r="V13" t="s">
        <v>316</v>
      </c>
      <c r="W13" t="s">
        <v>1340</v>
      </c>
      <c r="X13" t="s">
        <v>166</v>
      </c>
      <c r="Z13" t="s">
        <v>168</v>
      </c>
      <c r="AA13" t="s">
        <v>167</v>
      </c>
      <c r="AB13" t="s">
        <v>168</v>
      </c>
      <c r="AC13" t="s">
        <v>167</v>
      </c>
      <c r="AE13" t="s">
        <v>218</v>
      </c>
      <c r="AG13" t="s">
        <v>317</v>
      </c>
      <c r="AH13" t="s">
        <v>169</v>
      </c>
      <c r="AI13" t="s">
        <v>283</v>
      </c>
      <c r="AJ13" t="s">
        <v>2438</v>
      </c>
      <c r="AK13" t="s">
        <v>318</v>
      </c>
      <c r="AL13" t="s">
        <v>2438</v>
      </c>
      <c r="AM13" t="s">
        <v>319</v>
      </c>
      <c r="AN13" t="s">
        <v>320</v>
      </c>
      <c r="AO13" t="s">
        <v>321</v>
      </c>
      <c r="AP13" t="s">
        <v>322</v>
      </c>
      <c r="AQ13" t="s">
        <v>322</v>
      </c>
      <c r="AR13">
        <v>0</v>
      </c>
      <c r="AS13" t="s">
        <v>322</v>
      </c>
      <c r="AU13" t="s">
        <v>178</v>
      </c>
      <c r="AW13" t="s">
        <v>177</v>
      </c>
      <c r="BE13" t="s">
        <v>182</v>
      </c>
      <c r="BG13" t="s">
        <v>177</v>
      </c>
      <c r="BH13" t="s">
        <v>180</v>
      </c>
      <c r="BJ13" t="s">
        <v>177</v>
      </c>
      <c r="BU13" t="s">
        <v>184</v>
      </c>
      <c r="BW13" t="s">
        <v>177</v>
      </c>
      <c r="CE13" t="s">
        <v>186</v>
      </c>
      <c r="CG13" t="s">
        <v>177</v>
      </c>
      <c r="CH13" t="s">
        <v>191</v>
      </c>
      <c r="CJ13" t="s">
        <v>177</v>
      </c>
      <c r="CK13" t="s">
        <v>323</v>
      </c>
      <c r="CM13" t="s">
        <v>177</v>
      </c>
      <c r="DD13" t="s">
        <v>324</v>
      </c>
      <c r="DE13" t="s">
        <v>325</v>
      </c>
      <c r="DG13" t="s">
        <v>110</v>
      </c>
      <c r="DH13" t="s">
        <v>111</v>
      </c>
      <c r="DO13" t="s">
        <v>110</v>
      </c>
      <c r="DP13" t="s">
        <v>111</v>
      </c>
      <c r="DW13" t="s">
        <v>198</v>
      </c>
      <c r="DX13" t="s">
        <v>198</v>
      </c>
      <c r="DY13" t="s">
        <v>198</v>
      </c>
      <c r="EB13" t="s">
        <v>201</v>
      </c>
      <c r="ED13" t="s">
        <v>326</v>
      </c>
      <c r="EF13" t="s">
        <v>233</v>
      </c>
      <c r="EH13" t="s">
        <v>327</v>
      </c>
      <c r="GV13" t="s">
        <v>328</v>
      </c>
      <c r="GY13" t="s">
        <v>152</v>
      </c>
      <c r="HD13" t="s">
        <v>157</v>
      </c>
      <c r="HE13" t="s">
        <v>158</v>
      </c>
      <c r="HK13" t="s">
        <v>329</v>
      </c>
    </row>
    <row r="14" spans="1:224" x14ac:dyDescent="0.25">
      <c r="B14">
        <v>10656138100</v>
      </c>
      <c r="C14" t="s">
        <v>1459</v>
      </c>
      <c r="D14">
        <v>224043989</v>
      </c>
      <c r="E14" s="2">
        <v>43566.481620370367</v>
      </c>
      <c r="F14" s="2">
        <v>43566.493842592587</v>
      </c>
      <c r="G14" t="s">
        <v>163</v>
      </c>
      <c r="L14" t="s">
        <v>164</v>
      </c>
      <c r="N14">
        <v>1500</v>
      </c>
      <c r="O14">
        <v>62</v>
      </c>
      <c r="P14">
        <v>0</v>
      </c>
      <c r="Q14">
        <v>33</v>
      </c>
      <c r="R14">
        <v>0</v>
      </c>
      <c r="S14">
        <v>5</v>
      </c>
      <c r="T14">
        <v>0</v>
      </c>
      <c r="U14" t="s">
        <v>330</v>
      </c>
      <c r="V14" t="s">
        <v>331</v>
      </c>
      <c r="W14" t="s">
        <v>1326</v>
      </c>
      <c r="X14" t="s">
        <v>166</v>
      </c>
      <c r="Z14" t="s">
        <v>263</v>
      </c>
      <c r="AA14" t="s">
        <v>238</v>
      </c>
      <c r="AB14" t="s">
        <v>2502</v>
      </c>
      <c r="AC14" t="s">
        <v>167</v>
      </c>
      <c r="AE14" t="s">
        <v>167</v>
      </c>
      <c r="AG14" t="s">
        <v>169</v>
      </c>
      <c r="AH14" t="s">
        <v>169</v>
      </c>
      <c r="AI14" t="s">
        <v>332</v>
      </c>
      <c r="AJ14" t="s">
        <v>2442</v>
      </c>
      <c r="AK14" t="s">
        <v>171</v>
      </c>
      <c r="AL14" t="s">
        <v>2438</v>
      </c>
      <c r="AM14" t="s">
        <v>333</v>
      </c>
      <c r="AN14" t="s">
        <v>334</v>
      </c>
      <c r="AO14" t="s">
        <v>335</v>
      </c>
      <c r="AP14" t="s">
        <v>175</v>
      </c>
      <c r="AQ14" t="s">
        <v>245</v>
      </c>
      <c r="AR14" t="s">
        <v>245</v>
      </c>
      <c r="AS14" t="s">
        <v>245</v>
      </c>
      <c r="AU14" t="s">
        <v>178</v>
      </c>
      <c r="AW14" t="s">
        <v>223</v>
      </c>
      <c r="AX14" t="s">
        <v>176</v>
      </c>
      <c r="AZ14" t="s">
        <v>223</v>
      </c>
      <c r="BE14" t="s">
        <v>180</v>
      </c>
      <c r="BG14" t="s">
        <v>223</v>
      </c>
      <c r="BH14" t="s">
        <v>182</v>
      </c>
      <c r="BJ14" t="s">
        <v>223</v>
      </c>
      <c r="BK14" t="s">
        <v>183</v>
      </c>
      <c r="BM14" t="s">
        <v>223</v>
      </c>
      <c r="CE14" t="s">
        <v>191</v>
      </c>
      <c r="CG14" t="s">
        <v>177</v>
      </c>
      <c r="CH14" t="s">
        <v>192</v>
      </c>
      <c r="CJ14" t="s">
        <v>177</v>
      </c>
      <c r="DD14" t="s">
        <v>336</v>
      </c>
      <c r="DE14" t="s">
        <v>337</v>
      </c>
      <c r="DF14" t="s">
        <v>338</v>
      </c>
      <c r="DN14" t="s">
        <v>339</v>
      </c>
      <c r="DV14" t="s">
        <v>339</v>
      </c>
      <c r="DW14" t="s">
        <v>198</v>
      </c>
      <c r="DX14" t="s">
        <v>199</v>
      </c>
      <c r="DY14" t="s">
        <v>200</v>
      </c>
      <c r="EB14" t="s">
        <v>201</v>
      </c>
      <c r="ED14" t="s">
        <v>202</v>
      </c>
      <c r="EF14" t="s">
        <v>233</v>
      </c>
      <c r="EH14" t="s">
        <v>250</v>
      </c>
      <c r="EI14" t="s">
        <v>340</v>
      </c>
      <c r="EJ14" t="s">
        <v>341</v>
      </c>
      <c r="EK14" t="s">
        <v>342</v>
      </c>
      <c r="ES14" t="s">
        <v>339</v>
      </c>
      <c r="ET14" t="s">
        <v>200</v>
      </c>
      <c r="EU14" t="s">
        <v>199</v>
      </c>
      <c r="EV14" t="s">
        <v>200</v>
      </c>
      <c r="EY14" t="s">
        <v>209</v>
      </c>
      <c r="FA14" t="s">
        <v>202</v>
      </c>
      <c r="FB14" t="s">
        <v>233</v>
      </c>
      <c r="GV14" t="s">
        <v>343</v>
      </c>
      <c r="HD14" t="s">
        <v>157</v>
      </c>
      <c r="HK14" t="s">
        <v>344</v>
      </c>
      <c r="HM14" t="s">
        <v>345</v>
      </c>
      <c r="HN14" t="s">
        <v>346</v>
      </c>
      <c r="HP14" t="s">
        <v>347</v>
      </c>
    </row>
    <row r="15" spans="1:224" x14ac:dyDescent="0.25">
      <c r="B15">
        <v>10653595672</v>
      </c>
      <c r="C15" t="s">
        <v>1459</v>
      </c>
      <c r="D15">
        <v>224043989</v>
      </c>
      <c r="E15" s="2">
        <v>43565.660439814812</v>
      </c>
      <c r="F15" s="2">
        <v>43565.686967592592</v>
      </c>
      <c r="G15" t="s">
        <v>163</v>
      </c>
      <c r="L15" t="s">
        <v>279</v>
      </c>
      <c r="N15">
        <v>2000</v>
      </c>
      <c r="O15">
        <v>60</v>
      </c>
      <c r="P15">
        <v>30</v>
      </c>
      <c r="Q15">
        <v>5</v>
      </c>
      <c r="R15">
        <v>5</v>
      </c>
      <c r="S15">
        <v>0</v>
      </c>
      <c r="T15">
        <v>0</v>
      </c>
      <c r="U15" s="8" t="s">
        <v>1381</v>
      </c>
      <c r="V15" t="s">
        <v>348</v>
      </c>
      <c r="W15" t="s">
        <v>1327</v>
      </c>
      <c r="X15" t="s">
        <v>166</v>
      </c>
      <c r="Z15" t="s">
        <v>167</v>
      </c>
      <c r="AA15" t="s">
        <v>168</v>
      </c>
      <c r="AB15" t="s">
        <v>2502</v>
      </c>
      <c r="AC15" t="s">
        <v>167</v>
      </c>
      <c r="AE15" t="s">
        <v>238</v>
      </c>
      <c r="AG15" t="s">
        <v>169</v>
      </c>
      <c r="AH15" t="s">
        <v>169</v>
      </c>
      <c r="AI15" t="s">
        <v>349</v>
      </c>
      <c r="AJ15" t="s">
        <v>2439</v>
      </c>
      <c r="AK15" t="s">
        <v>350</v>
      </c>
      <c r="AL15" t="s">
        <v>2441</v>
      </c>
      <c r="AM15" t="s">
        <v>351</v>
      </c>
      <c r="AN15" t="s">
        <v>352</v>
      </c>
      <c r="AO15" t="s">
        <v>351</v>
      </c>
      <c r="AP15" t="s">
        <v>175</v>
      </c>
      <c r="AQ15" t="s">
        <v>175</v>
      </c>
      <c r="AR15" t="s">
        <v>175</v>
      </c>
      <c r="AS15" t="s">
        <v>175</v>
      </c>
      <c r="BE15" t="s">
        <v>182</v>
      </c>
      <c r="BG15" s="8" t="s">
        <v>2501</v>
      </c>
      <c r="BU15" t="s">
        <v>184</v>
      </c>
      <c r="BW15" t="s">
        <v>2501</v>
      </c>
      <c r="CE15" t="s">
        <v>191</v>
      </c>
      <c r="CG15" t="s">
        <v>177</v>
      </c>
      <c r="DD15" t="s">
        <v>354</v>
      </c>
      <c r="DE15" t="s">
        <v>207</v>
      </c>
      <c r="DF15" t="s">
        <v>355</v>
      </c>
      <c r="DN15" t="s">
        <v>356</v>
      </c>
      <c r="DV15" t="s">
        <v>356</v>
      </c>
      <c r="DW15" t="s">
        <v>198</v>
      </c>
      <c r="DX15" t="s">
        <v>199</v>
      </c>
      <c r="DY15" t="s">
        <v>199</v>
      </c>
      <c r="EB15" t="s">
        <v>201</v>
      </c>
      <c r="ED15" t="s">
        <v>228</v>
      </c>
      <c r="EF15" t="s">
        <v>233</v>
      </c>
      <c r="EH15" t="s">
        <v>250</v>
      </c>
      <c r="EI15" t="s">
        <v>205</v>
      </c>
      <c r="EJ15" t="s">
        <v>357</v>
      </c>
      <c r="EK15" t="s">
        <v>358</v>
      </c>
      <c r="EL15" t="s">
        <v>122</v>
      </c>
      <c r="EN15" t="s">
        <v>124</v>
      </c>
      <c r="ET15" t="s">
        <v>200</v>
      </c>
      <c r="EU15" t="s">
        <v>199</v>
      </c>
      <c r="EV15" t="s">
        <v>200</v>
      </c>
      <c r="EY15" t="s">
        <v>209</v>
      </c>
      <c r="FA15" t="s">
        <v>202</v>
      </c>
      <c r="FB15" t="s">
        <v>203</v>
      </c>
      <c r="GV15" t="s">
        <v>359</v>
      </c>
      <c r="GX15" t="s">
        <v>151</v>
      </c>
      <c r="HG15" t="s">
        <v>160</v>
      </c>
      <c r="HH15" t="s">
        <v>161</v>
      </c>
      <c r="HJ15" t="s">
        <v>360</v>
      </c>
      <c r="HK15" t="s">
        <v>361</v>
      </c>
      <c r="HM15" t="s">
        <v>362</v>
      </c>
      <c r="HN15" t="s">
        <v>363</v>
      </c>
      <c r="HO15" t="s">
        <v>364</v>
      </c>
      <c r="HP15" t="s">
        <v>365</v>
      </c>
    </row>
    <row r="16" spans="1:224" x14ac:dyDescent="0.25">
      <c r="B16">
        <v>10653552208</v>
      </c>
      <c r="C16" t="s">
        <v>1459</v>
      </c>
      <c r="D16">
        <v>224043989</v>
      </c>
      <c r="E16" s="2">
        <v>43565.652754629627</v>
      </c>
      <c r="F16" s="2">
        <v>43565.663599537038</v>
      </c>
      <c r="G16" t="s">
        <v>163</v>
      </c>
      <c r="L16" t="s">
        <v>366</v>
      </c>
      <c r="N16">
        <v>70000</v>
      </c>
      <c r="O16">
        <v>75</v>
      </c>
      <c r="P16">
        <v>0</v>
      </c>
      <c r="Q16">
        <v>0</v>
      </c>
      <c r="R16">
        <v>25</v>
      </c>
      <c r="S16">
        <v>0</v>
      </c>
      <c r="T16">
        <v>0</v>
      </c>
      <c r="U16" s="8" t="s">
        <v>1381</v>
      </c>
      <c r="V16" t="s">
        <v>367</v>
      </c>
      <c r="W16" t="s">
        <v>1328</v>
      </c>
      <c r="X16" t="s">
        <v>166</v>
      </c>
      <c r="Z16" t="s">
        <v>2502</v>
      </c>
      <c r="AA16" t="s">
        <v>238</v>
      </c>
      <c r="AB16" t="s">
        <v>168</v>
      </c>
      <c r="AC16" t="s">
        <v>238</v>
      </c>
      <c r="AE16" t="s">
        <v>218</v>
      </c>
      <c r="AG16" t="s">
        <v>317</v>
      </c>
      <c r="AH16" t="s">
        <v>169</v>
      </c>
      <c r="AI16" t="s">
        <v>368</v>
      </c>
      <c r="AJ16" t="s">
        <v>2438</v>
      </c>
      <c r="AK16" t="s">
        <v>369</v>
      </c>
      <c r="AL16" t="s">
        <v>2439</v>
      </c>
      <c r="AM16" t="s">
        <v>370</v>
      </c>
      <c r="AP16" t="s">
        <v>261</v>
      </c>
      <c r="AQ16" t="s">
        <v>261</v>
      </c>
      <c r="AR16" t="s">
        <v>261</v>
      </c>
      <c r="AS16" t="s">
        <v>261</v>
      </c>
      <c r="AU16" t="s">
        <v>178</v>
      </c>
      <c r="BE16" t="s">
        <v>183</v>
      </c>
      <c r="BU16" t="s">
        <v>184</v>
      </c>
      <c r="CE16" t="s">
        <v>186</v>
      </c>
      <c r="CH16" t="s">
        <v>190</v>
      </c>
      <c r="DG16" t="s">
        <v>110</v>
      </c>
      <c r="DI16" t="s">
        <v>112</v>
      </c>
      <c r="DN16" t="s">
        <v>371</v>
      </c>
      <c r="DO16" t="s">
        <v>110</v>
      </c>
      <c r="DW16" t="s">
        <v>200</v>
      </c>
      <c r="DX16" t="s">
        <v>200</v>
      </c>
      <c r="DY16" t="s">
        <v>200</v>
      </c>
      <c r="EB16" t="s">
        <v>201</v>
      </c>
      <c r="ED16" t="s">
        <v>202</v>
      </c>
      <c r="EF16" t="s">
        <v>203</v>
      </c>
      <c r="EH16" t="s">
        <v>372</v>
      </c>
      <c r="EL16" t="s">
        <v>122</v>
      </c>
      <c r="EN16" t="s">
        <v>124</v>
      </c>
      <c r="ET16" t="s">
        <v>198</v>
      </c>
      <c r="EU16" t="s">
        <v>198</v>
      </c>
      <c r="EV16" t="s">
        <v>199</v>
      </c>
      <c r="EX16" t="s">
        <v>373</v>
      </c>
      <c r="EY16" t="s">
        <v>209</v>
      </c>
      <c r="FA16" t="s">
        <v>202</v>
      </c>
      <c r="FB16" t="s">
        <v>233</v>
      </c>
      <c r="GV16" t="s">
        <v>374</v>
      </c>
      <c r="GX16" t="s">
        <v>151</v>
      </c>
      <c r="GZ16" t="s">
        <v>153</v>
      </c>
      <c r="HD16" t="s">
        <v>157</v>
      </c>
      <c r="HK16" t="s">
        <v>375</v>
      </c>
      <c r="HL16" t="s">
        <v>376</v>
      </c>
      <c r="HM16" t="s">
        <v>377</v>
      </c>
      <c r="HN16" t="s">
        <v>378</v>
      </c>
      <c r="HP16" t="s">
        <v>379</v>
      </c>
    </row>
    <row r="17" spans="2:224" x14ac:dyDescent="0.25">
      <c r="B17">
        <v>10653529469</v>
      </c>
      <c r="C17" t="s">
        <v>1459</v>
      </c>
      <c r="D17">
        <v>224043989</v>
      </c>
      <c r="E17" s="2">
        <v>43565.61922453704</v>
      </c>
      <c r="F17" s="2">
        <v>43565.650509259263</v>
      </c>
      <c r="G17" t="s">
        <v>163</v>
      </c>
      <c r="L17" t="s">
        <v>279</v>
      </c>
      <c r="N17">
        <v>800</v>
      </c>
      <c r="O17">
        <v>60</v>
      </c>
      <c r="P17">
        <v>20</v>
      </c>
      <c r="Q17">
        <v>20</v>
      </c>
      <c r="R17">
        <v>0</v>
      </c>
      <c r="S17">
        <v>0</v>
      </c>
      <c r="T17">
        <v>0</v>
      </c>
      <c r="U17" t="s">
        <v>330</v>
      </c>
      <c r="V17" t="s">
        <v>380</v>
      </c>
      <c r="W17" t="s">
        <v>1329</v>
      </c>
      <c r="X17" t="s">
        <v>166</v>
      </c>
      <c r="Z17" t="s">
        <v>167</v>
      </c>
      <c r="AA17" t="s">
        <v>168</v>
      </c>
      <c r="AB17" t="s">
        <v>2502</v>
      </c>
      <c r="AC17" t="s">
        <v>167</v>
      </c>
      <c r="AE17" t="s">
        <v>167</v>
      </c>
      <c r="AG17" t="s">
        <v>170</v>
      </c>
      <c r="AH17" t="s">
        <v>2438</v>
      </c>
      <c r="AI17" t="s">
        <v>381</v>
      </c>
      <c r="AJ17" t="s">
        <v>169</v>
      </c>
      <c r="AK17" t="s">
        <v>382</v>
      </c>
      <c r="AL17" t="s">
        <v>2438</v>
      </c>
      <c r="AM17" t="s">
        <v>383</v>
      </c>
      <c r="AN17" t="s">
        <v>384</v>
      </c>
      <c r="AO17" t="s">
        <v>244</v>
      </c>
      <c r="AP17" t="s">
        <v>245</v>
      </c>
      <c r="AQ17" t="s">
        <v>245</v>
      </c>
      <c r="AR17" t="s">
        <v>245</v>
      </c>
      <c r="AS17" t="s">
        <v>245</v>
      </c>
      <c r="AU17" t="s">
        <v>176</v>
      </c>
      <c r="AW17" t="s">
        <v>223</v>
      </c>
      <c r="BE17" t="s">
        <v>182</v>
      </c>
      <c r="BG17" t="s">
        <v>223</v>
      </c>
      <c r="BH17" t="s">
        <v>180</v>
      </c>
      <c r="BJ17" t="s">
        <v>223</v>
      </c>
      <c r="BU17" t="s">
        <v>184</v>
      </c>
      <c r="BW17" t="s">
        <v>223</v>
      </c>
      <c r="CE17" t="s">
        <v>186</v>
      </c>
      <c r="CG17" t="s">
        <v>177</v>
      </c>
      <c r="CH17" t="s">
        <v>187</v>
      </c>
      <c r="CJ17" t="s">
        <v>177</v>
      </c>
      <c r="CK17" t="s">
        <v>188</v>
      </c>
      <c r="CM17" t="s">
        <v>177</v>
      </c>
      <c r="CN17" t="s">
        <v>190</v>
      </c>
      <c r="CP17" t="s">
        <v>177</v>
      </c>
      <c r="CQ17" t="s">
        <v>191</v>
      </c>
      <c r="CS17" t="s">
        <v>177</v>
      </c>
      <c r="CT17" t="s">
        <v>224</v>
      </c>
      <c r="CV17" t="s">
        <v>177</v>
      </c>
      <c r="CW17" t="s">
        <v>193</v>
      </c>
      <c r="CY17" t="s">
        <v>177</v>
      </c>
      <c r="DD17" t="s">
        <v>385</v>
      </c>
      <c r="DE17" t="s">
        <v>207</v>
      </c>
      <c r="DF17" t="s">
        <v>386</v>
      </c>
      <c r="DL17" t="s">
        <v>115</v>
      </c>
      <c r="DT17" t="s">
        <v>115</v>
      </c>
      <c r="DW17" t="s">
        <v>200</v>
      </c>
      <c r="DX17" t="s">
        <v>199</v>
      </c>
      <c r="DY17" t="s">
        <v>200</v>
      </c>
      <c r="EB17" t="s">
        <v>201</v>
      </c>
      <c r="ED17" t="s">
        <v>202</v>
      </c>
      <c r="EF17" t="s">
        <v>203</v>
      </c>
      <c r="EH17" t="s">
        <v>387</v>
      </c>
      <c r="EI17" t="s">
        <v>205</v>
      </c>
      <c r="EJ17" t="s">
        <v>388</v>
      </c>
      <c r="EK17" t="s">
        <v>389</v>
      </c>
      <c r="EL17" t="s">
        <v>122</v>
      </c>
      <c r="EN17" t="s">
        <v>124</v>
      </c>
      <c r="ET17" t="s">
        <v>200</v>
      </c>
      <c r="EU17" t="s">
        <v>199</v>
      </c>
      <c r="EV17" t="s">
        <v>200</v>
      </c>
      <c r="EY17" t="s">
        <v>209</v>
      </c>
      <c r="FA17" t="s">
        <v>202</v>
      </c>
      <c r="FB17" t="s">
        <v>203</v>
      </c>
      <c r="GV17" t="s">
        <v>390</v>
      </c>
      <c r="HG17" t="s">
        <v>160</v>
      </c>
      <c r="HK17" t="s">
        <v>391</v>
      </c>
      <c r="HM17" t="s">
        <v>362</v>
      </c>
      <c r="HN17" t="s">
        <v>392</v>
      </c>
      <c r="HP17" t="s">
        <v>393</v>
      </c>
    </row>
    <row r="18" spans="2:224" x14ac:dyDescent="0.25">
      <c r="B18">
        <v>10653488066</v>
      </c>
      <c r="C18" t="s">
        <v>1459</v>
      </c>
      <c r="D18">
        <v>224043989</v>
      </c>
      <c r="E18" s="2">
        <v>43565.611180555563</v>
      </c>
      <c r="F18" s="2">
        <v>43565.615416666667</v>
      </c>
      <c r="G18" t="s">
        <v>163</v>
      </c>
      <c r="L18" t="s">
        <v>315</v>
      </c>
      <c r="N18">
        <v>25000</v>
      </c>
      <c r="O18">
        <v>60</v>
      </c>
      <c r="P18">
        <v>20</v>
      </c>
      <c r="Q18">
        <v>20</v>
      </c>
      <c r="R18">
        <v>0</v>
      </c>
      <c r="S18">
        <v>0</v>
      </c>
      <c r="T18">
        <v>0</v>
      </c>
      <c r="U18" t="s">
        <v>330</v>
      </c>
      <c r="V18" t="s">
        <v>394</v>
      </c>
      <c r="W18" t="s">
        <v>1341</v>
      </c>
      <c r="X18" t="s">
        <v>166</v>
      </c>
      <c r="Z18" t="s">
        <v>263</v>
      </c>
      <c r="AA18" t="s">
        <v>263</v>
      </c>
      <c r="AB18" t="s">
        <v>168</v>
      </c>
      <c r="AC18" t="s">
        <v>238</v>
      </c>
      <c r="AD18" t="s">
        <v>395</v>
      </c>
      <c r="AE18" t="s">
        <v>238</v>
      </c>
      <c r="AG18" t="s">
        <v>317</v>
      </c>
      <c r="AH18" t="s">
        <v>169</v>
      </c>
      <c r="AI18" t="s">
        <v>396</v>
      </c>
      <c r="AJ18" t="s">
        <v>2438</v>
      </c>
      <c r="AK18" t="s">
        <v>397</v>
      </c>
      <c r="AL18" t="s">
        <v>2441</v>
      </c>
      <c r="AM18" t="s">
        <v>398</v>
      </c>
      <c r="AN18" t="s">
        <v>399</v>
      </c>
      <c r="AO18" t="s">
        <v>400</v>
      </c>
      <c r="AP18" t="s">
        <v>261</v>
      </c>
      <c r="AQ18" t="s">
        <v>261</v>
      </c>
      <c r="AR18" t="s">
        <v>401</v>
      </c>
      <c r="AS18" t="s">
        <v>261</v>
      </c>
      <c r="AU18" t="s">
        <v>402</v>
      </c>
      <c r="AW18" t="s">
        <v>403</v>
      </c>
      <c r="BD18" t="s">
        <v>404</v>
      </c>
      <c r="BE18" t="s">
        <v>182</v>
      </c>
      <c r="BG18" t="s">
        <v>403</v>
      </c>
      <c r="BU18" t="s">
        <v>184</v>
      </c>
      <c r="BW18" t="s">
        <v>405</v>
      </c>
      <c r="CE18" t="s">
        <v>186</v>
      </c>
      <c r="CG18" t="s">
        <v>403</v>
      </c>
      <c r="CH18" t="s">
        <v>191</v>
      </c>
      <c r="CJ18" t="s">
        <v>403</v>
      </c>
      <c r="CK18" t="s">
        <v>323</v>
      </c>
      <c r="CM18" t="s">
        <v>403</v>
      </c>
      <c r="CN18" t="s">
        <v>187</v>
      </c>
      <c r="CP18" t="s">
        <v>403</v>
      </c>
      <c r="DD18" t="s">
        <v>406</v>
      </c>
      <c r="DJ18" t="s">
        <v>113</v>
      </c>
      <c r="DL18" t="s">
        <v>115</v>
      </c>
      <c r="DN18" t="s">
        <v>407</v>
      </c>
      <c r="DR18" t="s">
        <v>113</v>
      </c>
      <c r="DT18" t="s">
        <v>115</v>
      </c>
      <c r="DW18" t="s">
        <v>200</v>
      </c>
      <c r="DX18" t="s">
        <v>198</v>
      </c>
      <c r="DY18" t="s">
        <v>199</v>
      </c>
      <c r="EB18" t="s">
        <v>201</v>
      </c>
      <c r="ED18" t="s">
        <v>228</v>
      </c>
      <c r="EF18" t="s">
        <v>233</v>
      </c>
      <c r="EH18" t="s">
        <v>408</v>
      </c>
      <c r="GX18" t="s">
        <v>151</v>
      </c>
      <c r="HG18" t="s">
        <v>160</v>
      </c>
    </row>
    <row r="19" spans="2:224" x14ac:dyDescent="0.25">
      <c r="B19">
        <v>10653473203</v>
      </c>
      <c r="C19" t="s">
        <v>1459</v>
      </c>
      <c r="D19">
        <v>224043989</v>
      </c>
      <c r="E19" s="2">
        <v>43565.599131944437</v>
      </c>
      <c r="F19" s="2">
        <v>43565.61513888889</v>
      </c>
      <c r="G19" t="s">
        <v>163</v>
      </c>
      <c r="L19" t="s">
        <v>366</v>
      </c>
      <c r="N19">
        <v>45000</v>
      </c>
      <c r="O19">
        <v>40</v>
      </c>
      <c r="P19">
        <v>10</v>
      </c>
      <c r="Q19">
        <v>40</v>
      </c>
      <c r="R19">
        <v>0</v>
      </c>
      <c r="S19">
        <v>10</v>
      </c>
      <c r="T19">
        <v>0</v>
      </c>
      <c r="U19" t="s">
        <v>322</v>
      </c>
      <c r="V19" t="s">
        <v>409</v>
      </c>
      <c r="W19" t="s">
        <v>1330</v>
      </c>
      <c r="X19" t="s">
        <v>166</v>
      </c>
      <c r="Z19" t="s">
        <v>218</v>
      </c>
      <c r="AA19" t="s">
        <v>2502</v>
      </c>
      <c r="AB19" t="s">
        <v>2502</v>
      </c>
      <c r="AC19" t="s">
        <v>218</v>
      </c>
      <c r="AD19" t="s">
        <v>410</v>
      </c>
      <c r="AE19" t="s">
        <v>263</v>
      </c>
      <c r="AF19" t="s">
        <v>411</v>
      </c>
      <c r="AG19" t="s">
        <v>412</v>
      </c>
      <c r="AH19" t="s">
        <v>412</v>
      </c>
      <c r="AM19" t="s">
        <v>413</v>
      </c>
      <c r="AN19" t="s">
        <v>414</v>
      </c>
      <c r="AO19" t="s">
        <v>415</v>
      </c>
      <c r="AP19" t="s">
        <v>175</v>
      </c>
      <c r="AQ19" t="s">
        <v>175</v>
      </c>
      <c r="AR19" t="s">
        <v>175</v>
      </c>
      <c r="AS19" t="s">
        <v>245</v>
      </c>
      <c r="AU19" t="s">
        <v>176</v>
      </c>
      <c r="AW19" t="s">
        <v>177</v>
      </c>
      <c r="BD19" t="s">
        <v>416</v>
      </c>
      <c r="BE19" t="s">
        <v>182</v>
      </c>
      <c r="BG19" t="s">
        <v>177</v>
      </c>
      <c r="BT19" t="s">
        <v>417</v>
      </c>
      <c r="CD19" t="s">
        <v>418</v>
      </c>
      <c r="DD19" t="s">
        <v>419</v>
      </c>
      <c r="DE19" t="s">
        <v>420</v>
      </c>
      <c r="DF19" t="s">
        <v>421</v>
      </c>
      <c r="DG19" t="s">
        <v>110</v>
      </c>
      <c r="DK19" t="s">
        <v>114</v>
      </c>
      <c r="DN19" t="s">
        <v>422</v>
      </c>
      <c r="DO19" t="s">
        <v>110</v>
      </c>
      <c r="DS19" t="s">
        <v>114</v>
      </c>
      <c r="DV19" t="s">
        <v>423</v>
      </c>
      <c r="DW19" t="s">
        <v>424</v>
      </c>
      <c r="DX19" t="s">
        <v>424</v>
      </c>
      <c r="DY19" t="s">
        <v>198</v>
      </c>
      <c r="EA19" t="s">
        <v>425</v>
      </c>
      <c r="EB19" t="s">
        <v>201</v>
      </c>
      <c r="EC19" t="s">
        <v>426</v>
      </c>
      <c r="ED19" t="s">
        <v>202</v>
      </c>
      <c r="EF19" t="s">
        <v>233</v>
      </c>
      <c r="EG19" t="s">
        <v>427</v>
      </c>
      <c r="EH19" t="s">
        <v>428</v>
      </c>
      <c r="EI19" t="s">
        <v>429</v>
      </c>
      <c r="EJ19" t="s">
        <v>430</v>
      </c>
      <c r="EM19" t="s">
        <v>123</v>
      </c>
      <c r="EO19" t="s">
        <v>113</v>
      </c>
      <c r="ES19" t="s">
        <v>431</v>
      </c>
      <c r="ET19" t="s">
        <v>200</v>
      </c>
      <c r="EU19" t="s">
        <v>198</v>
      </c>
      <c r="EX19" t="s">
        <v>432</v>
      </c>
      <c r="EY19" t="s">
        <v>209</v>
      </c>
      <c r="FA19" t="s">
        <v>202</v>
      </c>
      <c r="FB19" t="s">
        <v>433</v>
      </c>
      <c r="HJ19" t="s">
        <v>434</v>
      </c>
      <c r="HM19" t="s">
        <v>435</v>
      </c>
      <c r="HN19" t="s">
        <v>436</v>
      </c>
    </row>
    <row r="20" spans="2:224" x14ac:dyDescent="0.25">
      <c r="B20">
        <v>10653467912</v>
      </c>
      <c r="C20" t="s">
        <v>1459</v>
      </c>
      <c r="D20">
        <v>224043989</v>
      </c>
      <c r="E20" s="2">
        <v>43565.518587962957</v>
      </c>
      <c r="F20" s="2">
        <v>43565.609976851847</v>
      </c>
      <c r="G20" t="s">
        <v>163</v>
      </c>
      <c r="L20" t="s">
        <v>33</v>
      </c>
      <c r="M20" t="s">
        <v>437</v>
      </c>
      <c r="N20">
        <v>1200</v>
      </c>
      <c r="O20">
        <v>54</v>
      </c>
      <c r="P20">
        <v>36</v>
      </c>
      <c r="Q20">
        <v>10</v>
      </c>
      <c r="R20">
        <v>0</v>
      </c>
      <c r="S20">
        <v>0</v>
      </c>
      <c r="T20">
        <v>0</v>
      </c>
      <c r="U20" s="8" t="s">
        <v>1381</v>
      </c>
      <c r="V20" t="s">
        <v>438</v>
      </c>
      <c r="W20" t="s">
        <v>1331</v>
      </c>
      <c r="X20" t="s">
        <v>166</v>
      </c>
      <c r="Z20" t="s">
        <v>167</v>
      </c>
      <c r="AA20" t="s">
        <v>168</v>
      </c>
      <c r="AB20" t="s">
        <v>2502</v>
      </c>
      <c r="AC20" t="s">
        <v>167</v>
      </c>
      <c r="AE20" t="s">
        <v>167</v>
      </c>
      <c r="AG20" t="s">
        <v>439</v>
      </c>
      <c r="AH20" t="s">
        <v>169</v>
      </c>
      <c r="AI20" t="s">
        <v>240</v>
      </c>
      <c r="AJ20" t="s">
        <v>2438</v>
      </c>
      <c r="AK20" t="s">
        <v>440</v>
      </c>
      <c r="AL20" t="s">
        <v>2441</v>
      </c>
      <c r="AM20" t="s">
        <v>441</v>
      </c>
      <c r="AN20" t="s">
        <v>442</v>
      </c>
      <c r="AO20" t="s">
        <v>443</v>
      </c>
      <c r="AP20" t="s">
        <v>245</v>
      </c>
      <c r="AQ20" t="s">
        <v>245</v>
      </c>
      <c r="AR20" t="s">
        <v>261</v>
      </c>
      <c r="AS20" t="s">
        <v>245</v>
      </c>
      <c r="AU20" t="s">
        <v>178</v>
      </c>
      <c r="AW20" t="s">
        <v>223</v>
      </c>
      <c r="AX20" t="s">
        <v>176</v>
      </c>
      <c r="AZ20" t="s">
        <v>223</v>
      </c>
      <c r="BE20" t="s">
        <v>182</v>
      </c>
      <c r="BG20" t="s">
        <v>223</v>
      </c>
      <c r="BH20" t="s">
        <v>181</v>
      </c>
      <c r="BJ20" t="s">
        <v>223</v>
      </c>
      <c r="BU20" t="s">
        <v>184</v>
      </c>
      <c r="BW20" t="s">
        <v>223</v>
      </c>
      <c r="CE20" t="s">
        <v>186</v>
      </c>
      <c r="CG20" t="s">
        <v>223</v>
      </c>
      <c r="CH20" t="s">
        <v>187</v>
      </c>
      <c r="CJ20" t="s">
        <v>223</v>
      </c>
      <c r="CK20" t="s">
        <v>188</v>
      </c>
      <c r="CM20" t="s">
        <v>223</v>
      </c>
      <c r="CN20" t="s">
        <v>190</v>
      </c>
      <c r="CP20" t="s">
        <v>223</v>
      </c>
      <c r="CQ20" t="s">
        <v>191</v>
      </c>
      <c r="CS20" t="s">
        <v>223</v>
      </c>
      <c r="CT20" t="s">
        <v>192</v>
      </c>
      <c r="CV20" t="s">
        <v>223</v>
      </c>
      <c r="CW20" t="s">
        <v>193</v>
      </c>
      <c r="CY20" t="s">
        <v>223</v>
      </c>
      <c r="CZ20" t="s">
        <v>189</v>
      </c>
      <c r="DB20" t="s">
        <v>223</v>
      </c>
      <c r="DD20" t="s">
        <v>444</v>
      </c>
      <c r="DE20" t="s">
        <v>445</v>
      </c>
      <c r="DF20" t="s">
        <v>446</v>
      </c>
      <c r="DG20" t="s">
        <v>110</v>
      </c>
      <c r="DI20" t="s">
        <v>112</v>
      </c>
      <c r="DN20" t="s">
        <v>447</v>
      </c>
      <c r="DO20" t="s">
        <v>110</v>
      </c>
      <c r="DQ20" t="s">
        <v>112</v>
      </c>
      <c r="DV20" t="s">
        <v>447</v>
      </c>
      <c r="DW20" t="s">
        <v>198</v>
      </c>
      <c r="DX20" t="s">
        <v>199</v>
      </c>
      <c r="DY20" t="s">
        <v>199</v>
      </c>
      <c r="EB20" t="s">
        <v>201</v>
      </c>
      <c r="EC20" t="s">
        <v>448</v>
      </c>
      <c r="ED20" t="s">
        <v>202</v>
      </c>
      <c r="EF20" t="s">
        <v>233</v>
      </c>
      <c r="EH20" t="s">
        <v>449</v>
      </c>
      <c r="EI20" t="s">
        <v>450</v>
      </c>
      <c r="EJ20" t="s">
        <v>451</v>
      </c>
      <c r="EK20" t="s">
        <v>452</v>
      </c>
      <c r="EL20" t="s">
        <v>122</v>
      </c>
      <c r="EN20" t="s">
        <v>124</v>
      </c>
      <c r="ET20" t="s">
        <v>200</v>
      </c>
      <c r="EU20" t="s">
        <v>200</v>
      </c>
      <c r="EV20" t="s">
        <v>200</v>
      </c>
      <c r="EY20" t="s">
        <v>209</v>
      </c>
      <c r="FA20" t="s">
        <v>202</v>
      </c>
      <c r="FB20" t="s">
        <v>233</v>
      </c>
      <c r="GV20" t="s">
        <v>453</v>
      </c>
      <c r="GX20" t="s">
        <v>151</v>
      </c>
      <c r="GY20" t="s">
        <v>152</v>
      </c>
      <c r="HB20" t="s">
        <v>155</v>
      </c>
      <c r="HC20" t="s">
        <v>156</v>
      </c>
      <c r="HD20" t="s">
        <v>157</v>
      </c>
      <c r="HG20" t="s">
        <v>160</v>
      </c>
      <c r="HJ20" t="s">
        <v>454</v>
      </c>
      <c r="HK20" t="s">
        <v>455</v>
      </c>
      <c r="HM20" t="s">
        <v>456</v>
      </c>
      <c r="HN20" t="s">
        <v>457</v>
      </c>
      <c r="HO20" t="s">
        <v>458</v>
      </c>
      <c r="HP20" t="s">
        <v>459</v>
      </c>
    </row>
    <row r="21" spans="2:224" x14ac:dyDescent="0.25">
      <c r="B21">
        <v>10653456467</v>
      </c>
      <c r="C21" t="s">
        <v>1459</v>
      </c>
      <c r="D21">
        <v>224043989</v>
      </c>
      <c r="E21" s="2">
        <v>43565.501712962963</v>
      </c>
      <c r="F21" s="2">
        <v>43565.603703703702</v>
      </c>
      <c r="G21" t="s">
        <v>163</v>
      </c>
      <c r="L21" t="s">
        <v>315</v>
      </c>
      <c r="N21">
        <v>15000</v>
      </c>
      <c r="O21">
        <v>60</v>
      </c>
      <c r="P21">
        <v>20</v>
      </c>
      <c r="Q21">
        <v>20</v>
      </c>
      <c r="R21">
        <v>0</v>
      </c>
      <c r="S21">
        <v>0</v>
      </c>
      <c r="T21">
        <v>0</v>
      </c>
      <c r="U21" s="8" t="s">
        <v>1381</v>
      </c>
      <c r="V21" t="s">
        <v>460</v>
      </c>
      <c r="W21" t="s">
        <v>1342</v>
      </c>
      <c r="X21" t="s">
        <v>166</v>
      </c>
      <c r="Z21" t="s">
        <v>218</v>
      </c>
      <c r="AA21" t="s">
        <v>168</v>
      </c>
      <c r="AB21" t="s">
        <v>263</v>
      </c>
      <c r="AC21" t="s">
        <v>238</v>
      </c>
      <c r="AE21" t="s">
        <v>238</v>
      </c>
      <c r="AM21" t="s">
        <v>461</v>
      </c>
      <c r="AN21" t="s">
        <v>462</v>
      </c>
      <c r="AO21" t="s">
        <v>461</v>
      </c>
      <c r="AP21" t="s">
        <v>261</v>
      </c>
      <c r="AQ21" t="s">
        <v>322</v>
      </c>
      <c r="AR21">
        <v>0</v>
      </c>
      <c r="AS21" t="s">
        <v>322</v>
      </c>
      <c r="AU21" t="s">
        <v>178</v>
      </c>
      <c r="BD21" t="s">
        <v>463</v>
      </c>
      <c r="BE21" t="s">
        <v>181</v>
      </c>
      <c r="DD21" t="s">
        <v>464</v>
      </c>
      <c r="DE21" t="s">
        <v>465</v>
      </c>
      <c r="DN21" t="s">
        <v>466</v>
      </c>
      <c r="DW21" t="s">
        <v>198</v>
      </c>
      <c r="DX21" t="s">
        <v>199</v>
      </c>
      <c r="DY21" t="s">
        <v>199</v>
      </c>
      <c r="EA21" t="s">
        <v>467</v>
      </c>
      <c r="EB21" t="s">
        <v>201</v>
      </c>
      <c r="ED21" t="s">
        <v>326</v>
      </c>
      <c r="EF21" t="s">
        <v>233</v>
      </c>
      <c r="EH21" t="s">
        <v>468</v>
      </c>
      <c r="ES21" t="s">
        <v>469</v>
      </c>
      <c r="ET21" t="s">
        <v>200</v>
      </c>
      <c r="EU21" t="s">
        <v>198</v>
      </c>
      <c r="EV21" t="s">
        <v>200</v>
      </c>
      <c r="EY21" t="s">
        <v>209</v>
      </c>
      <c r="FA21" t="s">
        <v>202</v>
      </c>
      <c r="FB21" t="s">
        <v>233</v>
      </c>
      <c r="GV21" t="s">
        <v>470</v>
      </c>
      <c r="GX21" t="s">
        <v>151</v>
      </c>
      <c r="GY21" t="s">
        <v>152</v>
      </c>
      <c r="GZ21" t="s">
        <v>153</v>
      </c>
      <c r="HA21" t="s">
        <v>154</v>
      </c>
      <c r="HB21" t="s">
        <v>155</v>
      </c>
      <c r="HF21" t="s">
        <v>159</v>
      </c>
      <c r="HH21" t="s">
        <v>161</v>
      </c>
      <c r="HI21" t="s">
        <v>162</v>
      </c>
      <c r="HJ21" t="s">
        <v>471</v>
      </c>
      <c r="HK21" t="s">
        <v>472</v>
      </c>
      <c r="HL21" t="s">
        <v>473</v>
      </c>
      <c r="HM21" t="s">
        <v>474</v>
      </c>
      <c r="HN21" t="s">
        <v>475</v>
      </c>
      <c r="HP21">
        <v>408991282</v>
      </c>
    </row>
    <row r="22" spans="2:224" x14ac:dyDescent="0.25">
      <c r="B22">
        <v>10653284352</v>
      </c>
      <c r="C22" t="s">
        <v>1459</v>
      </c>
      <c r="D22">
        <v>224043989</v>
      </c>
      <c r="E22" s="2">
        <v>43565.493460648147</v>
      </c>
      <c r="F22" s="2">
        <v>43565.501643518517</v>
      </c>
      <c r="G22" t="s">
        <v>163</v>
      </c>
      <c r="L22" t="s">
        <v>291</v>
      </c>
      <c r="N22">
        <v>0</v>
      </c>
      <c r="O22">
        <v>80</v>
      </c>
      <c r="P22">
        <v>0</v>
      </c>
      <c r="Q22">
        <v>5</v>
      </c>
      <c r="R22">
        <v>0</v>
      </c>
      <c r="S22">
        <v>15</v>
      </c>
      <c r="T22">
        <v>0</v>
      </c>
      <c r="U22" t="s">
        <v>216</v>
      </c>
      <c r="V22" t="s">
        <v>476</v>
      </c>
      <c r="W22" t="s">
        <v>1343</v>
      </c>
      <c r="X22" t="s">
        <v>166</v>
      </c>
      <c r="Z22" t="s">
        <v>238</v>
      </c>
      <c r="AA22" t="s">
        <v>263</v>
      </c>
      <c r="AB22" t="s">
        <v>2502</v>
      </c>
      <c r="AC22" t="s">
        <v>2502</v>
      </c>
      <c r="AD22" t="s">
        <v>477</v>
      </c>
      <c r="AE22" t="s">
        <v>263</v>
      </c>
      <c r="AG22" t="s">
        <v>478</v>
      </c>
      <c r="AH22" t="s">
        <v>2442</v>
      </c>
      <c r="AI22" t="s">
        <v>479</v>
      </c>
      <c r="AJ22" t="s">
        <v>2438</v>
      </c>
      <c r="AK22" t="s">
        <v>480</v>
      </c>
      <c r="AL22" t="s">
        <v>2439</v>
      </c>
      <c r="AM22" t="s">
        <v>481</v>
      </c>
      <c r="AN22" t="s">
        <v>482</v>
      </c>
      <c r="AP22" t="s">
        <v>322</v>
      </c>
      <c r="AQ22" t="s">
        <v>322</v>
      </c>
      <c r="AR22" t="s">
        <v>401</v>
      </c>
      <c r="AS22" t="s">
        <v>322</v>
      </c>
      <c r="AU22" t="s">
        <v>176</v>
      </c>
      <c r="BE22" t="s">
        <v>182</v>
      </c>
      <c r="BU22" t="s">
        <v>184</v>
      </c>
      <c r="CE22" t="s">
        <v>186</v>
      </c>
      <c r="CH22" t="s">
        <v>187</v>
      </c>
      <c r="CK22" t="s">
        <v>188</v>
      </c>
      <c r="CN22" t="s">
        <v>323</v>
      </c>
      <c r="CQ22" t="s">
        <v>191</v>
      </c>
      <c r="DD22" t="s">
        <v>483</v>
      </c>
      <c r="DH22" t="s">
        <v>111</v>
      </c>
      <c r="DJ22" t="s">
        <v>113</v>
      </c>
      <c r="DL22" t="s">
        <v>115</v>
      </c>
      <c r="DP22" t="s">
        <v>111</v>
      </c>
      <c r="DR22" t="s">
        <v>113</v>
      </c>
      <c r="DT22" t="s">
        <v>115</v>
      </c>
      <c r="DW22" t="s">
        <v>199</v>
      </c>
      <c r="DX22" t="s">
        <v>199</v>
      </c>
      <c r="DY22" t="s">
        <v>199</v>
      </c>
      <c r="EB22" t="s">
        <v>201</v>
      </c>
      <c r="ED22" t="s">
        <v>228</v>
      </c>
      <c r="EF22" t="s">
        <v>233</v>
      </c>
      <c r="EG22" t="s">
        <v>484</v>
      </c>
      <c r="EH22" t="s">
        <v>485</v>
      </c>
      <c r="EI22" t="s">
        <v>486</v>
      </c>
      <c r="ES22" t="s">
        <v>487</v>
      </c>
      <c r="ET22" t="s">
        <v>198</v>
      </c>
      <c r="EU22" t="s">
        <v>198</v>
      </c>
      <c r="EV22" t="s">
        <v>199</v>
      </c>
      <c r="EX22" t="s">
        <v>488</v>
      </c>
      <c r="EY22">
        <v>0</v>
      </c>
      <c r="FA22" t="s">
        <v>202</v>
      </c>
      <c r="FB22" t="s">
        <v>203</v>
      </c>
      <c r="GV22" t="s">
        <v>489</v>
      </c>
      <c r="GX22" t="s">
        <v>151</v>
      </c>
      <c r="GY22" t="s">
        <v>152</v>
      </c>
      <c r="HH22" t="s">
        <v>161</v>
      </c>
      <c r="HK22" t="s">
        <v>490</v>
      </c>
      <c r="HM22" t="s">
        <v>491</v>
      </c>
      <c r="HN22" t="s">
        <v>492</v>
      </c>
      <c r="HP22" t="s">
        <v>493</v>
      </c>
    </row>
    <row r="23" spans="2:224" x14ac:dyDescent="0.25">
      <c r="B23">
        <v>10653241748</v>
      </c>
      <c r="C23" t="s">
        <v>1459</v>
      </c>
      <c r="D23">
        <v>224043989</v>
      </c>
      <c r="E23" s="2">
        <v>43565.392210648148</v>
      </c>
      <c r="F23" s="2">
        <v>43565.485231481478</v>
      </c>
      <c r="G23" t="s">
        <v>163</v>
      </c>
      <c r="L23" t="s">
        <v>215</v>
      </c>
      <c r="N23">
        <v>10000</v>
      </c>
      <c r="O23">
        <v>70</v>
      </c>
      <c r="P23">
        <v>30</v>
      </c>
      <c r="Q23">
        <v>0</v>
      </c>
      <c r="R23">
        <v>0</v>
      </c>
      <c r="S23">
        <v>0</v>
      </c>
      <c r="T23">
        <v>0</v>
      </c>
      <c r="U23" t="s">
        <v>494</v>
      </c>
      <c r="V23" t="s">
        <v>495</v>
      </c>
      <c r="W23" t="s">
        <v>1332</v>
      </c>
      <c r="X23" t="s">
        <v>166</v>
      </c>
      <c r="Z23" t="s">
        <v>167</v>
      </c>
      <c r="AA23" t="s">
        <v>168</v>
      </c>
      <c r="AB23" t="s">
        <v>2502</v>
      </c>
      <c r="AC23" t="s">
        <v>167</v>
      </c>
      <c r="AE23" t="s">
        <v>167</v>
      </c>
      <c r="AG23" t="s">
        <v>496</v>
      </c>
      <c r="AH23" t="s">
        <v>169</v>
      </c>
      <c r="AI23" t="s">
        <v>368</v>
      </c>
      <c r="AJ23" t="s">
        <v>2438</v>
      </c>
      <c r="AN23" t="s">
        <v>497</v>
      </c>
      <c r="AP23" t="s">
        <v>245</v>
      </c>
      <c r="AQ23" t="s">
        <v>245</v>
      </c>
      <c r="AR23" t="s">
        <v>245</v>
      </c>
      <c r="AS23" t="s">
        <v>245</v>
      </c>
      <c r="AU23" t="s">
        <v>178</v>
      </c>
      <c r="BD23" t="s">
        <v>498</v>
      </c>
      <c r="BE23" t="s">
        <v>182</v>
      </c>
      <c r="BU23" t="s">
        <v>184</v>
      </c>
      <c r="CE23" t="s">
        <v>186</v>
      </c>
      <c r="CH23" t="s">
        <v>191</v>
      </c>
      <c r="CK23" t="s">
        <v>323</v>
      </c>
      <c r="DD23" t="s">
        <v>499</v>
      </c>
      <c r="DG23" t="s">
        <v>110</v>
      </c>
      <c r="DH23" t="s">
        <v>111</v>
      </c>
      <c r="DI23" t="s">
        <v>112</v>
      </c>
      <c r="DO23" t="s">
        <v>110</v>
      </c>
      <c r="DP23" t="s">
        <v>111</v>
      </c>
      <c r="DW23" t="s">
        <v>198</v>
      </c>
      <c r="DX23" t="s">
        <v>198</v>
      </c>
      <c r="DY23" t="s">
        <v>199</v>
      </c>
      <c r="EB23" t="s">
        <v>201</v>
      </c>
      <c r="ED23" t="s">
        <v>202</v>
      </c>
      <c r="EF23" t="s">
        <v>433</v>
      </c>
      <c r="EG23" t="s">
        <v>500</v>
      </c>
      <c r="EH23" t="s">
        <v>501</v>
      </c>
      <c r="EI23" t="s">
        <v>502</v>
      </c>
      <c r="EQ23" t="s">
        <v>126</v>
      </c>
      <c r="ER23" t="s">
        <v>127</v>
      </c>
      <c r="ES23" t="s">
        <v>503</v>
      </c>
      <c r="ET23" t="s">
        <v>199</v>
      </c>
      <c r="EU23" t="s">
        <v>198</v>
      </c>
      <c r="EV23" t="s">
        <v>199</v>
      </c>
      <c r="EX23" t="s">
        <v>504</v>
      </c>
      <c r="EY23">
        <v>0</v>
      </c>
      <c r="FA23" t="s">
        <v>254</v>
      </c>
      <c r="FB23" t="s">
        <v>203</v>
      </c>
      <c r="GV23" t="s">
        <v>505</v>
      </c>
      <c r="GW23" t="s">
        <v>150</v>
      </c>
      <c r="GX23" t="s">
        <v>151</v>
      </c>
      <c r="HA23" t="s">
        <v>154</v>
      </c>
      <c r="HB23" t="s">
        <v>155</v>
      </c>
      <c r="HH23" t="s">
        <v>161</v>
      </c>
      <c r="HK23" t="s">
        <v>506</v>
      </c>
      <c r="HL23" t="s">
        <v>507</v>
      </c>
      <c r="HM23" t="s">
        <v>508</v>
      </c>
      <c r="HN23" t="s">
        <v>509</v>
      </c>
      <c r="HP23" t="s">
        <v>510</v>
      </c>
    </row>
    <row r="24" spans="2:224" x14ac:dyDescent="0.25">
      <c r="B24">
        <v>10653238970</v>
      </c>
      <c r="C24" t="s">
        <v>1459</v>
      </c>
      <c r="D24">
        <v>224043989</v>
      </c>
      <c r="E24" s="2">
        <v>43565.467812499999</v>
      </c>
      <c r="F24" s="2">
        <v>43565.487199074072</v>
      </c>
      <c r="G24" t="s">
        <v>163</v>
      </c>
      <c r="L24" t="s">
        <v>260</v>
      </c>
      <c r="N24">
        <v>15000</v>
      </c>
      <c r="O24">
        <v>50</v>
      </c>
      <c r="P24">
        <v>10</v>
      </c>
      <c r="Q24">
        <v>10</v>
      </c>
      <c r="R24">
        <v>10</v>
      </c>
      <c r="S24">
        <v>10</v>
      </c>
      <c r="T24">
        <v>0</v>
      </c>
      <c r="U24" t="s">
        <v>322</v>
      </c>
      <c r="V24" t="s">
        <v>511</v>
      </c>
      <c r="W24" t="s">
        <v>1333</v>
      </c>
      <c r="X24" t="s">
        <v>166</v>
      </c>
      <c r="Z24" t="s">
        <v>167</v>
      </c>
      <c r="AA24" t="s">
        <v>168</v>
      </c>
      <c r="AB24" t="s">
        <v>168</v>
      </c>
      <c r="AD24" t="s">
        <v>512</v>
      </c>
      <c r="AE24" t="s">
        <v>168</v>
      </c>
      <c r="AG24" t="s">
        <v>513</v>
      </c>
      <c r="AH24" t="s">
        <v>2438</v>
      </c>
      <c r="AM24" t="s">
        <v>514</v>
      </c>
      <c r="AP24" t="s">
        <v>175</v>
      </c>
      <c r="AQ24" t="s">
        <v>175</v>
      </c>
      <c r="AR24" t="s">
        <v>175</v>
      </c>
      <c r="AS24" t="s">
        <v>401</v>
      </c>
      <c r="BD24" t="s">
        <v>515</v>
      </c>
      <c r="BE24" t="s">
        <v>182</v>
      </c>
      <c r="BH24" t="s">
        <v>183</v>
      </c>
      <c r="BK24" t="s">
        <v>180</v>
      </c>
      <c r="BT24" t="s">
        <v>516</v>
      </c>
      <c r="CD24" t="s">
        <v>517</v>
      </c>
      <c r="DC24" t="s">
        <v>518</v>
      </c>
      <c r="DD24" t="s">
        <v>519</v>
      </c>
      <c r="DE24" t="s">
        <v>520</v>
      </c>
      <c r="DF24" t="s">
        <v>521</v>
      </c>
      <c r="DH24" t="s">
        <v>111</v>
      </c>
      <c r="DJ24" t="s">
        <v>113</v>
      </c>
      <c r="DN24" t="s">
        <v>522</v>
      </c>
      <c r="DV24" t="s">
        <v>523</v>
      </c>
      <c r="DW24" t="s">
        <v>200</v>
      </c>
      <c r="EA24" t="s">
        <v>524</v>
      </c>
      <c r="EB24" t="s">
        <v>201</v>
      </c>
      <c r="ED24" t="s">
        <v>228</v>
      </c>
      <c r="EF24" t="s">
        <v>203</v>
      </c>
      <c r="EH24" t="s">
        <v>525</v>
      </c>
      <c r="EI24" t="s">
        <v>526</v>
      </c>
      <c r="EJ24" t="s">
        <v>527</v>
      </c>
      <c r="EK24" t="s">
        <v>528</v>
      </c>
      <c r="EL24" t="s">
        <v>122</v>
      </c>
      <c r="EM24" t="s">
        <v>123</v>
      </c>
      <c r="ES24" t="s">
        <v>529</v>
      </c>
      <c r="ET24" t="s">
        <v>200</v>
      </c>
      <c r="EU24" t="s">
        <v>199</v>
      </c>
      <c r="EV24" t="s">
        <v>199</v>
      </c>
      <c r="EY24" t="s">
        <v>209</v>
      </c>
      <c r="FA24" t="s">
        <v>202</v>
      </c>
      <c r="FB24" t="s">
        <v>233</v>
      </c>
      <c r="GV24" t="s">
        <v>530</v>
      </c>
      <c r="HK24" t="s">
        <v>531</v>
      </c>
      <c r="HM24" t="s">
        <v>532</v>
      </c>
    </row>
    <row r="25" spans="2:224" x14ac:dyDescent="0.25">
      <c r="B25">
        <v>10653118548</v>
      </c>
      <c r="C25" t="s">
        <v>1459</v>
      </c>
      <c r="D25">
        <v>224043989</v>
      </c>
      <c r="E25" s="2">
        <v>43565.419699074067</v>
      </c>
      <c r="F25" s="2">
        <v>43565.437696759262</v>
      </c>
      <c r="G25" t="s">
        <v>163</v>
      </c>
      <c r="L25" t="s">
        <v>164</v>
      </c>
      <c r="N25">
        <v>30000</v>
      </c>
      <c r="O25">
        <v>60</v>
      </c>
      <c r="P25">
        <v>0</v>
      </c>
      <c r="Q25">
        <v>40</v>
      </c>
      <c r="R25">
        <v>0</v>
      </c>
      <c r="S25">
        <v>0</v>
      </c>
      <c r="T25">
        <v>0</v>
      </c>
      <c r="U25" t="s">
        <v>494</v>
      </c>
      <c r="V25" t="s">
        <v>533</v>
      </c>
      <c r="W25" t="s">
        <v>1322</v>
      </c>
      <c r="X25" t="s">
        <v>166</v>
      </c>
      <c r="Z25" t="s">
        <v>168</v>
      </c>
      <c r="AA25" t="s">
        <v>168</v>
      </c>
      <c r="AB25" t="s">
        <v>238</v>
      </c>
      <c r="AC25" t="s">
        <v>2502</v>
      </c>
      <c r="AD25" t="s">
        <v>534</v>
      </c>
      <c r="AE25" t="s">
        <v>263</v>
      </c>
      <c r="AF25" t="s">
        <v>535</v>
      </c>
      <c r="AG25" t="s">
        <v>536</v>
      </c>
      <c r="AH25" t="s">
        <v>169</v>
      </c>
      <c r="AI25" t="s">
        <v>537</v>
      </c>
      <c r="AJ25" t="s">
        <v>2441</v>
      </c>
      <c r="AK25" t="s">
        <v>538</v>
      </c>
      <c r="AL25" t="s">
        <v>2438</v>
      </c>
      <c r="AO25" t="s">
        <v>539</v>
      </c>
      <c r="AP25" t="s">
        <v>261</v>
      </c>
      <c r="AQ25" t="s">
        <v>401</v>
      </c>
      <c r="AR25" t="s">
        <v>322</v>
      </c>
      <c r="AS25" t="s">
        <v>261</v>
      </c>
      <c r="AU25" t="s">
        <v>178</v>
      </c>
      <c r="AW25" t="s">
        <v>540</v>
      </c>
      <c r="AX25" t="s">
        <v>176</v>
      </c>
      <c r="AZ25" t="s">
        <v>540</v>
      </c>
      <c r="BA25" t="s">
        <v>402</v>
      </c>
      <c r="BC25" t="s">
        <v>540</v>
      </c>
      <c r="BD25" t="s">
        <v>541</v>
      </c>
      <c r="BE25" t="s">
        <v>183</v>
      </c>
      <c r="BG25" t="s">
        <v>540</v>
      </c>
      <c r="BH25" t="s">
        <v>182</v>
      </c>
      <c r="BJ25" t="s">
        <v>540</v>
      </c>
      <c r="BK25" t="s">
        <v>180</v>
      </c>
      <c r="BM25" t="s">
        <v>540</v>
      </c>
      <c r="CD25" t="s">
        <v>542</v>
      </c>
      <c r="CE25" t="s">
        <v>192</v>
      </c>
      <c r="DC25" t="s">
        <v>543</v>
      </c>
      <c r="DD25" t="s">
        <v>544</v>
      </c>
      <c r="DE25" t="s">
        <v>545</v>
      </c>
      <c r="DF25" t="s">
        <v>546</v>
      </c>
      <c r="DG25" t="s">
        <v>110</v>
      </c>
      <c r="DN25" t="s">
        <v>547</v>
      </c>
      <c r="DO25" t="s">
        <v>110</v>
      </c>
      <c r="DV25" t="s">
        <v>548</v>
      </c>
      <c r="DW25" t="s">
        <v>424</v>
      </c>
      <c r="DX25" t="s">
        <v>198</v>
      </c>
      <c r="DY25" t="s">
        <v>199</v>
      </c>
      <c r="EB25" t="s">
        <v>201</v>
      </c>
      <c r="ED25" t="s">
        <v>254</v>
      </c>
      <c r="EE25" t="s">
        <v>549</v>
      </c>
      <c r="EG25" t="s">
        <v>550</v>
      </c>
      <c r="EH25" t="s">
        <v>551</v>
      </c>
      <c r="EI25" t="s">
        <v>552</v>
      </c>
      <c r="EJ25" t="s">
        <v>553</v>
      </c>
      <c r="EL25" t="s">
        <v>122</v>
      </c>
      <c r="ES25" t="s">
        <v>554</v>
      </c>
      <c r="ET25" t="s">
        <v>198</v>
      </c>
      <c r="EU25" t="s">
        <v>199</v>
      </c>
      <c r="EV25" t="s">
        <v>200</v>
      </c>
      <c r="EY25" t="s">
        <v>209</v>
      </c>
      <c r="FA25" t="s">
        <v>202</v>
      </c>
      <c r="FB25" t="s">
        <v>433</v>
      </c>
      <c r="GY25" t="s">
        <v>152</v>
      </c>
      <c r="HB25" t="s">
        <v>155</v>
      </c>
      <c r="HK25" t="s">
        <v>555</v>
      </c>
      <c r="HM25" t="s">
        <v>556</v>
      </c>
      <c r="HN25" t="s">
        <v>557</v>
      </c>
    </row>
    <row r="26" spans="2:224" x14ac:dyDescent="0.25">
      <c r="B26">
        <v>10650354831</v>
      </c>
      <c r="C26" t="s">
        <v>1459</v>
      </c>
      <c r="D26">
        <v>224043989</v>
      </c>
      <c r="E26" s="2">
        <v>43564.490173611113</v>
      </c>
      <c r="F26" s="2">
        <v>43564.503101851849</v>
      </c>
      <c r="G26" t="s">
        <v>163</v>
      </c>
      <c r="L26" t="s">
        <v>260</v>
      </c>
      <c r="N26">
        <v>1800</v>
      </c>
      <c r="O26">
        <v>55</v>
      </c>
      <c r="P26">
        <v>0</v>
      </c>
      <c r="Q26">
        <v>10</v>
      </c>
      <c r="R26">
        <v>25</v>
      </c>
      <c r="S26">
        <v>10</v>
      </c>
      <c r="T26">
        <v>0</v>
      </c>
      <c r="U26" t="s">
        <v>216</v>
      </c>
      <c r="V26" t="s">
        <v>262</v>
      </c>
      <c r="W26" t="s">
        <v>44</v>
      </c>
      <c r="X26" t="s">
        <v>166</v>
      </c>
      <c r="Z26" t="s">
        <v>167</v>
      </c>
      <c r="AA26" t="s">
        <v>168</v>
      </c>
      <c r="AB26" t="s">
        <v>2502</v>
      </c>
      <c r="AC26" t="s">
        <v>167</v>
      </c>
      <c r="AE26" t="s">
        <v>167</v>
      </c>
      <c r="AG26" t="s">
        <v>169</v>
      </c>
      <c r="AH26" t="s">
        <v>169</v>
      </c>
      <c r="AI26" t="s">
        <v>558</v>
      </c>
      <c r="AJ26" t="s">
        <v>2438</v>
      </c>
      <c r="AK26" t="s">
        <v>559</v>
      </c>
      <c r="AL26" t="s">
        <v>559</v>
      </c>
      <c r="AM26" t="s">
        <v>560</v>
      </c>
      <c r="AN26" t="s">
        <v>561</v>
      </c>
      <c r="AO26" t="s">
        <v>562</v>
      </c>
      <c r="AP26" t="s">
        <v>245</v>
      </c>
      <c r="AQ26" t="s">
        <v>261</v>
      </c>
      <c r="AR26" t="s">
        <v>261</v>
      </c>
      <c r="AS26" t="s">
        <v>245</v>
      </c>
      <c r="AU26" t="s">
        <v>176</v>
      </c>
      <c r="AW26" t="s">
        <v>405</v>
      </c>
      <c r="BE26" t="s">
        <v>182</v>
      </c>
      <c r="BG26" t="s">
        <v>405</v>
      </c>
      <c r="BH26" t="s">
        <v>180</v>
      </c>
      <c r="BJ26" t="s">
        <v>405</v>
      </c>
      <c r="CE26" t="s">
        <v>186</v>
      </c>
      <c r="CG26" t="s">
        <v>405</v>
      </c>
      <c r="CH26" t="s">
        <v>187</v>
      </c>
      <c r="CJ26" t="s">
        <v>405</v>
      </c>
      <c r="CK26" t="s">
        <v>188</v>
      </c>
      <c r="CM26" t="s">
        <v>405</v>
      </c>
      <c r="CN26" t="s">
        <v>190</v>
      </c>
      <c r="CP26" t="s">
        <v>405</v>
      </c>
      <c r="CQ26" t="s">
        <v>189</v>
      </c>
      <c r="CS26" t="s">
        <v>405</v>
      </c>
      <c r="CT26" t="s">
        <v>191</v>
      </c>
      <c r="CV26" t="s">
        <v>405</v>
      </c>
      <c r="CW26" t="s">
        <v>193</v>
      </c>
      <c r="CY26" t="s">
        <v>405</v>
      </c>
      <c r="CZ26" t="s">
        <v>192</v>
      </c>
      <c r="DB26" t="s">
        <v>405</v>
      </c>
      <c r="DD26" t="s">
        <v>563</v>
      </c>
      <c r="DE26" t="s">
        <v>207</v>
      </c>
      <c r="DF26" t="s">
        <v>564</v>
      </c>
      <c r="DG26" t="s">
        <v>110</v>
      </c>
      <c r="DH26" t="s">
        <v>111</v>
      </c>
      <c r="DI26" t="s">
        <v>112</v>
      </c>
      <c r="DO26" t="s">
        <v>110</v>
      </c>
      <c r="DP26" t="s">
        <v>111</v>
      </c>
      <c r="DQ26" t="s">
        <v>112</v>
      </c>
      <c r="DW26" t="s">
        <v>198</v>
      </c>
      <c r="DX26" t="s">
        <v>199</v>
      </c>
      <c r="DY26" t="s">
        <v>200</v>
      </c>
      <c r="EB26" t="s">
        <v>201</v>
      </c>
      <c r="ED26" t="s">
        <v>228</v>
      </c>
      <c r="EF26" t="s">
        <v>203</v>
      </c>
      <c r="EH26" t="s">
        <v>565</v>
      </c>
      <c r="EI26" t="s">
        <v>566</v>
      </c>
      <c r="EJ26" t="s">
        <v>232</v>
      </c>
      <c r="EK26" t="s">
        <v>567</v>
      </c>
      <c r="EM26" t="s">
        <v>123</v>
      </c>
      <c r="ET26" t="s">
        <v>200</v>
      </c>
      <c r="EU26" t="s">
        <v>199</v>
      </c>
      <c r="EV26" t="s">
        <v>200</v>
      </c>
      <c r="EY26" t="s">
        <v>209</v>
      </c>
      <c r="FA26" t="s">
        <v>202</v>
      </c>
      <c r="FB26" t="s">
        <v>233</v>
      </c>
      <c r="GV26" t="s">
        <v>568</v>
      </c>
      <c r="GX26" t="s">
        <v>151</v>
      </c>
      <c r="HB26" t="s">
        <v>155</v>
      </c>
      <c r="HJ26" t="s">
        <v>569</v>
      </c>
      <c r="HK26" t="s">
        <v>570</v>
      </c>
      <c r="HM26" t="s">
        <v>571</v>
      </c>
      <c r="HN26" t="s">
        <v>572</v>
      </c>
    </row>
    <row r="27" spans="2:224" x14ac:dyDescent="0.25">
      <c r="B27">
        <v>10650325119</v>
      </c>
      <c r="C27" t="s">
        <v>1459</v>
      </c>
      <c r="D27">
        <v>224043989</v>
      </c>
      <c r="E27" s="2">
        <v>43564.457499999997</v>
      </c>
      <c r="F27" s="2">
        <v>43564.493703703702</v>
      </c>
      <c r="G27" t="s">
        <v>163</v>
      </c>
      <c r="L27" t="s">
        <v>315</v>
      </c>
      <c r="N27">
        <v>50000</v>
      </c>
      <c r="O27">
        <v>50</v>
      </c>
      <c r="P27">
        <v>0</v>
      </c>
      <c r="Q27">
        <v>10</v>
      </c>
      <c r="R27">
        <v>0</v>
      </c>
      <c r="S27">
        <v>30</v>
      </c>
      <c r="T27">
        <v>10</v>
      </c>
      <c r="U27" s="8" t="s">
        <v>1381</v>
      </c>
      <c r="V27" t="s">
        <v>573</v>
      </c>
      <c r="W27" t="s">
        <v>1322</v>
      </c>
      <c r="X27" t="s">
        <v>166</v>
      </c>
      <c r="Z27" t="s">
        <v>167</v>
      </c>
      <c r="AA27" t="s">
        <v>168</v>
      </c>
      <c r="AB27" t="s">
        <v>2502</v>
      </c>
      <c r="AC27" t="s">
        <v>263</v>
      </c>
      <c r="AD27" t="s">
        <v>574</v>
      </c>
      <c r="AE27" t="s">
        <v>263</v>
      </c>
      <c r="AG27" t="s">
        <v>368</v>
      </c>
      <c r="AH27" t="s">
        <v>2438</v>
      </c>
      <c r="AI27" t="s">
        <v>575</v>
      </c>
      <c r="AJ27" t="s">
        <v>169</v>
      </c>
      <c r="AM27" t="s">
        <v>576</v>
      </c>
      <c r="AP27" t="s">
        <v>175</v>
      </c>
      <c r="AQ27" t="s">
        <v>175</v>
      </c>
      <c r="AR27">
        <v>0</v>
      </c>
      <c r="AS27" t="s">
        <v>175</v>
      </c>
      <c r="AU27" t="s">
        <v>178</v>
      </c>
      <c r="BE27" t="s">
        <v>180</v>
      </c>
      <c r="BU27" t="s">
        <v>184</v>
      </c>
      <c r="CE27" t="s">
        <v>323</v>
      </c>
      <c r="CH27" t="s">
        <v>191</v>
      </c>
      <c r="DC27" t="s">
        <v>577</v>
      </c>
      <c r="DG27" t="s">
        <v>110</v>
      </c>
      <c r="DH27" t="s">
        <v>111</v>
      </c>
      <c r="DO27" t="s">
        <v>110</v>
      </c>
      <c r="DP27" t="s">
        <v>111</v>
      </c>
      <c r="DW27" t="s">
        <v>198</v>
      </c>
      <c r="DX27" t="s">
        <v>200</v>
      </c>
      <c r="DY27" t="s">
        <v>198</v>
      </c>
      <c r="EB27" t="s">
        <v>201</v>
      </c>
      <c r="ED27" t="s">
        <v>228</v>
      </c>
      <c r="EF27" t="s">
        <v>233</v>
      </c>
      <c r="EH27" t="s">
        <v>578</v>
      </c>
      <c r="EI27" t="s">
        <v>579</v>
      </c>
      <c r="EL27" t="s">
        <v>122</v>
      </c>
      <c r="EM27" t="s">
        <v>123</v>
      </c>
      <c r="ES27" t="s">
        <v>580</v>
      </c>
      <c r="ET27" t="s">
        <v>199</v>
      </c>
      <c r="EU27" t="s">
        <v>199</v>
      </c>
      <c r="EV27" t="s">
        <v>199</v>
      </c>
      <c r="EX27" t="s">
        <v>581</v>
      </c>
      <c r="EY27" t="s">
        <v>209</v>
      </c>
      <c r="FA27" t="s">
        <v>202</v>
      </c>
      <c r="FB27" t="s">
        <v>233</v>
      </c>
      <c r="GV27" t="s">
        <v>582</v>
      </c>
      <c r="GW27" t="s">
        <v>150</v>
      </c>
      <c r="GX27" t="s">
        <v>151</v>
      </c>
      <c r="GY27" t="s">
        <v>152</v>
      </c>
      <c r="HK27" t="s">
        <v>583</v>
      </c>
      <c r="HM27" t="s">
        <v>584</v>
      </c>
      <c r="HN27" t="s">
        <v>585</v>
      </c>
      <c r="HP27" t="s">
        <v>586</v>
      </c>
    </row>
    <row r="28" spans="2:224" x14ac:dyDescent="0.25">
      <c r="B28">
        <v>10650290244</v>
      </c>
      <c r="C28" t="s">
        <v>1459</v>
      </c>
      <c r="D28">
        <v>224043989</v>
      </c>
      <c r="E28" s="2">
        <v>43564.456608796303</v>
      </c>
      <c r="F28" s="2">
        <v>43564.475995370369</v>
      </c>
      <c r="G28" t="s">
        <v>163</v>
      </c>
      <c r="L28" t="s">
        <v>279</v>
      </c>
      <c r="N28">
        <v>1200</v>
      </c>
      <c r="O28">
        <v>10</v>
      </c>
      <c r="P28">
        <v>5</v>
      </c>
      <c r="Q28">
        <v>5</v>
      </c>
      <c r="R28">
        <v>80</v>
      </c>
      <c r="S28">
        <v>0</v>
      </c>
      <c r="T28">
        <v>0</v>
      </c>
      <c r="U28" s="8" t="s">
        <v>1381</v>
      </c>
      <c r="V28" t="s">
        <v>587</v>
      </c>
      <c r="W28" t="s">
        <v>1337</v>
      </c>
      <c r="X28" t="s">
        <v>166</v>
      </c>
      <c r="Z28" t="s">
        <v>167</v>
      </c>
      <c r="AA28" t="s">
        <v>263</v>
      </c>
      <c r="AB28" t="s">
        <v>2502</v>
      </c>
      <c r="AC28" t="s">
        <v>167</v>
      </c>
      <c r="AE28" t="s">
        <v>218</v>
      </c>
      <c r="AG28" t="s">
        <v>169</v>
      </c>
      <c r="AH28" t="s">
        <v>169</v>
      </c>
      <c r="AI28" t="s">
        <v>240</v>
      </c>
      <c r="AJ28" t="s">
        <v>2438</v>
      </c>
      <c r="AK28" t="s">
        <v>588</v>
      </c>
      <c r="AL28" t="s">
        <v>2447</v>
      </c>
      <c r="AM28" t="s">
        <v>589</v>
      </c>
      <c r="AN28" t="s">
        <v>590</v>
      </c>
      <c r="AO28" t="s">
        <v>591</v>
      </c>
      <c r="AP28" t="s">
        <v>245</v>
      </c>
      <c r="AQ28">
        <v>0</v>
      </c>
      <c r="AR28">
        <v>0</v>
      </c>
      <c r="AS28" t="s">
        <v>245</v>
      </c>
      <c r="BE28" t="s">
        <v>181</v>
      </c>
      <c r="BG28" t="s">
        <v>592</v>
      </c>
      <c r="BH28" t="s">
        <v>182</v>
      </c>
      <c r="BJ28" t="s">
        <v>592</v>
      </c>
      <c r="BU28" t="s">
        <v>184</v>
      </c>
      <c r="BW28" t="s">
        <v>592</v>
      </c>
      <c r="CE28" t="s">
        <v>186</v>
      </c>
      <c r="CG28" t="s">
        <v>177</v>
      </c>
      <c r="CH28" t="s">
        <v>187</v>
      </c>
      <c r="CJ28" t="s">
        <v>177</v>
      </c>
      <c r="CK28" t="s">
        <v>188</v>
      </c>
      <c r="CM28" t="s">
        <v>177</v>
      </c>
      <c r="CN28" t="s">
        <v>190</v>
      </c>
      <c r="CP28" t="s">
        <v>177</v>
      </c>
      <c r="CQ28" t="s">
        <v>191</v>
      </c>
      <c r="CS28" t="s">
        <v>177</v>
      </c>
      <c r="CT28" t="s">
        <v>193</v>
      </c>
      <c r="CV28" t="s">
        <v>177</v>
      </c>
      <c r="CW28" t="s">
        <v>192</v>
      </c>
      <c r="CY28" t="s">
        <v>177</v>
      </c>
      <c r="CZ28" t="s">
        <v>189</v>
      </c>
      <c r="DB28" t="s">
        <v>177</v>
      </c>
      <c r="DD28" t="s">
        <v>593</v>
      </c>
      <c r="DE28" t="s">
        <v>594</v>
      </c>
      <c r="DF28" t="s">
        <v>595</v>
      </c>
      <c r="DN28" t="s">
        <v>596</v>
      </c>
      <c r="DV28" t="s">
        <v>597</v>
      </c>
      <c r="DW28" t="s">
        <v>200</v>
      </c>
      <c r="DX28" t="s">
        <v>199</v>
      </c>
      <c r="DY28" t="s">
        <v>198</v>
      </c>
      <c r="EB28" t="s">
        <v>201</v>
      </c>
      <c r="ED28" t="s">
        <v>228</v>
      </c>
      <c r="EF28" t="s">
        <v>233</v>
      </c>
      <c r="EH28" t="s">
        <v>598</v>
      </c>
      <c r="EI28" t="s">
        <v>599</v>
      </c>
      <c r="EJ28" t="s">
        <v>252</v>
      </c>
      <c r="EK28" t="s">
        <v>600</v>
      </c>
      <c r="ES28" t="s">
        <v>601</v>
      </c>
      <c r="ET28" t="s">
        <v>200</v>
      </c>
      <c r="EU28" t="s">
        <v>199</v>
      </c>
      <c r="EV28" t="s">
        <v>199</v>
      </c>
      <c r="EY28" t="s">
        <v>209</v>
      </c>
      <c r="FA28" t="s">
        <v>202</v>
      </c>
      <c r="FB28" t="s">
        <v>233</v>
      </c>
      <c r="GV28" t="s">
        <v>602</v>
      </c>
      <c r="HB28" t="s">
        <v>155</v>
      </c>
      <c r="HE28" t="s">
        <v>158</v>
      </c>
      <c r="HG28" t="s">
        <v>160</v>
      </c>
      <c r="HK28" t="s">
        <v>603</v>
      </c>
      <c r="HM28" t="s">
        <v>604</v>
      </c>
      <c r="HN28" t="s">
        <v>605</v>
      </c>
      <c r="HO28" t="s">
        <v>606</v>
      </c>
      <c r="HP28" t="s">
        <v>607</v>
      </c>
    </row>
    <row r="29" spans="2:224" x14ac:dyDescent="0.25">
      <c r="B29">
        <v>10650216310</v>
      </c>
      <c r="C29" t="s">
        <v>1459</v>
      </c>
      <c r="D29">
        <v>224043989</v>
      </c>
      <c r="E29" s="2">
        <v>43564.405752314808</v>
      </c>
      <c r="F29" s="2">
        <v>43564.437731481477</v>
      </c>
      <c r="G29" t="s">
        <v>163</v>
      </c>
      <c r="L29" t="s">
        <v>315</v>
      </c>
      <c r="N29">
        <v>30000</v>
      </c>
      <c r="O29">
        <v>80</v>
      </c>
      <c r="P29">
        <v>20</v>
      </c>
      <c r="Q29">
        <v>0</v>
      </c>
      <c r="R29">
        <v>0</v>
      </c>
      <c r="S29">
        <v>0</v>
      </c>
      <c r="T29">
        <v>0</v>
      </c>
      <c r="U29" s="8" t="s">
        <v>1381</v>
      </c>
      <c r="V29" t="s">
        <v>394</v>
      </c>
      <c r="W29" t="s">
        <v>1338</v>
      </c>
      <c r="X29" t="s">
        <v>166</v>
      </c>
      <c r="Z29" t="s">
        <v>167</v>
      </c>
      <c r="AA29" t="s">
        <v>168</v>
      </c>
      <c r="AB29" t="s">
        <v>2502</v>
      </c>
      <c r="AC29" t="s">
        <v>168</v>
      </c>
      <c r="AD29" t="s">
        <v>608</v>
      </c>
      <c r="AE29" t="s">
        <v>168</v>
      </c>
      <c r="AG29" t="s">
        <v>609</v>
      </c>
      <c r="AH29" t="s">
        <v>169</v>
      </c>
      <c r="AI29" t="s">
        <v>610</v>
      </c>
      <c r="AJ29" t="s">
        <v>2438</v>
      </c>
      <c r="AM29" t="s">
        <v>611</v>
      </c>
      <c r="AN29" t="s">
        <v>399</v>
      </c>
      <c r="AP29" t="s">
        <v>401</v>
      </c>
      <c r="AQ29" t="s">
        <v>401</v>
      </c>
      <c r="AR29" t="s">
        <v>401</v>
      </c>
      <c r="AS29" t="s">
        <v>401</v>
      </c>
      <c r="AU29" t="s">
        <v>178</v>
      </c>
      <c r="BD29" t="s">
        <v>612</v>
      </c>
      <c r="BE29" t="s">
        <v>182</v>
      </c>
      <c r="BT29" t="s">
        <v>613</v>
      </c>
      <c r="DD29" t="s">
        <v>614</v>
      </c>
      <c r="DG29" t="s">
        <v>110</v>
      </c>
      <c r="DH29" t="s">
        <v>111</v>
      </c>
      <c r="DN29" t="s">
        <v>615</v>
      </c>
      <c r="DW29" t="s">
        <v>199</v>
      </c>
      <c r="DX29" t="s">
        <v>200</v>
      </c>
      <c r="DY29" t="s">
        <v>200</v>
      </c>
      <c r="EB29" t="s">
        <v>201</v>
      </c>
      <c r="ED29" t="s">
        <v>202</v>
      </c>
      <c r="EF29" t="s">
        <v>203</v>
      </c>
      <c r="EH29" t="s">
        <v>616</v>
      </c>
      <c r="EL29" t="s">
        <v>122</v>
      </c>
      <c r="EM29" t="s">
        <v>123</v>
      </c>
      <c r="GV29" t="s">
        <v>617</v>
      </c>
      <c r="GW29" t="s">
        <v>150</v>
      </c>
      <c r="GX29" t="s">
        <v>151</v>
      </c>
      <c r="HG29" t="s">
        <v>160</v>
      </c>
      <c r="HH29" t="s">
        <v>161</v>
      </c>
      <c r="HI29" t="s">
        <v>162</v>
      </c>
      <c r="HK29" t="s">
        <v>618</v>
      </c>
      <c r="HM29" t="s">
        <v>619</v>
      </c>
      <c r="HN29" t="s">
        <v>620</v>
      </c>
      <c r="HP29" t="s">
        <v>621</v>
      </c>
    </row>
    <row r="30" spans="2:224" x14ac:dyDescent="0.25">
      <c r="B30">
        <v>10650214310</v>
      </c>
      <c r="C30" t="s">
        <v>1459</v>
      </c>
      <c r="D30">
        <v>224043989</v>
      </c>
      <c r="E30" s="2">
        <v>43564.407812500001</v>
      </c>
      <c r="F30" s="2">
        <v>43564.441631944443</v>
      </c>
      <c r="G30" t="s">
        <v>163</v>
      </c>
      <c r="L30" t="s">
        <v>260</v>
      </c>
      <c r="N30">
        <v>2500</v>
      </c>
      <c r="O30">
        <v>40</v>
      </c>
      <c r="P30">
        <v>0</v>
      </c>
      <c r="Q30">
        <v>20</v>
      </c>
      <c r="R30">
        <v>20</v>
      </c>
      <c r="S30">
        <v>20</v>
      </c>
      <c r="T30">
        <v>0</v>
      </c>
      <c r="U30" t="s">
        <v>216</v>
      </c>
      <c r="V30" t="s">
        <v>622</v>
      </c>
      <c r="W30" t="s">
        <v>1326</v>
      </c>
      <c r="X30" t="s">
        <v>166</v>
      </c>
      <c r="Z30" t="s">
        <v>238</v>
      </c>
      <c r="AA30" t="s">
        <v>263</v>
      </c>
      <c r="AB30" t="s">
        <v>2502</v>
      </c>
      <c r="AC30" t="s">
        <v>263</v>
      </c>
      <c r="AE30" t="s">
        <v>167</v>
      </c>
      <c r="AG30" t="s">
        <v>169</v>
      </c>
      <c r="AH30" t="s">
        <v>169</v>
      </c>
      <c r="AI30" t="s">
        <v>440</v>
      </c>
      <c r="AJ30" t="s">
        <v>2441</v>
      </c>
      <c r="AK30" t="s">
        <v>623</v>
      </c>
      <c r="AL30" t="s">
        <v>2441</v>
      </c>
      <c r="AM30" t="s">
        <v>624</v>
      </c>
      <c r="AN30" t="s">
        <v>625</v>
      </c>
      <c r="AO30" t="s">
        <v>626</v>
      </c>
      <c r="AP30" t="s">
        <v>245</v>
      </c>
      <c r="AQ30" t="s">
        <v>245</v>
      </c>
      <c r="AR30" t="s">
        <v>322</v>
      </c>
      <c r="AS30" t="s">
        <v>245</v>
      </c>
      <c r="AU30" t="s">
        <v>402</v>
      </c>
      <c r="AW30" t="s">
        <v>177</v>
      </c>
      <c r="BE30" t="s">
        <v>183</v>
      </c>
      <c r="BG30" t="s">
        <v>177</v>
      </c>
      <c r="BH30" t="s">
        <v>180</v>
      </c>
      <c r="BJ30" t="s">
        <v>177</v>
      </c>
      <c r="BK30" t="s">
        <v>181</v>
      </c>
      <c r="BM30" t="s">
        <v>177</v>
      </c>
      <c r="BN30" t="s">
        <v>182</v>
      </c>
      <c r="BP30" t="s">
        <v>177</v>
      </c>
      <c r="BU30" t="s">
        <v>184</v>
      </c>
      <c r="BW30" t="s">
        <v>177</v>
      </c>
      <c r="CE30" t="s">
        <v>186</v>
      </c>
      <c r="CG30" t="s">
        <v>177</v>
      </c>
      <c r="CH30" t="s">
        <v>187</v>
      </c>
      <c r="CJ30" t="s">
        <v>177</v>
      </c>
      <c r="CK30" t="s">
        <v>188</v>
      </c>
      <c r="CM30" t="s">
        <v>177</v>
      </c>
      <c r="CN30" t="s">
        <v>190</v>
      </c>
      <c r="CP30" t="s">
        <v>177</v>
      </c>
      <c r="CQ30" t="s">
        <v>191</v>
      </c>
      <c r="CS30" t="s">
        <v>177</v>
      </c>
      <c r="CT30" t="s">
        <v>323</v>
      </c>
      <c r="CV30" t="s">
        <v>177</v>
      </c>
      <c r="CW30" t="s">
        <v>192</v>
      </c>
      <c r="CY30" t="s">
        <v>177</v>
      </c>
      <c r="CZ30" t="s">
        <v>193</v>
      </c>
      <c r="DB30" t="s">
        <v>177</v>
      </c>
      <c r="DD30" t="s">
        <v>627</v>
      </c>
      <c r="DE30" t="s">
        <v>628</v>
      </c>
      <c r="DF30" t="s">
        <v>629</v>
      </c>
      <c r="DG30" t="s">
        <v>110</v>
      </c>
      <c r="DH30" t="s">
        <v>111</v>
      </c>
      <c r="DI30" t="s">
        <v>112</v>
      </c>
      <c r="DO30" t="s">
        <v>110</v>
      </c>
      <c r="DP30" t="s">
        <v>111</v>
      </c>
      <c r="DQ30" t="s">
        <v>112</v>
      </c>
      <c r="DW30" t="s">
        <v>198</v>
      </c>
      <c r="DX30" t="s">
        <v>200</v>
      </c>
      <c r="DY30" t="s">
        <v>198</v>
      </c>
      <c r="EB30" t="s">
        <v>201</v>
      </c>
      <c r="ED30" t="s">
        <v>326</v>
      </c>
      <c r="EF30" t="s">
        <v>233</v>
      </c>
      <c r="EH30" t="s">
        <v>630</v>
      </c>
      <c r="EI30" t="s">
        <v>232</v>
      </c>
      <c r="EJ30" t="s">
        <v>631</v>
      </c>
      <c r="EK30" t="s">
        <v>632</v>
      </c>
      <c r="EL30" t="s">
        <v>122</v>
      </c>
      <c r="EM30" t="s">
        <v>123</v>
      </c>
      <c r="ES30" t="s">
        <v>633</v>
      </c>
      <c r="ET30" t="s">
        <v>200</v>
      </c>
      <c r="EU30" t="s">
        <v>200</v>
      </c>
      <c r="EV30" t="s">
        <v>200</v>
      </c>
      <c r="EY30" t="s">
        <v>209</v>
      </c>
      <c r="FA30" t="s">
        <v>202</v>
      </c>
      <c r="FB30" t="s">
        <v>203</v>
      </c>
      <c r="GV30" t="s">
        <v>634</v>
      </c>
      <c r="GX30" t="s">
        <v>151</v>
      </c>
      <c r="HH30" t="s">
        <v>161</v>
      </c>
      <c r="HI30" t="s">
        <v>162</v>
      </c>
      <c r="HJ30" t="s">
        <v>569</v>
      </c>
      <c r="HK30" t="s">
        <v>635</v>
      </c>
      <c r="HM30" t="s">
        <v>636</v>
      </c>
      <c r="HN30" t="s">
        <v>258</v>
      </c>
      <c r="HP30" t="s">
        <v>637</v>
      </c>
    </row>
    <row r="31" spans="2:224" x14ac:dyDescent="0.25">
      <c r="B31">
        <v>10650127933</v>
      </c>
      <c r="C31" t="s">
        <v>1459</v>
      </c>
      <c r="D31">
        <v>224043989</v>
      </c>
      <c r="E31" s="2">
        <v>43564.392476851863</v>
      </c>
      <c r="F31" s="2">
        <v>43564.407685185193</v>
      </c>
      <c r="G31" t="s">
        <v>163</v>
      </c>
      <c r="L31" t="s">
        <v>260</v>
      </c>
      <c r="N31">
        <v>2000</v>
      </c>
      <c r="O31">
        <v>60</v>
      </c>
      <c r="P31">
        <v>0</v>
      </c>
      <c r="Q31">
        <v>20</v>
      </c>
      <c r="R31">
        <v>20</v>
      </c>
      <c r="S31">
        <v>0</v>
      </c>
      <c r="T31">
        <v>0</v>
      </c>
      <c r="U31" t="s">
        <v>216</v>
      </c>
      <c r="V31" t="s">
        <v>638</v>
      </c>
      <c r="W31" t="s">
        <v>1344</v>
      </c>
      <c r="X31" t="s">
        <v>166</v>
      </c>
      <c r="Z31" t="s">
        <v>238</v>
      </c>
      <c r="AA31" t="s">
        <v>263</v>
      </c>
      <c r="AB31" t="s">
        <v>2502</v>
      </c>
      <c r="AC31" t="s">
        <v>167</v>
      </c>
      <c r="AE31" t="s">
        <v>167</v>
      </c>
      <c r="AG31" t="s">
        <v>169</v>
      </c>
      <c r="AH31" t="s">
        <v>169</v>
      </c>
      <c r="AI31" t="s">
        <v>240</v>
      </c>
      <c r="AJ31" t="s">
        <v>2438</v>
      </c>
      <c r="AK31" t="s">
        <v>382</v>
      </c>
      <c r="AL31" t="s">
        <v>2438</v>
      </c>
      <c r="AM31" t="s">
        <v>639</v>
      </c>
      <c r="AN31" t="s">
        <v>640</v>
      </c>
      <c r="AO31" t="s">
        <v>639</v>
      </c>
      <c r="AP31" t="s">
        <v>401</v>
      </c>
      <c r="AQ31" t="s">
        <v>401</v>
      </c>
      <c r="AR31" t="s">
        <v>401</v>
      </c>
      <c r="AS31" t="s">
        <v>401</v>
      </c>
      <c r="AU31" t="s">
        <v>176</v>
      </c>
      <c r="AW31" t="s">
        <v>223</v>
      </c>
      <c r="BE31" t="s">
        <v>182</v>
      </c>
      <c r="BG31" t="s">
        <v>177</v>
      </c>
      <c r="BU31" t="s">
        <v>184</v>
      </c>
      <c r="BW31" t="s">
        <v>223</v>
      </c>
      <c r="CE31" t="s">
        <v>186</v>
      </c>
      <c r="CG31" t="s">
        <v>177</v>
      </c>
      <c r="CH31" t="s">
        <v>187</v>
      </c>
      <c r="CJ31" t="s">
        <v>177</v>
      </c>
      <c r="CK31" t="s">
        <v>188</v>
      </c>
      <c r="CM31" t="s">
        <v>177</v>
      </c>
      <c r="CN31" t="s">
        <v>190</v>
      </c>
      <c r="CP31" t="s">
        <v>177</v>
      </c>
      <c r="CQ31" t="s">
        <v>189</v>
      </c>
      <c r="CS31" t="s">
        <v>177</v>
      </c>
      <c r="CT31" t="s">
        <v>191</v>
      </c>
      <c r="CV31" t="s">
        <v>177</v>
      </c>
      <c r="CW31" t="s">
        <v>192</v>
      </c>
      <c r="CY31" t="s">
        <v>177</v>
      </c>
      <c r="CZ31" t="s">
        <v>193</v>
      </c>
      <c r="DB31" t="s">
        <v>177</v>
      </c>
      <c r="DD31" t="s">
        <v>641</v>
      </c>
      <c r="DE31" t="s">
        <v>642</v>
      </c>
      <c r="DF31" t="s">
        <v>643</v>
      </c>
      <c r="DN31" t="s">
        <v>644</v>
      </c>
      <c r="DV31" t="s">
        <v>645</v>
      </c>
      <c r="DW31" t="s">
        <v>200</v>
      </c>
      <c r="DX31" t="s">
        <v>199</v>
      </c>
      <c r="DY31" t="s">
        <v>200</v>
      </c>
      <c r="EB31" t="s">
        <v>201</v>
      </c>
      <c r="ED31" t="s">
        <v>202</v>
      </c>
      <c r="EF31" t="s">
        <v>233</v>
      </c>
      <c r="EH31" t="s">
        <v>646</v>
      </c>
      <c r="EI31" t="s">
        <v>647</v>
      </c>
      <c r="EJ31" t="s">
        <v>648</v>
      </c>
      <c r="EK31" t="s">
        <v>649</v>
      </c>
      <c r="EL31" t="s">
        <v>122</v>
      </c>
      <c r="EN31" t="s">
        <v>124</v>
      </c>
      <c r="ET31" t="s">
        <v>198</v>
      </c>
      <c r="EU31" t="s">
        <v>198</v>
      </c>
      <c r="EV31" t="s">
        <v>198</v>
      </c>
      <c r="EY31" t="s">
        <v>209</v>
      </c>
      <c r="FA31" t="s">
        <v>202</v>
      </c>
      <c r="FB31" t="s">
        <v>233</v>
      </c>
      <c r="GV31" t="s">
        <v>650</v>
      </c>
      <c r="HB31" t="s">
        <v>155</v>
      </c>
      <c r="HJ31" t="s">
        <v>651</v>
      </c>
      <c r="HK31" t="s">
        <v>652</v>
      </c>
      <c r="HM31" t="s">
        <v>653</v>
      </c>
      <c r="HN31" t="s">
        <v>654</v>
      </c>
      <c r="HO31" t="s">
        <v>655</v>
      </c>
      <c r="HP31" t="s">
        <v>656</v>
      </c>
    </row>
    <row r="32" spans="2:224" x14ac:dyDescent="0.25">
      <c r="B32">
        <v>10647635198</v>
      </c>
      <c r="C32" t="s">
        <v>1459</v>
      </c>
      <c r="D32">
        <v>224043989</v>
      </c>
      <c r="E32" s="2">
        <v>43563.531990740739</v>
      </c>
      <c r="F32" s="2">
        <v>43563.581122685187</v>
      </c>
      <c r="G32" t="s">
        <v>163</v>
      </c>
      <c r="L32" t="s">
        <v>279</v>
      </c>
      <c r="N32">
        <v>3000</v>
      </c>
      <c r="O32">
        <v>40</v>
      </c>
      <c r="P32">
        <v>20</v>
      </c>
      <c r="Q32">
        <v>0</v>
      </c>
      <c r="R32">
        <v>20</v>
      </c>
      <c r="S32">
        <v>20</v>
      </c>
      <c r="T32">
        <v>0</v>
      </c>
      <c r="U32" t="s">
        <v>313</v>
      </c>
      <c r="V32" t="s">
        <v>657</v>
      </c>
      <c r="W32" t="s">
        <v>1345</v>
      </c>
      <c r="X32" t="s">
        <v>166</v>
      </c>
      <c r="Z32" t="s">
        <v>167</v>
      </c>
      <c r="AA32" t="s">
        <v>168</v>
      </c>
      <c r="AB32" t="s">
        <v>2502</v>
      </c>
      <c r="AC32" t="s">
        <v>167</v>
      </c>
      <c r="AE32" t="s">
        <v>218</v>
      </c>
      <c r="AG32" t="s">
        <v>169</v>
      </c>
      <c r="AH32" t="s">
        <v>169</v>
      </c>
      <c r="AI32" t="s">
        <v>658</v>
      </c>
      <c r="AJ32" t="s">
        <v>2438</v>
      </c>
      <c r="AK32" t="s">
        <v>659</v>
      </c>
      <c r="AL32" t="s">
        <v>2441</v>
      </c>
      <c r="AM32" t="s">
        <v>660</v>
      </c>
      <c r="AN32" t="s">
        <v>660</v>
      </c>
      <c r="AO32" t="s">
        <v>660</v>
      </c>
      <c r="AP32" t="s">
        <v>175</v>
      </c>
      <c r="AQ32" t="s">
        <v>175</v>
      </c>
      <c r="AR32" t="s">
        <v>175</v>
      </c>
      <c r="AS32" t="s">
        <v>175</v>
      </c>
      <c r="AU32" t="s">
        <v>178</v>
      </c>
      <c r="AW32" t="s">
        <v>540</v>
      </c>
      <c r="AX32" t="s">
        <v>176</v>
      </c>
      <c r="AZ32" t="s">
        <v>540</v>
      </c>
      <c r="BA32" t="s">
        <v>402</v>
      </c>
      <c r="BC32" t="s">
        <v>540</v>
      </c>
      <c r="BD32" t="s">
        <v>661</v>
      </c>
      <c r="BE32" t="s">
        <v>182</v>
      </c>
      <c r="BG32" t="s">
        <v>540</v>
      </c>
      <c r="BH32" t="s">
        <v>180</v>
      </c>
      <c r="BJ32" t="s">
        <v>540</v>
      </c>
      <c r="BU32" t="s">
        <v>184</v>
      </c>
      <c r="BW32" t="s">
        <v>540</v>
      </c>
      <c r="BX32" t="s">
        <v>185</v>
      </c>
      <c r="BZ32" t="s">
        <v>540</v>
      </c>
      <c r="CE32" t="s">
        <v>186</v>
      </c>
      <c r="CG32" t="s">
        <v>177</v>
      </c>
      <c r="CH32" t="s">
        <v>187</v>
      </c>
      <c r="CJ32" t="s">
        <v>177</v>
      </c>
      <c r="CK32" t="s">
        <v>188</v>
      </c>
      <c r="CM32" t="s">
        <v>177</v>
      </c>
      <c r="CN32" t="s">
        <v>190</v>
      </c>
      <c r="CP32" t="s">
        <v>177</v>
      </c>
      <c r="CQ32" t="s">
        <v>191</v>
      </c>
      <c r="CS32" t="s">
        <v>177</v>
      </c>
      <c r="CT32" t="s">
        <v>192</v>
      </c>
      <c r="CV32" t="s">
        <v>177</v>
      </c>
      <c r="CW32" t="s">
        <v>193</v>
      </c>
      <c r="CY32" t="s">
        <v>177</v>
      </c>
      <c r="DD32" t="s">
        <v>662</v>
      </c>
      <c r="DE32" t="s">
        <v>663</v>
      </c>
      <c r="DF32" t="s">
        <v>664</v>
      </c>
      <c r="DG32" t="s">
        <v>110</v>
      </c>
      <c r="DI32" t="s">
        <v>112</v>
      </c>
      <c r="DO32" t="s">
        <v>110</v>
      </c>
      <c r="DQ32" t="s">
        <v>112</v>
      </c>
      <c r="DW32" t="s">
        <v>200</v>
      </c>
      <c r="DX32" t="s">
        <v>199</v>
      </c>
      <c r="DY32" t="s">
        <v>200</v>
      </c>
      <c r="EB32" t="s">
        <v>201</v>
      </c>
      <c r="ED32" t="s">
        <v>228</v>
      </c>
      <c r="EF32" t="s">
        <v>433</v>
      </c>
      <c r="EH32" t="s">
        <v>665</v>
      </c>
      <c r="EI32" t="s">
        <v>666</v>
      </c>
      <c r="EJ32" t="s">
        <v>667</v>
      </c>
      <c r="EK32" t="s">
        <v>668</v>
      </c>
      <c r="EL32" t="s">
        <v>122</v>
      </c>
      <c r="EN32" t="s">
        <v>124</v>
      </c>
      <c r="ET32" t="s">
        <v>200</v>
      </c>
      <c r="EU32" t="s">
        <v>199</v>
      </c>
      <c r="EV32" t="s">
        <v>198</v>
      </c>
      <c r="EY32" t="s">
        <v>209</v>
      </c>
      <c r="FA32" t="s">
        <v>202</v>
      </c>
      <c r="FB32" t="s">
        <v>233</v>
      </c>
      <c r="GV32" t="s">
        <v>669</v>
      </c>
      <c r="GY32" t="s">
        <v>152</v>
      </c>
      <c r="HB32" t="s">
        <v>155</v>
      </c>
      <c r="HD32" t="s">
        <v>157</v>
      </c>
      <c r="HG32" t="s">
        <v>160</v>
      </c>
      <c r="HH32" t="s">
        <v>161</v>
      </c>
      <c r="HJ32" t="s">
        <v>651</v>
      </c>
      <c r="HK32" t="s">
        <v>670</v>
      </c>
      <c r="HM32" t="s">
        <v>671</v>
      </c>
      <c r="HN32" t="s">
        <v>672</v>
      </c>
      <c r="HP32" t="s">
        <v>673</v>
      </c>
    </row>
    <row r="33" spans="2:224" x14ac:dyDescent="0.25">
      <c r="B33">
        <v>10647571163</v>
      </c>
      <c r="C33" t="s">
        <v>1459</v>
      </c>
      <c r="D33">
        <v>224043989</v>
      </c>
      <c r="E33" s="2">
        <v>43563.500104166669</v>
      </c>
      <c r="F33" s="2">
        <v>43563.531481481477</v>
      </c>
      <c r="G33" t="s">
        <v>163</v>
      </c>
      <c r="L33" t="s">
        <v>33</v>
      </c>
      <c r="M33" t="s">
        <v>674</v>
      </c>
      <c r="N33">
        <v>300</v>
      </c>
      <c r="O33">
        <v>40</v>
      </c>
      <c r="P33">
        <v>0</v>
      </c>
      <c r="Q33">
        <v>0</v>
      </c>
      <c r="R33">
        <v>40</v>
      </c>
      <c r="S33">
        <v>20</v>
      </c>
      <c r="T33">
        <v>0</v>
      </c>
      <c r="U33" t="s">
        <v>216</v>
      </c>
      <c r="V33" t="s">
        <v>675</v>
      </c>
      <c r="W33" t="s">
        <v>44</v>
      </c>
      <c r="X33" t="s">
        <v>166</v>
      </c>
      <c r="Z33" t="s">
        <v>238</v>
      </c>
      <c r="AA33" t="s">
        <v>263</v>
      </c>
      <c r="AB33" t="s">
        <v>2502</v>
      </c>
      <c r="AC33" t="s">
        <v>167</v>
      </c>
      <c r="AE33" t="s">
        <v>218</v>
      </c>
      <c r="AG33" t="s">
        <v>169</v>
      </c>
      <c r="AH33" t="s">
        <v>169</v>
      </c>
      <c r="AI33" t="s">
        <v>676</v>
      </c>
      <c r="AJ33" t="s">
        <v>2438</v>
      </c>
      <c r="AK33" t="s">
        <v>382</v>
      </c>
      <c r="AL33" t="s">
        <v>2438</v>
      </c>
      <c r="AM33" t="s">
        <v>677</v>
      </c>
      <c r="AN33" t="s">
        <v>678</v>
      </c>
      <c r="AO33" t="s">
        <v>677</v>
      </c>
      <c r="AP33" t="s">
        <v>245</v>
      </c>
      <c r="AQ33" t="s">
        <v>245</v>
      </c>
      <c r="AR33" t="s">
        <v>245</v>
      </c>
      <c r="AS33" t="s">
        <v>245</v>
      </c>
      <c r="AU33" t="s">
        <v>178</v>
      </c>
      <c r="AW33" t="s">
        <v>2501</v>
      </c>
      <c r="AX33" t="s">
        <v>176</v>
      </c>
      <c r="AZ33" t="s">
        <v>2501</v>
      </c>
      <c r="BE33" t="s">
        <v>181</v>
      </c>
      <c r="BG33" t="s">
        <v>2501</v>
      </c>
      <c r="BH33" t="s">
        <v>679</v>
      </c>
      <c r="BJ33" t="s">
        <v>2501</v>
      </c>
      <c r="CE33" t="s">
        <v>186</v>
      </c>
      <c r="CG33" t="s">
        <v>2501</v>
      </c>
      <c r="CH33" t="s">
        <v>187</v>
      </c>
      <c r="CJ33" t="s">
        <v>2501</v>
      </c>
      <c r="CK33" t="s">
        <v>191</v>
      </c>
      <c r="CM33" t="s">
        <v>2501</v>
      </c>
      <c r="CN33" t="s">
        <v>188</v>
      </c>
      <c r="CP33" t="s">
        <v>2501</v>
      </c>
      <c r="CQ33" t="s">
        <v>190</v>
      </c>
      <c r="CS33" t="s">
        <v>2501</v>
      </c>
      <c r="CT33" t="s">
        <v>189</v>
      </c>
      <c r="CV33" t="s">
        <v>2501</v>
      </c>
      <c r="CW33" t="s">
        <v>192</v>
      </c>
      <c r="CY33" t="s">
        <v>2501</v>
      </c>
      <c r="CZ33" t="s">
        <v>193</v>
      </c>
      <c r="DB33" t="s">
        <v>2501</v>
      </c>
      <c r="DC33" t="s">
        <v>680</v>
      </c>
      <c r="DD33" t="s">
        <v>681</v>
      </c>
      <c r="DE33" t="s">
        <v>682</v>
      </c>
      <c r="DF33" t="s">
        <v>683</v>
      </c>
      <c r="DN33" t="s">
        <v>684</v>
      </c>
      <c r="DV33" t="s">
        <v>684</v>
      </c>
      <c r="DW33" t="s">
        <v>198</v>
      </c>
      <c r="DX33" t="s">
        <v>199</v>
      </c>
      <c r="DY33" t="s">
        <v>198</v>
      </c>
      <c r="EB33" t="s">
        <v>201</v>
      </c>
      <c r="ED33" t="s">
        <v>228</v>
      </c>
      <c r="EF33" t="s">
        <v>203</v>
      </c>
      <c r="EH33" t="s">
        <v>685</v>
      </c>
      <c r="EI33" t="s">
        <v>686</v>
      </c>
      <c r="EM33" t="s">
        <v>123</v>
      </c>
      <c r="ET33" t="s">
        <v>200</v>
      </c>
      <c r="EU33" t="s">
        <v>199</v>
      </c>
      <c r="EV33" t="s">
        <v>200</v>
      </c>
      <c r="EY33" t="s">
        <v>209</v>
      </c>
      <c r="FA33" t="s">
        <v>202</v>
      </c>
      <c r="FB33" t="s">
        <v>203</v>
      </c>
      <c r="GV33" t="s">
        <v>687</v>
      </c>
      <c r="GX33" t="s">
        <v>151</v>
      </c>
      <c r="HF33" t="s">
        <v>159</v>
      </c>
      <c r="HH33" t="s">
        <v>161</v>
      </c>
      <c r="HJ33" t="s">
        <v>569</v>
      </c>
      <c r="HK33" t="s">
        <v>688</v>
      </c>
      <c r="HM33" t="s">
        <v>653</v>
      </c>
      <c r="HN33" t="s">
        <v>689</v>
      </c>
      <c r="HP33" t="s">
        <v>690</v>
      </c>
    </row>
    <row r="34" spans="2:224" x14ac:dyDescent="0.25">
      <c r="B34">
        <v>10647527480</v>
      </c>
      <c r="C34" t="s">
        <v>1459</v>
      </c>
      <c r="D34">
        <v>224043989</v>
      </c>
      <c r="E34" s="2">
        <v>43563.447615740741</v>
      </c>
      <c r="F34" s="2">
        <v>43563.499085648153</v>
      </c>
      <c r="G34" t="s">
        <v>163</v>
      </c>
      <c r="L34" t="s">
        <v>164</v>
      </c>
      <c r="N34">
        <v>2000</v>
      </c>
      <c r="O34">
        <v>50</v>
      </c>
      <c r="P34">
        <v>0</v>
      </c>
      <c r="Q34">
        <v>50</v>
      </c>
      <c r="R34">
        <v>0</v>
      </c>
      <c r="S34">
        <v>0</v>
      </c>
      <c r="T34">
        <v>0</v>
      </c>
      <c r="U34" t="s">
        <v>322</v>
      </c>
      <c r="V34" t="s">
        <v>691</v>
      </c>
      <c r="W34" t="s">
        <v>1346</v>
      </c>
      <c r="X34" t="s">
        <v>166</v>
      </c>
      <c r="Z34" t="s">
        <v>2502</v>
      </c>
      <c r="AA34" t="s">
        <v>218</v>
      </c>
      <c r="AB34" t="s">
        <v>2502</v>
      </c>
      <c r="AC34" t="s">
        <v>238</v>
      </c>
      <c r="AE34" t="s">
        <v>218</v>
      </c>
      <c r="AG34" t="s">
        <v>169</v>
      </c>
      <c r="AH34" t="s">
        <v>169</v>
      </c>
      <c r="AI34" t="s">
        <v>692</v>
      </c>
      <c r="AJ34" t="s">
        <v>2438</v>
      </c>
      <c r="AK34" t="s">
        <v>676</v>
      </c>
      <c r="AL34" t="s">
        <v>2438</v>
      </c>
      <c r="AM34" t="s">
        <v>693</v>
      </c>
      <c r="AN34" t="s">
        <v>693</v>
      </c>
      <c r="AO34" t="s">
        <v>693</v>
      </c>
      <c r="AP34" t="s">
        <v>261</v>
      </c>
      <c r="AQ34" t="s">
        <v>261</v>
      </c>
      <c r="AR34" t="s">
        <v>261</v>
      </c>
      <c r="AS34" t="s">
        <v>322</v>
      </c>
      <c r="AU34" t="s">
        <v>178</v>
      </c>
      <c r="AX34" t="s">
        <v>176</v>
      </c>
      <c r="BD34" t="s">
        <v>694</v>
      </c>
      <c r="BE34" t="s">
        <v>183</v>
      </c>
      <c r="BT34" t="s">
        <v>695</v>
      </c>
      <c r="CE34" t="s">
        <v>192</v>
      </c>
      <c r="CH34" t="s">
        <v>191</v>
      </c>
      <c r="CK34" t="s">
        <v>323</v>
      </c>
      <c r="CN34" t="s">
        <v>186</v>
      </c>
      <c r="CQ34" t="s">
        <v>187</v>
      </c>
      <c r="CT34" t="s">
        <v>190</v>
      </c>
      <c r="CW34" t="s">
        <v>188</v>
      </c>
      <c r="DC34" t="s">
        <v>696</v>
      </c>
      <c r="DD34" t="s">
        <v>337</v>
      </c>
      <c r="DE34" t="s">
        <v>697</v>
      </c>
      <c r="DF34" t="s">
        <v>698</v>
      </c>
      <c r="DG34" t="s">
        <v>110</v>
      </c>
      <c r="DI34" t="s">
        <v>112</v>
      </c>
      <c r="DO34" t="s">
        <v>110</v>
      </c>
      <c r="DQ34" t="s">
        <v>112</v>
      </c>
      <c r="DW34" t="s">
        <v>198</v>
      </c>
      <c r="DX34" t="s">
        <v>199</v>
      </c>
      <c r="DY34" t="s">
        <v>200</v>
      </c>
      <c r="EB34" t="s">
        <v>201</v>
      </c>
      <c r="ED34" t="s">
        <v>202</v>
      </c>
      <c r="EF34" t="s">
        <v>203</v>
      </c>
      <c r="EH34" t="s">
        <v>699</v>
      </c>
      <c r="EI34" t="s">
        <v>700</v>
      </c>
      <c r="EJ34" t="s">
        <v>451</v>
      </c>
      <c r="ES34" t="s">
        <v>701</v>
      </c>
      <c r="ET34" t="s">
        <v>198</v>
      </c>
      <c r="EU34" t="s">
        <v>200</v>
      </c>
      <c r="EV34" t="s">
        <v>200</v>
      </c>
      <c r="EY34" t="s">
        <v>209</v>
      </c>
      <c r="FA34" t="s">
        <v>202</v>
      </c>
      <c r="FB34" t="s">
        <v>203</v>
      </c>
      <c r="GV34" t="s">
        <v>702</v>
      </c>
      <c r="GX34" t="s">
        <v>151</v>
      </c>
      <c r="GY34" t="s">
        <v>152</v>
      </c>
      <c r="HH34" t="s">
        <v>161</v>
      </c>
      <c r="HI34" t="s">
        <v>162</v>
      </c>
      <c r="HK34" t="s">
        <v>703</v>
      </c>
      <c r="HM34" t="s">
        <v>704</v>
      </c>
      <c r="HN34" t="s">
        <v>705</v>
      </c>
      <c r="HP34" t="s">
        <v>706</v>
      </c>
    </row>
    <row r="35" spans="2:224" x14ac:dyDescent="0.25">
      <c r="B35">
        <v>10647447596</v>
      </c>
      <c r="C35" t="s">
        <v>1459</v>
      </c>
      <c r="D35">
        <v>224043989</v>
      </c>
      <c r="E35" s="2">
        <v>43563.417592592603</v>
      </c>
      <c r="F35" s="2">
        <v>43563.446400462963</v>
      </c>
      <c r="G35" t="s">
        <v>163</v>
      </c>
      <c r="L35" t="s">
        <v>366</v>
      </c>
      <c r="N35">
        <v>0</v>
      </c>
      <c r="O35">
        <v>60</v>
      </c>
      <c r="P35">
        <v>20</v>
      </c>
      <c r="Q35">
        <v>20</v>
      </c>
      <c r="R35">
        <v>0</v>
      </c>
      <c r="S35">
        <v>0</v>
      </c>
      <c r="T35">
        <v>0</v>
      </c>
      <c r="U35" s="8" t="s">
        <v>1381</v>
      </c>
      <c r="V35" t="s">
        <v>707</v>
      </c>
      <c r="W35" t="s">
        <v>1347</v>
      </c>
      <c r="X35" t="s">
        <v>166</v>
      </c>
      <c r="Z35" t="s">
        <v>238</v>
      </c>
      <c r="AA35" t="s">
        <v>238</v>
      </c>
      <c r="AB35" t="s">
        <v>238</v>
      </c>
      <c r="AC35" t="s">
        <v>238</v>
      </c>
      <c r="AE35" t="s">
        <v>238</v>
      </c>
      <c r="AG35" t="s">
        <v>708</v>
      </c>
      <c r="AH35" t="s">
        <v>169</v>
      </c>
      <c r="AI35" t="s">
        <v>283</v>
      </c>
      <c r="AJ35" t="s">
        <v>2438</v>
      </c>
      <c r="AN35" t="s">
        <v>709</v>
      </c>
      <c r="AP35" t="s">
        <v>261</v>
      </c>
      <c r="AQ35" t="s">
        <v>261</v>
      </c>
      <c r="AR35" t="s">
        <v>261</v>
      </c>
      <c r="AS35" t="s">
        <v>261</v>
      </c>
      <c r="AU35" t="s">
        <v>402</v>
      </c>
      <c r="AX35" t="s">
        <v>176</v>
      </c>
      <c r="BA35" t="s">
        <v>178</v>
      </c>
      <c r="BD35" t="s">
        <v>710</v>
      </c>
      <c r="BE35" t="s">
        <v>182</v>
      </c>
      <c r="BU35" t="s">
        <v>184</v>
      </c>
      <c r="BX35" t="s">
        <v>185</v>
      </c>
      <c r="CE35" t="s">
        <v>186</v>
      </c>
      <c r="DD35" t="s">
        <v>711</v>
      </c>
      <c r="DE35" t="s">
        <v>712</v>
      </c>
      <c r="DH35" t="s">
        <v>111</v>
      </c>
      <c r="DN35" t="s">
        <v>713</v>
      </c>
      <c r="DO35" t="s">
        <v>110</v>
      </c>
      <c r="DP35" t="s">
        <v>111</v>
      </c>
      <c r="DW35" t="s">
        <v>198</v>
      </c>
      <c r="DX35" t="s">
        <v>199</v>
      </c>
      <c r="DY35" t="s">
        <v>198</v>
      </c>
      <c r="EB35" t="s">
        <v>201</v>
      </c>
      <c r="ED35" t="s">
        <v>202</v>
      </c>
      <c r="EF35" t="s">
        <v>203</v>
      </c>
      <c r="EH35" t="s">
        <v>714</v>
      </c>
      <c r="EM35" t="s">
        <v>123</v>
      </c>
      <c r="ET35" t="s">
        <v>198</v>
      </c>
      <c r="EU35" t="s">
        <v>199</v>
      </c>
      <c r="EV35" t="s">
        <v>198</v>
      </c>
      <c r="EY35" t="s">
        <v>209</v>
      </c>
      <c r="FA35" t="s">
        <v>202</v>
      </c>
      <c r="FB35" t="s">
        <v>233</v>
      </c>
      <c r="GV35" t="s">
        <v>715</v>
      </c>
      <c r="GY35" t="s">
        <v>152</v>
      </c>
      <c r="HF35" t="s">
        <v>159</v>
      </c>
      <c r="HG35" t="s">
        <v>160</v>
      </c>
      <c r="HK35" t="s">
        <v>716</v>
      </c>
      <c r="HL35" t="s">
        <v>717</v>
      </c>
      <c r="HM35" t="s">
        <v>718</v>
      </c>
      <c r="HN35" t="s">
        <v>719</v>
      </c>
      <c r="HP35" t="s">
        <v>720</v>
      </c>
    </row>
    <row r="36" spans="2:224" x14ac:dyDescent="0.25">
      <c r="B36">
        <v>10643112350</v>
      </c>
      <c r="C36" t="s">
        <v>1459</v>
      </c>
      <c r="D36">
        <v>224043989</v>
      </c>
      <c r="E36" s="2">
        <v>43560.426157407397</v>
      </c>
      <c r="F36" s="2">
        <v>43560.615370370368</v>
      </c>
      <c r="G36" t="s">
        <v>163</v>
      </c>
      <c r="L36" t="s">
        <v>310</v>
      </c>
      <c r="N36">
        <v>1500</v>
      </c>
      <c r="O36">
        <v>50</v>
      </c>
      <c r="P36">
        <v>20</v>
      </c>
      <c r="Q36">
        <v>0</v>
      </c>
      <c r="R36">
        <v>20</v>
      </c>
      <c r="S36">
        <v>10</v>
      </c>
      <c r="T36">
        <v>0</v>
      </c>
      <c r="U36" t="s">
        <v>216</v>
      </c>
      <c r="V36" t="s">
        <v>721</v>
      </c>
      <c r="W36" t="s">
        <v>1348</v>
      </c>
      <c r="X36" t="s">
        <v>166</v>
      </c>
      <c r="Z36" t="s">
        <v>167</v>
      </c>
      <c r="AA36" t="s">
        <v>168</v>
      </c>
      <c r="AB36" t="s">
        <v>2502</v>
      </c>
      <c r="AC36" t="s">
        <v>167</v>
      </c>
      <c r="AE36" t="s">
        <v>238</v>
      </c>
      <c r="AG36" t="s">
        <v>722</v>
      </c>
      <c r="AH36" t="s">
        <v>2438</v>
      </c>
      <c r="AI36" t="s">
        <v>723</v>
      </c>
      <c r="AJ36" t="s">
        <v>169</v>
      </c>
      <c r="AK36" t="s">
        <v>724</v>
      </c>
      <c r="AL36" t="s">
        <v>2443</v>
      </c>
      <c r="AM36" t="s">
        <v>725</v>
      </c>
      <c r="AN36" t="s">
        <v>725</v>
      </c>
      <c r="AO36" t="s">
        <v>726</v>
      </c>
      <c r="AP36" t="s">
        <v>175</v>
      </c>
      <c r="AQ36" t="s">
        <v>175</v>
      </c>
      <c r="AR36" t="s">
        <v>175</v>
      </c>
      <c r="AS36" t="s">
        <v>175</v>
      </c>
      <c r="AU36" t="s">
        <v>176</v>
      </c>
      <c r="AW36" t="s">
        <v>405</v>
      </c>
      <c r="AX36" t="s">
        <v>178</v>
      </c>
      <c r="AZ36" t="s">
        <v>405</v>
      </c>
      <c r="BD36" t="s">
        <v>727</v>
      </c>
      <c r="BE36" t="s">
        <v>182</v>
      </c>
      <c r="BG36" t="s">
        <v>405</v>
      </c>
      <c r="BH36" t="s">
        <v>183</v>
      </c>
      <c r="BJ36" t="s">
        <v>405</v>
      </c>
      <c r="BK36" t="s">
        <v>180</v>
      </c>
      <c r="BM36" t="s">
        <v>405</v>
      </c>
      <c r="CE36" t="s">
        <v>186</v>
      </c>
      <c r="CG36" t="s">
        <v>177</v>
      </c>
      <c r="CH36" t="s">
        <v>187</v>
      </c>
      <c r="CJ36" t="s">
        <v>177</v>
      </c>
      <c r="CK36" t="s">
        <v>188</v>
      </c>
      <c r="CM36" t="s">
        <v>177</v>
      </c>
      <c r="CN36" t="s">
        <v>190</v>
      </c>
      <c r="CP36" t="s">
        <v>177</v>
      </c>
      <c r="CQ36" t="s">
        <v>191</v>
      </c>
      <c r="CS36" t="s">
        <v>177</v>
      </c>
      <c r="CT36" t="s">
        <v>192</v>
      </c>
      <c r="CV36" t="s">
        <v>177</v>
      </c>
      <c r="CW36" t="s">
        <v>224</v>
      </c>
      <c r="CY36" t="s">
        <v>177</v>
      </c>
      <c r="CZ36" t="s">
        <v>193</v>
      </c>
      <c r="DB36" t="s">
        <v>177</v>
      </c>
      <c r="DD36" t="s">
        <v>225</v>
      </c>
      <c r="DE36" t="s">
        <v>728</v>
      </c>
      <c r="DF36" t="s">
        <v>196</v>
      </c>
      <c r="DH36" t="s">
        <v>111</v>
      </c>
      <c r="DN36" t="s">
        <v>729</v>
      </c>
      <c r="DP36" t="s">
        <v>111</v>
      </c>
      <c r="DW36" t="s">
        <v>200</v>
      </c>
      <c r="DX36" t="s">
        <v>199</v>
      </c>
      <c r="DY36" t="s">
        <v>198</v>
      </c>
      <c r="EB36" t="s">
        <v>201</v>
      </c>
      <c r="ED36" t="s">
        <v>202</v>
      </c>
      <c r="EF36" t="s">
        <v>203</v>
      </c>
      <c r="EH36" t="s">
        <v>730</v>
      </c>
      <c r="EI36" t="s">
        <v>731</v>
      </c>
      <c r="EJ36" t="s">
        <v>732</v>
      </c>
      <c r="EK36" t="s">
        <v>733</v>
      </c>
      <c r="EL36" t="s">
        <v>122</v>
      </c>
      <c r="EM36" t="s">
        <v>123</v>
      </c>
      <c r="ET36" t="s">
        <v>200</v>
      </c>
      <c r="EU36" t="s">
        <v>199</v>
      </c>
      <c r="EV36" t="s">
        <v>200</v>
      </c>
      <c r="EY36" t="s">
        <v>209</v>
      </c>
      <c r="FA36" t="s">
        <v>202</v>
      </c>
      <c r="FB36" t="s">
        <v>203</v>
      </c>
      <c r="GV36" t="s">
        <v>734</v>
      </c>
      <c r="HB36" t="s">
        <v>155</v>
      </c>
      <c r="HD36" t="s">
        <v>157</v>
      </c>
      <c r="HE36" t="s">
        <v>158</v>
      </c>
      <c r="HG36" t="s">
        <v>160</v>
      </c>
      <c r="HH36" t="s">
        <v>161</v>
      </c>
      <c r="HI36" t="s">
        <v>162</v>
      </c>
      <c r="HK36" t="s">
        <v>313</v>
      </c>
      <c r="HM36" t="s">
        <v>735</v>
      </c>
      <c r="HN36" t="s">
        <v>736</v>
      </c>
    </row>
    <row r="37" spans="2:224" x14ac:dyDescent="0.25">
      <c r="B37">
        <v>10642836199</v>
      </c>
      <c r="C37" t="s">
        <v>1459</v>
      </c>
      <c r="D37">
        <v>224043989</v>
      </c>
      <c r="E37" s="2">
        <v>43560.441747685189</v>
      </c>
      <c r="F37" s="2">
        <v>43560.463425925933</v>
      </c>
      <c r="G37" t="s">
        <v>163</v>
      </c>
      <c r="L37" t="s">
        <v>366</v>
      </c>
      <c r="N37">
        <v>75000</v>
      </c>
      <c r="O37">
        <v>50</v>
      </c>
      <c r="P37">
        <v>20</v>
      </c>
      <c r="Q37">
        <v>20</v>
      </c>
      <c r="R37">
        <v>10</v>
      </c>
      <c r="S37">
        <v>0</v>
      </c>
      <c r="T37">
        <v>0</v>
      </c>
      <c r="U37" s="8" t="s">
        <v>1381</v>
      </c>
      <c r="V37" t="s">
        <v>737</v>
      </c>
      <c r="W37" t="s">
        <v>1349</v>
      </c>
      <c r="X37" t="s">
        <v>166</v>
      </c>
      <c r="Z37" t="s">
        <v>218</v>
      </c>
      <c r="AA37" t="s">
        <v>218</v>
      </c>
      <c r="AB37" t="s">
        <v>2502</v>
      </c>
      <c r="AC37" t="s">
        <v>238</v>
      </c>
      <c r="AE37" t="s">
        <v>218</v>
      </c>
      <c r="AG37" t="s">
        <v>738</v>
      </c>
      <c r="AH37" t="s">
        <v>2441</v>
      </c>
      <c r="AI37" t="s">
        <v>739</v>
      </c>
      <c r="AJ37" t="s">
        <v>2441</v>
      </c>
      <c r="AM37" t="s">
        <v>740</v>
      </c>
      <c r="AN37" t="s">
        <v>741</v>
      </c>
      <c r="AP37" t="s">
        <v>245</v>
      </c>
      <c r="AQ37" t="s">
        <v>245</v>
      </c>
      <c r="AR37" t="s">
        <v>245</v>
      </c>
      <c r="AS37" t="s">
        <v>245</v>
      </c>
      <c r="AU37" t="s">
        <v>178</v>
      </c>
      <c r="AX37" t="s">
        <v>176</v>
      </c>
      <c r="BE37" t="s">
        <v>182</v>
      </c>
      <c r="BG37" t="s">
        <v>592</v>
      </c>
      <c r="BU37" t="s">
        <v>184</v>
      </c>
      <c r="BW37" t="s">
        <v>592</v>
      </c>
      <c r="CE37" t="s">
        <v>186</v>
      </c>
      <c r="CH37" t="s">
        <v>190</v>
      </c>
      <c r="CK37" t="s">
        <v>187</v>
      </c>
      <c r="CN37" t="s">
        <v>191</v>
      </c>
      <c r="DD37" t="s">
        <v>742</v>
      </c>
      <c r="DE37" t="s">
        <v>743</v>
      </c>
      <c r="DN37" t="s">
        <v>744</v>
      </c>
      <c r="DV37" t="s">
        <v>744</v>
      </c>
      <c r="DW37" t="s">
        <v>199</v>
      </c>
      <c r="DX37" t="s">
        <v>199</v>
      </c>
      <c r="DY37" t="s">
        <v>198</v>
      </c>
      <c r="EB37" t="s">
        <v>201</v>
      </c>
      <c r="ED37" t="s">
        <v>326</v>
      </c>
      <c r="EE37" t="s">
        <v>745</v>
      </c>
      <c r="EF37" t="s">
        <v>433</v>
      </c>
      <c r="EG37" t="s">
        <v>746</v>
      </c>
      <c r="EH37" t="s">
        <v>747</v>
      </c>
      <c r="EI37" t="s">
        <v>748</v>
      </c>
      <c r="ES37" t="s">
        <v>749</v>
      </c>
      <c r="ET37" t="s">
        <v>199</v>
      </c>
      <c r="EU37" t="s">
        <v>199</v>
      </c>
      <c r="EV37" t="s">
        <v>199</v>
      </c>
      <c r="EY37" t="s">
        <v>209</v>
      </c>
      <c r="FA37" t="s">
        <v>202</v>
      </c>
      <c r="FB37" t="s">
        <v>203</v>
      </c>
      <c r="GV37" t="s">
        <v>750</v>
      </c>
      <c r="GX37" t="s">
        <v>151</v>
      </c>
      <c r="GY37" t="s">
        <v>152</v>
      </c>
      <c r="HD37" t="s">
        <v>157</v>
      </c>
      <c r="HK37" t="s">
        <v>751</v>
      </c>
      <c r="HM37" t="s">
        <v>752</v>
      </c>
      <c r="HN37" t="s">
        <v>753</v>
      </c>
      <c r="HP37" t="s">
        <v>754</v>
      </c>
    </row>
    <row r="38" spans="2:224" x14ac:dyDescent="0.25">
      <c r="B38">
        <v>10642673606</v>
      </c>
      <c r="C38" t="s">
        <v>1459</v>
      </c>
      <c r="D38">
        <v>224043989</v>
      </c>
      <c r="E38" s="2">
        <v>43560.378067129634</v>
      </c>
      <c r="F38" s="2">
        <v>43560.386736111112</v>
      </c>
      <c r="G38" t="s">
        <v>163</v>
      </c>
      <c r="L38" t="s">
        <v>215</v>
      </c>
      <c r="N38">
        <v>25000</v>
      </c>
      <c r="O38">
        <v>50</v>
      </c>
      <c r="P38">
        <v>40</v>
      </c>
      <c r="Q38">
        <v>10</v>
      </c>
      <c r="R38">
        <v>0</v>
      </c>
      <c r="S38">
        <v>0</v>
      </c>
      <c r="T38">
        <v>0</v>
      </c>
      <c r="U38" s="8" t="s">
        <v>1381</v>
      </c>
      <c r="V38" t="s">
        <v>755</v>
      </c>
      <c r="W38" t="s">
        <v>1350</v>
      </c>
      <c r="X38" t="s">
        <v>166</v>
      </c>
      <c r="Z38" t="s">
        <v>168</v>
      </c>
      <c r="AA38" t="s">
        <v>167</v>
      </c>
      <c r="AB38" t="s">
        <v>2502</v>
      </c>
      <c r="AC38" t="s">
        <v>168</v>
      </c>
      <c r="AE38" t="s">
        <v>238</v>
      </c>
      <c r="AG38" t="s">
        <v>282</v>
      </c>
      <c r="AH38" t="s">
        <v>169</v>
      </c>
      <c r="AI38" t="s">
        <v>756</v>
      </c>
      <c r="AJ38" t="s">
        <v>2441</v>
      </c>
      <c r="AM38" t="s">
        <v>757</v>
      </c>
      <c r="AN38" t="s">
        <v>758</v>
      </c>
      <c r="AP38" t="s">
        <v>175</v>
      </c>
      <c r="AQ38" t="s">
        <v>175</v>
      </c>
      <c r="AR38" t="s">
        <v>175</v>
      </c>
      <c r="AS38" t="s">
        <v>175</v>
      </c>
      <c r="AU38" t="s">
        <v>402</v>
      </c>
      <c r="AW38" t="s">
        <v>223</v>
      </c>
      <c r="AX38" t="s">
        <v>178</v>
      </c>
      <c r="AZ38" t="s">
        <v>223</v>
      </c>
      <c r="BA38" t="s">
        <v>176</v>
      </c>
      <c r="BC38" t="s">
        <v>223</v>
      </c>
      <c r="BD38" t="s">
        <v>759</v>
      </c>
      <c r="BE38" t="s">
        <v>182</v>
      </c>
      <c r="BG38" t="s">
        <v>403</v>
      </c>
      <c r="BH38" t="s">
        <v>181</v>
      </c>
      <c r="BJ38" t="s">
        <v>405</v>
      </c>
      <c r="BT38" t="s">
        <v>759</v>
      </c>
      <c r="BU38" t="s">
        <v>184</v>
      </c>
      <c r="CD38" t="s">
        <v>760</v>
      </c>
      <c r="CE38" t="s">
        <v>186</v>
      </c>
      <c r="CH38" t="s">
        <v>191</v>
      </c>
      <c r="CK38" t="s">
        <v>323</v>
      </c>
      <c r="DC38" t="s">
        <v>761</v>
      </c>
      <c r="DD38" t="s">
        <v>762</v>
      </c>
      <c r="DH38" t="s">
        <v>111</v>
      </c>
      <c r="DN38" t="s">
        <v>763</v>
      </c>
      <c r="DP38" t="s">
        <v>111</v>
      </c>
      <c r="DW38" t="s">
        <v>198</v>
      </c>
      <c r="DX38" t="s">
        <v>198</v>
      </c>
      <c r="DY38" t="s">
        <v>198</v>
      </c>
      <c r="EB38" t="s">
        <v>201</v>
      </c>
      <c r="ED38" t="s">
        <v>228</v>
      </c>
      <c r="EF38" t="s">
        <v>233</v>
      </c>
      <c r="EI38" t="s">
        <v>764</v>
      </c>
      <c r="EL38" t="s">
        <v>122</v>
      </c>
      <c r="EM38" t="s">
        <v>123</v>
      </c>
      <c r="ET38" t="s">
        <v>198</v>
      </c>
      <c r="EU38" t="s">
        <v>198</v>
      </c>
      <c r="EV38" t="s">
        <v>198</v>
      </c>
      <c r="EY38" t="s">
        <v>249</v>
      </c>
      <c r="FA38" t="s">
        <v>202</v>
      </c>
      <c r="FB38" t="s">
        <v>233</v>
      </c>
      <c r="GV38" t="s">
        <v>765</v>
      </c>
      <c r="GX38" t="s">
        <v>151</v>
      </c>
      <c r="GY38" t="s">
        <v>152</v>
      </c>
      <c r="HF38" t="s">
        <v>159</v>
      </c>
      <c r="HH38" t="s">
        <v>161</v>
      </c>
      <c r="HI38" t="s">
        <v>162</v>
      </c>
      <c r="HJ38" t="s">
        <v>766</v>
      </c>
      <c r="HK38" t="s">
        <v>767</v>
      </c>
      <c r="HM38" t="s">
        <v>768</v>
      </c>
      <c r="HN38" t="s">
        <v>769</v>
      </c>
      <c r="HP38" t="s">
        <v>770</v>
      </c>
    </row>
    <row r="39" spans="2:224" x14ac:dyDescent="0.25">
      <c r="B39">
        <v>10640123353</v>
      </c>
      <c r="C39" t="s">
        <v>1459</v>
      </c>
      <c r="D39">
        <v>229751167</v>
      </c>
      <c r="E39" s="2">
        <v>43559.550902777781</v>
      </c>
      <c r="F39" s="2">
        <v>43559.559849537043</v>
      </c>
      <c r="G39" t="s">
        <v>771</v>
      </c>
      <c r="L39" t="s">
        <v>315</v>
      </c>
      <c r="N39">
        <v>70000</v>
      </c>
      <c r="O39">
        <v>50</v>
      </c>
      <c r="P39">
        <v>10</v>
      </c>
      <c r="Q39">
        <v>25</v>
      </c>
      <c r="R39">
        <v>5</v>
      </c>
      <c r="S39">
        <v>10</v>
      </c>
      <c r="T39">
        <v>0</v>
      </c>
      <c r="U39" s="8" t="s">
        <v>1381</v>
      </c>
      <c r="V39" t="s">
        <v>314</v>
      </c>
      <c r="W39" t="s">
        <v>45</v>
      </c>
      <c r="X39" t="s">
        <v>312</v>
      </c>
      <c r="FT39" t="s">
        <v>200</v>
      </c>
      <c r="FU39" t="s">
        <v>200</v>
      </c>
      <c r="FW39" t="s">
        <v>200</v>
      </c>
      <c r="FX39" t="s">
        <v>198</v>
      </c>
      <c r="FY39" t="s">
        <v>198</v>
      </c>
      <c r="FZ39" t="s">
        <v>198</v>
      </c>
      <c r="GA39" t="s">
        <v>198</v>
      </c>
      <c r="GB39" t="s">
        <v>198</v>
      </c>
      <c r="GC39" t="s">
        <v>198</v>
      </c>
      <c r="GE39" t="s">
        <v>200</v>
      </c>
      <c r="GF39" t="s">
        <v>200</v>
      </c>
      <c r="GJ39" t="s">
        <v>772</v>
      </c>
      <c r="GM39" t="s">
        <v>773</v>
      </c>
      <c r="GP39" t="s">
        <v>772</v>
      </c>
      <c r="GS39" t="s">
        <v>773</v>
      </c>
      <c r="GU39" t="s">
        <v>774</v>
      </c>
      <c r="GV39" t="s">
        <v>775</v>
      </c>
      <c r="GX39" t="s">
        <v>151</v>
      </c>
      <c r="HD39" t="s">
        <v>157</v>
      </c>
    </row>
    <row r="40" spans="2:224" x14ac:dyDescent="0.25">
      <c r="B40">
        <v>10640071626</v>
      </c>
      <c r="C40" t="s">
        <v>1459</v>
      </c>
      <c r="D40">
        <v>224043989</v>
      </c>
      <c r="E40" s="2">
        <v>43559.441087962958</v>
      </c>
      <c r="F40" s="2">
        <v>43559.535856481481</v>
      </c>
      <c r="G40" t="s">
        <v>163</v>
      </c>
      <c r="L40" t="s">
        <v>315</v>
      </c>
      <c r="N40">
        <v>2000</v>
      </c>
      <c r="O40">
        <v>55</v>
      </c>
      <c r="P40">
        <v>15</v>
      </c>
      <c r="Q40">
        <v>10</v>
      </c>
      <c r="R40">
        <v>25</v>
      </c>
      <c r="S40">
        <v>0</v>
      </c>
      <c r="T40">
        <v>0</v>
      </c>
      <c r="U40" s="8" t="s">
        <v>1381</v>
      </c>
      <c r="V40" t="s">
        <v>776</v>
      </c>
      <c r="W40" t="s">
        <v>1351</v>
      </c>
      <c r="X40" t="s">
        <v>166</v>
      </c>
      <c r="Z40" t="s">
        <v>238</v>
      </c>
      <c r="AA40" t="s">
        <v>263</v>
      </c>
      <c r="AB40" t="s">
        <v>2502</v>
      </c>
      <c r="AC40" t="s">
        <v>167</v>
      </c>
      <c r="AE40" t="s">
        <v>167</v>
      </c>
      <c r="AG40" t="s">
        <v>169</v>
      </c>
      <c r="AH40" t="s">
        <v>169</v>
      </c>
      <c r="AI40" t="s">
        <v>777</v>
      </c>
      <c r="AJ40" t="s">
        <v>2441</v>
      </c>
      <c r="AK40" t="s">
        <v>171</v>
      </c>
      <c r="AL40" t="s">
        <v>2438</v>
      </c>
      <c r="AM40" t="s">
        <v>778</v>
      </c>
      <c r="AN40" t="s">
        <v>779</v>
      </c>
      <c r="AO40" t="s">
        <v>780</v>
      </c>
      <c r="AP40" t="s">
        <v>245</v>
      </c>
      <c r="AQ40" t="s">
        <v>245</v>
      </c>
      <c r="AR40" t="s">
        <v>245</v>
      </c>
      <c r="AS40" t="s">
        <v>245</v>
      </c>
      <c r="AU40" t="s">
        <v>178</v>
      </c>
      <c r="AW40" t="s">
        <v>177</v>
      </c>
      <c r="AX40" t="s">
        <v>176</v>
      </c>
      <c r="AZ40" t="s">
        <v>177</v>
      </c>
      <c r="BD40" t="s">
        <v>781</v>
      </c>
      <c r="BE40" t="s">
        <v>182</v>
      </c>
      <c r="BG40" t="s">
        <v>177</v>
      </c>
      <c r="BH40" t="s">
        <v>180</v>
      </c>
      <c r="BJ40" t="s">
        <v>177</v>
      </c>
      <c r="CE40" t="s">
        <v>191</v>
      </c>
      <c r="CG40" t="s">
        <v>405</v>
      </c>
      <c r="CH40" t="s">
        <v>186</v>
      </c>
      <c r="CJ40" t="s">
        <v>405</v>
      </c>
      <c r="CK40" t="s">
        <v>187</v>
      </c>
      <c r="CM40" t="s">
        <v>405</v>
      </c>
      <c r="CN40" t="s">
        <v>188</v>
      </c>
      <c r="CP40" t="s">
        <v>405</v>
      </c>
      <c r="CQ40" t="s">
        <v>190</v>
      </c>
      <c r="CS40" t="s">
        <v>405</v>
      </c>
      <c r="CT40" t="s">
        <v>192</v>
      </c>
      <c r="CV40" t="s">
        <v>405</v>
      </c>
      <c r="DD40" t="s">
        <v>782</v>
      </c>
      <c r="DE40" t="s">
        <v>783</v>
      </c>
      <c r="DF40" t="s">
        <v>389</v>
      </c>
      <c r="DN40" t="s">
        <v>784</v>
      </c>
      <c r="DV40" t="s">
        <v>784</v>
      </c>
      <c r="DW40" t="s">
        <v>198</v>
      </c>
      <c r="DX40" t="s">
        <v>199</v>
      </c>
      <c r="DY40" t="s">
        <v>199</v>
      </c>
      <c r="EB40" t="s">
        <v>201</v>
      </c>
      <c r="ED40" t="s">
        <v>228</v>
      </c>
      <c r="EF40" t="s">
        <v>233</v>
      </c>
      <c r="EH40" t="s">
        <v>785</v>
      </c>
      <c r="EI40" t="s">
        <v>389</v>
      </c>
      <c r="EJ40" t="s">
        <v>786</v>
      </c>
      <c r="EK40" t="s">
        <v>787</v>
      </c>
      <c r="ES40" t="s">
        <v>788</v>
      </c>
      <c r="ET40" t="s">
        <v>200</v>
      </c>
      <c r="EU40" t="s">
        <v>199</v>
      </c>
      <c r="EV40" t="s">
        <v>200</v>
      </c>
      <c r="EY40" t="s">
        <v>209</v>
      </c>
      <c r="FA40" t="s">
        <v>202</v>
      </c>
      <c r="FB40" t="s">
        <v>203</v>
      </c>
      <c r="GV40" t="s">
        <v>789</v>
      </c>
      <c r="HE40" t="s">
        <v>158</v>
      </c>
      <c r="HJ40" t="s">
        <v>569</v>
      </c>
      <c r="HK40" t="s">
        <v>790</v>
      </c>
      <c r="HM40" t="s">
        <v>791</v>
      </c>
      <c r="HN40" t="s">
        <v>792</v>
      </c>
      <c r="HO40" t="s">
        <v>793</v>
      </c>
      <c r="HP40" t="s">
        <v>794</v>
      </c>
    </row>
    <row r="41" spans="2:224" x14ac:dyDescent="0.25">
      <c r="B41">
        <v>10639984100</v>
      </c>
      <c r="C41" t="s">
        <v>1459</v>
      </c>
      <c r="D41">
        <v>224043989</v>
      </c>
      <c r="E41" s="2">
        <v>43559.448587962957</v>
      </c>
      <c r="F41" s="2">
        <v>43559.485868055563</v>
      </c>
      <c r="G41" t="s">
        <v>163</v>
      </c>
      <c r="L41" t="s">
        <v>315</v>
      </c>
      <c r="N41">
        <v>100000</v>
      </c>
      <c r="O41">
        <v>50</v>
      </c>
      <c r="P41">
        <v>50</v>
      </c>
      <c r="Q41">
        <v>0</v>
      </c>
      <c r="R41">
        <v>0</v>
      </c>
      <c r="S41">
        <v>0</v>
      </c>
      <c r="T41">
        <v>0</v>
      </c>
      <c r="U41" s="8" t="s">
        <v>1381</v>
      </c>
      <c r="V41" t="s">
        <v>795</v>
      </c>
      <c r="W41" t="s">
        <v>1352</v>
      </c>
      <c r="X41" t="s">
        <v>166</v>
      </c>
      <c r="Z41" t="s">
        <v>167</v>
      </c>
      <c r="AA41" t="s">
        <v>168</v>
      </c>
      <c r="AB41" t="s">
        <v>2502</v>
      </c>
      <c r="AC41" t="s">
        <v>168</v>
      </c>
      <c r="AE41" t="s">
        <v>167</v>
      </c>
      <c r="AF41" t="s">
        <v>796</v>
      </c>
      <c r="AG41" t="s">
        <v>317</v>
      </c>
      <c r="AH41" t="s">
        <v>169</v>
      </c>
      <c r="AI41" t="s">
        <v>766</v>
      </c>
      <c r="AJ41" t="s">
        <v>2438</v>
      </c>
      <c r="AM41" t="s">
        <v>797</v>
      </c>
      <c r="AP41">
        <v>0</v>
      </c>
      <c r="AQ41">
        <v>0</v>
      </c>
      <c r="AR41">
        <v>0</v>
      </c>
      <c r="AS41">
        <v>0</v>
      </c>
      <c r="AU41" t="s">
        <v>178</v>
      </c>
      <c r="BE41" t="s">
        <v>182</v>
      </c>
      <c r="BU41" t="s">
        <v>184</v>
      </c>
      <c r="CE41" t="s">
        <v>189</v>
      </c>
      <c r="CH41" t="s">
        <v>193</v>
      </c>
      <c r="CK41" t="s">
        <v>191</v>
      </c>
      <c r="CN41" t="s">
        <v>323</v>
      </c>
      <c r="CQ41" t="s">
        <v>224</v>
      </c>
      <c r="DC41" t="s">
        <v>798</v>
      </c>
      <c r="DD41" t="s">
        <v>186</v>
      </c>
      <c r="DE41" t="s">
        <v>799</v>
      </c>
      <c r="DF41" t="s">
        <v>800</v>
      </c>
      <c r="DN41" t="s">
        <v>801</v>
      </c>
      <c r="DO41" t="s">
        <v>110</v>
      </c>
      <c r="DP41" t="s">
        <v>111</v>
      </c>
      <c r="DW41" t="s">
        <v>199</v>
      </c>
      <c r="DX41" t="s">
        <v>199</v>
      </c>
      <c r="EB41" t="s">
        <v>201</v>
      </c>
      <c r="ED41" t="s">
        <v>202</v>
      </c>
      <c r="EF41" t="s">
        <v>203</v>
      </c>
      <c r="EH41" t="s">
        <v>802</v>
      </c>
      <c r="GV41" t="s">
        <v>803</v>
      </c>
      <c r="GW41" t="s">
        <v>150</v>
      </c>
      <c r="GX41" t="s">
        <v>151</v>
      </c>
      <c r="GY41" t="s">
        <v>152</v>
      </c>
      <c r="HK41" t="s">
        <v>804</v>
      </c>
      <c r="HM41" t="s">
        <v>805</v>
      </c>
      <c r="HN41" t="s">
        <v>806</v>
      </c>
      <c r="HP41" t="s">
        <v>807</v>
      </c>
    </row>
    <row r="42" spans="2:224" x14ac:dyDescent="0.25">
      <c r="B42">
        <v>10637415442</v>
      </c>
      <c r="C42" t="s">
        <v>1459</v>
      </c>
      <c r="D42">
        <v>224043989</v>
      </c>
      <c r="E42" s="2">
        <v>43558.590925925928</v>
      </c>
      <c r="F42" s="2">
        <v>43558.663298611107</v>
      </c>
      <c r="G42" t="s">
        <v>163</v>
      </c>
      <c r="L42" t="s">
        <v>310</v>
      </c>
      <c r="N42">
        <v>700</v>
      </c>
      <c r="O42">
        <v>30</v>
      </c>
      <c r="P42">
        <v>20</v>
      </c>
      <c r="Q42">
        <v>10</v>
      </c>
      <c r="R42">
        <v>40</v>
      </c>
      <c r="S42">
        <v>0</v>
      </c>
      <c r="T42">
        <v>0</v>
      </c>
      <c r="U42" s="8" t="s">
        <v>1381</v>
      </c>
      <c r="V42" t="s">
        <v>808</v>
      </c>
      <c r="W42" t="s">
        <v>1353</v>
      </c>
      <c r="X42" t="s">
        <v>166</v>
      </c>
      <c r="Z42" t="s">
        <v>218</v>
      </c>
      <c r="AA42" t="s">
        <v>2502</v>
      </c>
      <c r="AB42" t="s">
        <v>2502</v>
      </c>
      <c r="AC42" t="s">
        <v>218</v>
      </c>
      <c r="AE42" t="s">
        <v>167</v>
      </c>
      <c r="AG42" t="s">
        <v>169</v>
      </c>
      <c r="AH42" t="s">
        <v>169</v>
      </c>
      <c r="AI42" t="s">
        <v>240</v>
      </c>
      <c r="AJ42" t="s">
        <v>2438</v>
      </c>
      <c r="AK42" t="s">
        <v>809</v>
      </c>
      <c r="AL42" t="s">
        <v>2438</v>
      </c>
      <c r="AM42" t="s">
        <v>810</v>
      </c>
      <c r="AN42" t="s">
        <v>811</v>
      </c>
      <c r="AO42" t="s">
        <v>812</v>
      </c>
      <c r="AP42" t="s">
        <v>175</v>
      </c>
      <c r="AQ42" t="s">
        <v>175</v>
      </c>
      <c r="AR42" t="s">
        <v>175</v>
      </c>
      <c r="AS42" t="s">
        <v>175</v>
      </c>
      <c r="AU42" t="s">
        <v>178</v>
      </c>
      <c r="AW42" t="s">
        <v>403</v>
      </c>
      <c r="AX42" t="s">
        <v>176</v>
      </c>
      <c r="AZ42" t="s">
        <v>403</v>
      </c>
      <c r="BE42" t="s">
        <v>182</v>
      </c>
      <c r="BG42" t="s">
        <v>403</v>
      </c>
      <c r="BH42" t="s">
        <v>183</v>
      </c>
      <c r="BJ42" t="s">
        <v>403</v>
      </c>
      <c r="BK42" t="s">
        <v>679</v>
      </c>
      <c r="BM42" t="s">
        <v>403</v>
      </c>
      <c r="CE42" t="s">
        <v>323</v>
      </c>
      <c r="CG42" t="s">
        <v>403</v>
      </c>
      <c r="CH42" t="s">
        <v>191</v>
      </c>
      <c r="CJ42" t="s">
        <v>403</v>
      </c>
      <c r="CK42" t="s">
        <v>224</v>
      </c>
      <c r="CM42" t="s">
        <v>403</v>
      </c>
      <c r="CN42" t="s">
        <v>192</v>
      </c>
      <c r="CP42" t="s">
        <v>403</v>
      </c>
      <c r="CQ42" t="s">
        <v>193</v>
      </c>
      <c r="CS42" t="s">
        <v>403</v>
      </c>
      <c r="CT42" t="s">
        <v>190</v>
      </c>
      <c r="CV42" t="s">
        <v>403</v>
      </c>
      <c r="CW42" t="s">
        <v>188</v>
      </c>
      <c r="CY42" t="s">
        <v>403</v>
      </c>
      <c r="CZ42" t="s">
        <v>186</v>
      </c>
      <c r="DB42" t="s">
        <v>403</v>
      </c>
      <c r="DD42" t="s">
        <v>594</v>
      </c>
      <c r="DE42" t="s">
        <v>813</v>
      </c>
      <c r="DF42" t="s">
        <v>814</v>
      </c>
      <c r="DN42" t="s">
        <v>208</v>
      </c>
      <c r="DV42" t="s">
        <v>208</v>
      </c>
      <c r="DW42" t="s">
        <v>200</v>
      </c>
      <c r="DX42" t="s">
        <v>199</v>
      </c>
      <c r="DY42" t="s">
        <v>198</v>
      </c>
      <c r="EB42" t="s">
        <v>201</v>
      </c>
      <c r="ED42" t="s">
        <v>202</v>
      </c>
      <c r="EF42" t="s">
        <v>203</v>
      </c>
      <c r="EH42" t="s">
        <v>815</v>
      </c>
      <c r="EI42" t="s">
        <v>816</v>
      </c>
      <c r="EJ42" t="s">
        <v>817</v>
      </c>
      <c r="EK42" t="s">
        <v>358</v>
      </c>
      <c r="EM42" t="s">
        <v>123</v>
      </c>
      <c r="ET42" t="s">
        <v>198</v>
      </c>
      <c r="EU42" t="s">
        <v>199</v>
      </c>
      <c r="EV42" t="s">
        <v>198</v>
      </c>
      <c r="EY42" t="s">
        <v>209</v>
      </c>
      <c r="FA42" t="s">
        <v>202</v>
      </c>
      <c r="FB42" t="s">
        <v>203</v>
      </c>
      <c r="GV42" t="s">
        <v>818</v>
      </c>
      <c r="HE42" t="s">
        <v>158</v>
      </c>
      <c r="HF42" t="s">
        <v>159</v>
      </c>
      <c r="HG42" t="s">
        <v>160</v>
      </c>
      <c r="HJ42" t="s">
        <v>819</v>
      </c>
      <c r="HK42" t="s">
        <v>820</v>
      </c>
      <c r="HM42" t="s">
        <v>821</v>
      </c>
      <c r="HN42" t="s">
        <v>822</v>
      </c>
      <c r="HO42" t="s">
        <v>823</v>
      </c>
      <c r="HP42" t="s">
        <v>824</v>
      </c>
    </row>
    <row r="43" spans="2:224" x14ac:dyDescent="0.25">
      <c r="B43">
        <v>10637308184</v>
      </c>
      <c r="C43" t="s">
        <v>1459</v>
      </c>
      <c r="D43">
        <v>224043989</v>
      </c>
      <c r="E43" s="2">
        <v>43558.573287037027</v>
      </c>
      <c r="F43" s="2">
        <v>43558.589039351849</v>
      </c>
      <c r="G43" t="s">
        <v>163</v>
      </c>
      <c r="L43" t="s">
        <v>291</v>
      </c>
      <c r="N43">
        <v>2200</v>
      </c>
      <c r="O43">
        <v>50</v>
      </c>
      <c r="P43">
        <v>7</v>
      </c>
      <c r="Q43">
        <v>10</v>
      </c>
      <c r="R43">
        <v>33</v>
      </c>
      <c r="S43">
        <v>0</v>
      </c>
      <c r="T43">
        <v>0</v>
      </c>
      <c r="U43" t="s">
        <v>330</v>
      </c>
      <c r="V43" t="s">
        <v>825</v>
      </c>
      <c r="W43" t="s">
        <v>1354</v>
      </c>
      <c r="X43" t="s">
        <v>166</v>
      </c>
      <c r="Z43" t="s">
        <v>2502</v>
      </c>
      <c r="AA43" t="s">
        <v>218</v>
      </c>
      <c r="AB43" t="s">
        <v>2502</v>
      </c>
      <c r="AC43" t="s">
        <v>167</v>
      </c>
      <c r="AE43" t="s">
        <v>167</v>
      </c>
      <c r="AG43" t="s">
        <v>169</v>
      </c>
      <c r="AH43" t="s">
        <v>169</v>
      </c>
      <c r="AI43" t="s">
        <v>170</v>
      </c>
      <c r="AJ43" t="s">
        <v>2438</v>
      </c>
      <c r="AK43" t="s">
        <v>826</v>
      </c>
      <c r="AL43" t="s">
        <v>2438</v>
      </c>
      <c r="AM43" t="s">
        <v>827</v>
      </c>
      <c r="AN43" t="s">
        <v>828</v>
      </c>
      <c r="AP43" t="s">
        <v>245</v>
      </c>
      <c r="AQ43" t="s">
        <v>245</v>
      </c>
      <c r="AR43" t="s">
        <v>322</v>
      </c>
      <c r="AS43" t="s">
        <v>245</v>
      </c>
      <c r="AU43" t="s">
        <v>176</v>
      </c>
      <c r="AW43" t="s">
        <v>177</v>
      </c>
      <c r="AX43" t="s">
        <v>178</v>
      </c>
      <c r="AZ43" t="s">
        <v>177</v>
      </c>
      <c r="BE43" t="s">
        <v>182</v>
      </c>
      <c r="BG43" t="s">
        <v>177</v>
      </c>
      <c r="BH43" t="s">
        <v>183</v>
      </c>
      <c r="BJ43" t="s">
        <v>177</v>
      </c>
      <c r="BU43" t="s">
        <v>184</v>
      </c>
      <c r="BW43" t="s">
        <v>177</v>
      </c>
      <c r="BX43" t="s">
        <v>185</v>
      </c>
      <c r="BZ43" t="s">
        <v>177</v>
      </c>
      <c r="CE43" t="s">
        <v>323</v>
      </c>
      <c r="CG43" t="s">
        <v>177</v>
      </c>
      <c r="CH43" t="s">
        <v>193</v>
      </c>
      <c r="CJ43" t="s">
        <v>177</v>
      </c>
      <c r="CK43" t="s">
        <v>186</v>
      </c>
      <c r="CM43" t="s">
        <v>177</v>
      </c>
      <c r="CN43" t="s">
        <v>189</v>
      </c>
      <c r="CP43" t="s">
        <v>177</v>
      </c>
      <c r="CQ43" t="s">
        <v>187</v>
      </c>
      <c r="CS43" t="s">
        <v>177</v>
      </c>
      <c r="DD43" t="s">
        <v>829</v>
      </c>
      <c r="DE43" t="s">
        <v>830</v>
      </c>
      <c r="DF43" t="s">
        <v>831</v>
      </c>
      <c r="DG43" t="s">
        <v>110</v>
      </c>
      <c r="DI43" t="s">
        <v>112</v>
      </c>
      <c r="DO43" t="s">
        <v>110</v>
      </c>
      <c r="DQ43" t="s">
        <v>112</v>
      </c>
      <c r="DW43" t="s">
        <v>198</v>
      </c>
      <c r="DX43" t="s">
        <v>199</v>
      </c>
      <c r="DY43" t="s">
        <v>200</v>
      </c>
      <c r="EB43" t="s">
        <v>201</v>
      </c>
      <c r="ED43" t="s">
        <v>202</v>
      </c>
      <c r="EF43" t="s">
        <v>203</v>
      </c>
      <c r="EH43" t="s">
        <v>832</v>
      </c>
      <c r="EI43" t="s">
        <v>833</v>
      </c>
      <c r="EJ43" t="s">
        <v>834</v>
      </c>
      <c r="EK43" t="s">
        <v>787</v>
      </c>
      <c r="EL43" t="s">
        <v>122</v>
      </c>
      <c r="EN43" t="s">
        <v>124</v>
      </c>
      <c r="ET43" t="s">
        <v>198</v>
      </c>
      <c r="EU43" t="s">
        <v>199</v>
      </c>
      <c r="EV43" t="s">
        <v>200</v>
      </c>
      <c r="EY43" t="s">
        <v>209</v>
      </c>
      <c r="FA43" t="s">
        <v>202</v>
      </c>
      <c r="FB43" t="s">
        <v>233</v>
      </c>
      <c r="GV43" t="s">
        <v>835</v>
      </c>
      <c r="HB43" t="s">
        <v>155</v>
      </c>
      <c r="HD43" t="s">
        <v>157</v>
      </c>
      <c r="HG43" t="s">
        <v>160</v>
      </c>
      <c r="HH43" t="s">
        <v>161</v>
      </c>
      <c r="HI43" t="s">
        <v>162</v>
      </c>
      <c r="HK43" t="s">
        <v>836</v>
      </c>
      <c r="HL43" t="s">
        <v>837</v>
      </c>
      <c r="HM43" t="s">
        <v>838</v>
      </c>
      <c r="HN43" t="s">
        <v>839</v>
      </c>
      <c r="HO43" t="s">
        <v>840</v>
      </c>
      <c r="HP43" t="s">
        <v>841</v>
      </c>
    </row>
    <row r="44" spans="2:224" x14ac:dyDescent="0.25">
      <c r="B44">
        <v>10637274134</v>
      </c>
      <c r="C44" t="s">
        <v>1459</v>
      </c>
      <c r="D44">
        <v>224043989</v>
      </c>
      <c r="E44" s="2">
        <v>43558.522696759261</v>
      </c>
      <c r="F44" s="2">
        <v>43558.563900462963</v>
      </c>
      <c r="G44" t="s">
        <v>163</v>
      </c>
      <c r="L44" t="s">
        <v>260</v>
      </c>
      <c r="N44">
        <v>1200</v>
      </c>
      <c r="O44">
        <v>80</v>
      </c>
      <c r="P44">
        <v>0</v>
      </c>
      <c r="Q44">
        <v>0</v>
      </c>
      <c r="R44">
        <v>10</v>
      </c>
      <c r="S44">
        <v>10</v>
      </c>
      <c r="T44">
        <v>0</v>
      </c>
      <c r="U44" t="s">
        <v>261</v>
      </c>
      <c r="V44" t="s">
        <v>217</v>
      </c>
      <c r="W44" t="s">
        <v>1355</v>
      </c>
      <c r="X44" t="s">
        <v>166</v>
      </c>
      <c r="Z44" t="s">
        <v>167</v>
      </c>
      <c r="AA44" t="s">
        <v>2502</v>
      </c>
      <c r="AB44" t="s">
        <v>2502</v>
      </c>
      <c r="AC44" t="s">
        <v>218</v>
      </c>
      <c r="AE44" t="s">
        <v>167</v>
      </c>
      <c r="AG44" t="s">
        <v>169</v>
      </c>
      <c r="AH44" t="s">
        <v>169</v>
      </c>
      <c r="AI44" t="s">
        <v>170</v>
      </c>
      <c r="AJ44" t="s">
        <v>2438</v>
      </c>
      <c r="AK44" t="s">
        <v>842</v>
      </c>
      <c r="AL44" t="s">
        <v>2443</v>
      </c>
      <c r="AM44" t="s">
        <v>843</v>
      </c>
      <c r="AN44" t="s">
        <v>843</v>
      </c>
      <c r="AO44" t="s">
        <v>844</v>
      </c>
      <c r="AP44" t="s">
        <v>175</v>
      </c>
      <c r="AQ44" t="s">
        <v>175</v>
      </c>
      <c r="AR44" t="s">
        <v>175</v>
      </c>
      <c r="AS44" t="s">
        <v>175</v>
      </c>
      <c r="AU44" t="s">
        <v>402</v>
      </c>
      <c r="AW44" t="s">
        <v>405</v>
      </c>
      <c r="BD44" t="s">
        <v>845</v>
      </c>
      <c r="BE44" t="s">
        <v>181</v>
      </c>
      <c r="BG44" t="s">
        <v>405</v>
      </c>
      <c r="BH44" t="s">
        <v>182</v>
      </c>
      <c r="BJ44" t="s">
        <v>405</v>
      </c>
      <c r="BK44" t="s">
        <v>183</v>
      </c>
      <c r="BM44" t="s">
        <v>405</v>
      </c>
      <c r="BT44" t="s">
        <v>846</v>
      </c>
      <c r="CE44" t="s">
        <v>192</v>
      </c>
      <c r="CG44" t="s">
        <v>405</v>
      </c>
      <c r="CH44" t="s">
        <v>191</v>
      </c>
      <c r="CJ44" t="s">
        <v>405</v>
      </c>
      <c r="CK44" t="s">
        <v>323</v>
      </c>
      <c r="CM44" t="s">
        <v>405</v>
      </c>
      <c r="CN44" t="s">
        <v>188</v>
      </c>
      <c r="CP44" t="s">
        <v>405</v>
      </c>
      <c r="CQ44" t="s">
        <v>190</v>
      </c>
      <c r="CS44" t="s">
        <v>405</v>
      </c>
      <c r="DD44" t="s">
        <v>847</v>
      </c>
      <c r="DE44" t="s">
        <v>848</v>
      </c>
      <c r="DF44" t="s">
        <v>849</v>
      </c>
      <c r="DG44" t="s">
        <v>110</v>
      </c>
      <c r="DH44" t="s">
        <v>111</v>
      </c>
      <c r="DN44" t="s">
        <v>850</v>
      </c>
      <c r="DO44" t="s">
        <v>110</v>
      </c>
      <c r="DP44" t="s">
        <v>111</v>
      </c>
      <c r="DW44" t="s">
        <v>200</v>
      </c>
      <c r="DX44" t="s">
        <v>199</v>
      </c>
      <c r="DY44" t="s">
        <v>200</v>
      </c>
      <c r="EB44" t="s">
        <v>201</v>
      </c>
      <c r="ED44" t="s">
        <v>228</v>
      </c>
      <c r="EF44" t="s">
        <v>203</v>
      </c>
      <c r="EH44" t="s">
        <v>851</v>
      </c>
      <c r="EI44" t="s">
        <v>852</v>
      </c>
      <c r="EJ44" t="s">
        <v>853</v>
      </c>
      <c r="EK44" t="s">
        <v>854</v>
      </c>
      <c r="ES44" t="s">
        <v>855</v>
      </c>
      <c r="ET44" t="s">
        <v>200</v>
      </c>
      <c r="EU44" t="s">
        <v>199</v>
      </c>
      <c r="EV44" t="s">
        <v>200</v>
      </c>
      <c r="EY44" t="s">
        <v>209</v>
      </c>
      <c r="FA44" t="s">
        <v>202</v>
      </c>
      <c r="FB44" t="s">
        <v>203</v>
      </c>
      <c r="GV44" t="s">
        <v>856</v>
      </c>
      <c r="GY44" t="s">
        <v>152</v>
      </c>
      <c r="HB44" t="s">
        <v>155</v>
      </c>
      <c r="HC44" t="s">
        <v>156</v>
      </c>
      <c r="HH44" t="s">
        <v>161</v>
      </c>
      <c r="HI44" t="s">
        <v>162</v>
      </c>
      <c r="HN44" t="s">
        <v>654</v>
      </c>
      <c r="HO44" t="s">
        <v>655</v>
      </c>
    </row>
    <row r="45" spans="2:224" x14ac:dyDescent="0.25">
      <c r="B45">
        <v>10637178715</v>
      </c>
      <c r="C45" t="s">
        <v>1459</v>
      </c>
      <c r="D45">
        <v>224043989</v>
      </c>
      <c r="E45" s="2">
        <v>43558.449328703697</v>
      </c>
      <c r="F45" s="2">
        <v>43558.514999999999</v>
      </c>
      <c r="G45" t="s">
        <v>163</v>
      </c>
      <c r="L45" t="s">
        <v>310</v>
      </c>
      <c r="N45">
        <v>1000</v>
      </c>
      <c r="O45">
        <v>60</v>
      </c>
      <c r="P45">
        <v>30</v>
      </c>
      <c r="Q45">
        <v>10</v>
      </c>
      <c r="R45">
        <v>0</v>
      </c>
      <c r="S45">
        <v>0</v>
      </c>
      <c r="T45">
        <v>0</v>
      </c>
      <c r="U45" t="s">
        <v>261</v>
      </c>
      <c r="V45" t="s">
        <v>217</v>
      </c>
      <c r="W45" t="s">
        <v>1355</v>
      </c>
      <c r="X45" t="s">
        <v>166</v>
      </c>
      <c r="Z45" t="s">
        <v>218</v>
      </c>
      <c r="AA45" t="s">
        <v>2502</v>
      </c>
      <c r="AB45" t="s">
        <v>2502</v>
      </c>
      <c r="AC45" t="s">
        <v>167</v>
      </c>
      <c r="AE45" t="s">
        <v>167</v>
      </c>
      <c r="AG45" t="s">
        <v>169</v>
      </c>
      <c r="AH45" t="s">
        <v>169</v>
      </c>
      <c r="AI45" t="s">
        <v>857</v>
      </c>
      <c r="AJ45" t="s">
        <v>2443</v>
      </c>
      <c r="AK45" t="s">
        <v>858</v>
      </c>
      <c r="AL45" t="s">
        <v>2441</v>
      </c>
      <c r="AN45" t="s">
        <v>859</v>
      </c>
      <c r="AP45" t="s">
        <v>175</v>
      </c>
      <c r="AQ45" t="s">
        <v>175</v>
      </c>
      <c r="AR45" t="s">
        <v>175</v>
      </c>
      <c r="AS45" t="s">
        <v>401</v>
      </c>
      <c r="AU45" t="s">
        <v>402</v>
      </c>
      <c r="AW45" t="s">
        <v>403</v>
      </c>
      <c r="BD45" t="s">
        <v>860</v>
      </c>
      <c r="BE45" t="s">
        <v>182</v>
      </c>
      <c r="BG45" t="s">
        <v>403</v>
      </c>
      <c r="BT45" t="s">
        <v>861</v>
      </c>
      <c r="CD45" t="s">
        <v>862</v>
      </c>
      <c r="DD45" t="s">
        <v>786</v>
      </c>
      <c r="DE45" t="s">
        <v>863</v>
      </c>
      <c r="DN45" t="s">
        <v>208</v>
      </c>
      <c r="DV45" t="s">
        <v>208</v>
      </c>
      <c r="DW45" t="s">
        <v>198</v>
      </c>
      <c r="DX45" t="s">
        <v>199</v>
      </c>
      <c r="DY45" t="s">
        <v>200</v>
      </c>
      <c r="EA45" t="s">
        <v>864</v>
      </c>
      <c r="EB45" t="s">
        <v>201</v>
      </c>
      <c r="ED45" t="s">
        <v>228</v>
      </c>
      <c r="EF45" t="s">
        <v>203</v>
      </c>
      <c r="EH45" t="s">
        <v>865</v>
      </c>
      <c r="EI45" t="s">
        <v>205</v>
      </c>
      <c r="EJ45" t="s">
        <v>866</v>
      </c>
      <c r="ES45" t="s">
        <v>867</v>
      </c>
      <c r="ET45" t="s">
        <v>200</v>
      </c>
      <c r="EU45" t="s">
        <v>200</v>
      </c>
      <c r="EV45" t="s">
        <v>200</v>
      </c>
      <c r="EY45" t="s">
        <v>209</v>
      </c>
      <c r="FA45" t="s">
        <v>202</v>
      </c>
      <c r="FB45" t="s">
        <v>203</v>
      </c>
      <c r="GV45" t="s">
        <v>868</v>
      </c>
      <c r="HG45" t="s">
        <v>160</v>
      </c>
      <c r="HJ45" t="s">
        <v>869</v>
      </c>
      <c r="HK45" t="s">
        <v>870</v>
      </c>
      <c r="HM45" t="s">
        <v>871</v>
      </c>
      <c r="HN45" t="s">
        <v>872</v>
      </c>
      <c r="HO45" t="s">
        <v>873</v>
      </c>
      <c r="HP45" t="s">
        <v>874</v>
      </c>
    </row>
    <row r="46" spans="2:224" x14ac:dyDescent="0.25">
      <c r="B46">
        <v>10636869480</v>
      </c>
      <c r="C46" t="s">
        <v>1459</v>
      </c>
      <c r="D46">
        <v>224043989</v>
      </c>
      <c r="E46" s="2">
        <v>43558.367534722223</v>
      </c>
      <c r="F46" s="2">
        <v>43558.378680555557</v>
      </c>
      <c r="G46" t="s">
        <v>163</v>
      </c>
      <c r="L46" t="s">
        <v>260</v>
      </c>
      <c r="N46">
        <v>2000</v>
      </c>
      <c r="O46">
        <v>75</v>
      </c>
      <c r="P46">
        <v>5</v>
      </c>
      <c r="Q46">
        <v>0</v>
      </c>
      <c r="R46">
        <v>10</v>
      </c>
      <c r="S46">
        <v>10</v>
      </c>
      <c r="T46">
        <v>0</v>
      </c>
      <c r="U46" t="s">
        <v>261</v>
      </c>
      <c r="V46" t="s">
        <v>217</v>
      </c>
      <c r="W46" t="s">
        <v>1355</v>
      </c>
      <c r="X46" t="s">
        <v>166</v>
      </c>
      <c r="Z46" t="s">
        <v>263</v>
      </c>
      <c r="AA46" t="s">
        <v>263</v>
      </c>
      <c r="AB46" t="s">
        <v>2502</v>
      </c>
      <c r="AC46" t="s">
        <v>167</v>
      </c>
      <c r="AE46" t="s">
        <v>167</v>
      </c>
      <c r="AG46" t="s">
        <v>169</v>
      </c>
      <c r="AH46" t="s">
        <v>169</v>
      </c>
      <c r="AI46" t="s">
        <v>240</v>
      </c>
      <c r="AJ46" t="s">
        <v>2438</v>
      </c>
      <c r="AK46" t="s">
        <v>241</v>
      </c>
      <c r="AL46" t="s">
        <v>2439</v>
      </c>
      <c r="AM46" t="s">
        <v>875</v>
      </c>
      <c r="AN46" t="s">
        <v>876</v>
      </c>
      <c r="AO46" t="s">
        <v>877</v>
      </c>
      <c r="AU46" t="s">
        <v>402</v>
      </c>
      <c r="AW46" t="s">
        <v>405</v>
      </c>
      <c r="BD46" t="s">
        <v>878</v>
      </c>
      <c r="BE46" t="s">
        <v>182</v>
      </c>
      <c r="BG46" t="s">
        <v>405</v>
      </c>
      <c r="BH46" t="s">
        <v>183</v>
      </c>
      <c r="BJ46" t="s">
        <v>405</v>
      </c>
      <c r="BT46" t="s">
        <v>879</v>
      </c>
      <c r="CE46" t="s">
        <v>192</v>
      </c>
      <c r="CG46" t="s">
        <v>405</v>
      </c>
      <c r="CH46" t="s">
        <v>191</v>
      </c>
      <c r="CJ46" t="s">
        <v>405</v>
      </c>
      <c r="CK46" t="s">
        <v>186</v>
      </c>
      <c r="CM46" t="s">
        <v>405</v>
      </c>
      <c r="CN46" t="s">
        <v>187</v>
      </c>
      <c r="CP46" t="s">
        <v>405</v>
      </c>
      <c r="CQ46" t="s">
        <v>188</v>
      </c>
      <c r="CS46" t="s">
        <v>405</v>
      </c>
      <c r="CT46" t="s">
        <v>190</v>
      </c>
      <c r="CV46" t="s">
        <v>405</v>
      </c>
      <c r="CW46" t="s">
        <v>193</v>
      </c>
      <c r="CY46" t="s">
        <v>405</v>
      </c>
      <c r="DC46" t="s">
        <v>880</v>
      </c>
      <c r="DD46" t="s">
        <v>786</v>
      </c>
      <c r="DE46" t="s">
        <v>881</v>
      </c>
      <c r="DF46" t="s">
        <v>882</v>
      </c>
      <c r="DG46" t="s">
        <v>110</v>
      </c>
      <c r="DH46" t="s">
        <v>111</v>
      </c>
      <c r="DN46" t="s">
        <v>883</v>
      </c>
      <c r="DO46" t="s">
        <v>110</v>
      </c>
      <c r="DP46" t="s">
        <v>111</v>
      </c>
      <c r="DW46" t="s">
        <v>198</v>
      </c>
      <c r="DX46" t="s">
        <v>199</v>
      </c>
      <c r="DY46" t="s">
        <v>198</v>
      </c>
      <c r="EB46" t="s">
        <v>201</v>
      </c>
      <c r="ED46" t="s">
        <v>202</v>
      </c>
      <c r="EF46" t="s">
        <v>203</v>
      </c>
      <c r="EH46" t="s">
        <v>884</v>
      </c>
      <c r="EI46" t="s">
        <v>885</v>
      </c>
      <c r="EJ46" t="s">
        <v>866</v>
      </c>
      <c r="EK46" t="s">
        <v>886</v>
      </c>
      <c r="EL46" t="s">
        <v>122</v>
      </c>
      <c r="EM46" t="s">
        <v>123</v>
      </c>
      <c r="EO46" t="s">
        <v>113</v>
      </c>
      <c r="ET46" t="s">
        <v>198</v>
      </c>
      <c r="EU46" t="s">
        <v>200</v>
      </c>
      <c r="EV46" t="s">
        <v>200</v>
      </c>
      <c r="EY46" t="s">
        <v>209</v>
      </c>
      <c r="FA46" t="s">
        <v>202</v>
      </c>
      <c r="FB46" t="s">
        <v>203</v>
      </c>
      <c r="GV46" t="s">
        <v>887</v>
      </c>
      <c r="HA46" t="s">
        <v>154</v>
      </c>
      <c r="HD46" t="s">
        <v>157</v>
      </c>
      <c r="HG46" t="s">
        <v>160</v>
      </c>
      <c r="HH46" t="s">
        <v>161</v>
      </c>
      <c r="HI46" t="s">
        <v>162</v>
      </c>
      <c r="HM46" t="s">
        <v>653</v>
      </c>
      <c r="HN46" t="s">
        <v>888</v>
      </c>
    </row>
    <row r="47" spans="2:224" x14ac:dyDescent="0.25">
      <c r="B47">
        <v>10591918777</v>
      </c>
      <c r="C47" t="s">
        <v>1459</v>
      </c>
      <c r="D47">
        <v>224043989</v>
      </c>
      <c r="E47" s="2">
        <v>43538.64949074074</v>
      </c>
      <c r="F47" s="2">
        <v>43538.662581018521</v>
      </c>
      <c r="G47" t="s">
        <v>163</v>
      </c>
      <c r="L47" t="s">
        <v>310</v>
      </c>
      <c r="N47">
        <v>500</v>
      </c>
      <c r="O47">
        <v>50</v>
      </c>
      <c r="P47">
        <v>50</v>
      </c>
      <c r="Q47">
        <v>0</v>
      </c>
      <c r="R47">
        <v>0</v>
      </c>
      <c r="S47">
        <v>0</v>
      </c>
      <c r="T47">
        <v>0</v>
      </c>
      <c r="U47" t="s">
        <v>494</v>
      </c>
      <c r="V47" t="s">
        <v>889</v>
      </c>
      <c r="W47" t="s">
        <v>1357</v>
      </c>
      <c r="X47" t="s">
        <v>166</v>
      </c>
      <c r="Z47" t="s">
        <v>263</v>
      </c>
      <c r="AA47" t="s">
        <v>238</v>
      </c>
      <c r="AB47" t="s">
        <v>2502</v>
      </c>
      <c r="AC47" t="s">
        <v>238</v>
      </c>
      <c r="AE47" t="s">
        <v>167</v>
      </c>
      <c r="AG47" t="s">
        <v>890</v>
      </c>
      <c r="AH47" t="s">
        <v>2438</v>
      </c>
      <c r="AM47" t="s">
        <v>891</v>
      </c>
      <c r="AP47" t="s">
        <v>175</v>
      </c>
      <c r="AQ47" t="s">
        <v>175</v>
      </c>
      <c r="AR47">
        <v>0</v>
      </c>
      <c r="AS47" t="s">
        <v>175</v>
      </c>
      <c r="BD47" t="s">
        <v>892</v>
      </c>
      <c r="BE47" t="s">
        <v>182</v>
      </c>
      <c r="BG47" t="s">
        <v>405</v>
      </c>
      <c r="BH47" t="s">
        <v>181</v>
      </c>
      <c r="BJ47" t="s">
        <v>405</v>
      </c>
      <c r="BU47" t="s">
        <v>184</v>
      </c>
      <c r="BW47" t="s">
        <v>405</v>
      </c>
      <c r="CE47" t="s">
        <v>186</v>
      </c>
      <c r="CH47" t="s">
        <v>323</v>
      </c>
      <c r="DD47" t="s">
        <v>893</v>
      </c>
      <c r="DE47" t="s">
        <v>894</v>
      </c>
      <c r="DN47" t="s">
        <v>895</v>
      </c>
      <c r="DV47" t="s">
        <v>896</v>
      </c>
      <c r="DW47" t="s">
        <v>199</v>
      </c>
      <c r="DX47" t="s">
        <v>199</v>
      </c>
      <c r="DY47" t="s">
        <v>199</v>
      </c>
      <c r="EB47" t="s">
        <v>201</v>
      </c>
      <c r="ED47" t="s">
        <v>202</v>
      </c>
      <c r="EF47" t="s">
        <v>203</v>
      </c>
      <c r="EH47" t="s">
        <v>897</v>
      </c>
      <c r="GV47" t="s">
        <v>898</v>
      </c>
      <c r="HF47" t="s">
        <v>159</v>
      </c>
      <c r="HK47" t="s">
        <v>899</v>
      </c>
      <c r="HM47" t="s">
        <v>900</v>
      </c>
      <c r="HN47" t="s">
        <v>901</v>
      </c>
      <c r="HO47" t="s">
        <v>902</v>
      </c>
      <c r="HP47" t="s">
        <v>903</v>
      </c>
    </row>
    <row r="48" spans="2:224" x14ac:dyDescent="0.25">
      <c r="B48">
        <v>10521487760</v>
      </c>
      <c r="C48" t="s">
        <v>1459</v>
      </c>
      <c r="D48">
        <v>224043989</v>
      </c>
      <c r="E48" s="2">
        <v>43507.407731481479</v>
      </c>
      <c r="F48" s="2">
        <v>43507.410937499997</v>
      </c>
      <c r="G48" t="s">
        <v>904</v>
      </c>
      <c r="L48" t="s">
        <v>215</v>
      </c>
      <c r="N48">
        <v>0</v>
      </c>
      <c r="O48">
        <v>50</v>
      </c>
      <c r="P48">
        <v>5</v>
      </c>
      <c r="Q48">
        <v>25</v>
      </c>
      <c r="R48">
        <v>10</v>
      </c>
      <c r="S48">
        <v>5</v>
      </c>
      <c r="T48">
        <v>5</v>
      </c>
      <c r="U48" t="s">
        <v>494</v>
      </c>
      <c r="V48" t="s">
        <v>905</v>
      </c>
      <c r="W48" t="s">
        <v>1334</v>
      </c>
      <c r="X48" t="s">
        <v>166</v>
      </c>
      <c r="Z48" t="s">
        <v>263</v>
      </c>
      <c r="AA48" t="s">
        <v>263</v>
      </c>
      <c r="AB48" t="s">
        <v>263</v>
      </c>
      <c r="AC48" t="s">
        <v>263</v>
      </c>
      <c r="AD48" t="s">
        <v>906</v>
      </c>
      <c r="AE48" t="s">
        <v>263</v>
      </c>
      <c r="AM48" t="s">
        <v>907</v>
      </c>
      <c r="AU48" t="s">
        <v>178</v>
      </c>
      <c r="AW48" t="s">
        <v>405</v>
      </c>
      <c r="AX48" t="s">
        <v>176</v>
      </c>
      <c r="AZ48" t="s">
        <v>405</v>
      </c>
      <c r="BA48" t="s">
        <v>402</v>
      </c>
      <c r="BC48" t="s">
        <v>405</v>
      </c>
      <c r="BT48" t="s">
        <v>908</v>
      </c>
      <c r="GY48" t="s">
        <v>152</v>
      </c>
      <c r="HB48" t="s">
        <v>155</v>
      </c>
      <c r="HC48" t="s">
        <v>156</v>
      </c>
      <c r="HD48" t="s">
        <v>157</v>
      </c>
      <c r="HF48" t="s">
        <v>159</v>
      </c>
      <c r="HG48" t="s">
        <v>160</v>
      </c>
      <c r="HI48" t="s">
        <v>162</v>
      </c>
    </row>
    <row r="49" spans="2:224" x14ac:dyDescent="0.25">
      <c r="B49">
        <v>10521480235</v>
      </c>
      <c r="C49" t="s">
        <v>1459</v>
      </c>
      <c r="D49">
        <v>224043989</v>
      </c>
      <c r="E49" s="2">
        <v>43507.39875</v>
      </c>
      <c r="F49" s="2">
        <v>43507.406770833331</v>
      </c>
      <c r="G49" t="s">
        <v>904</v>
      </c>
      <c r="L49" t="s">
        <v>215</v>
      </c>
      <c r="N49">
        <v>30000</v>
      </c>
      <c r="O49">
        <v>60</v>
      </c>
      <c r="P49">
        <v>0</v>
      </c>
      <c r="Q49">
        <v>20</v>
      </c>
      <c r="R49">
        <v>0</v>
      </c>
      <c r="S49">
        <v>2</v>
      </c>
      <c r="T49">
        <v>18</v>
      </c>
      <c r="U49" t="s">
        <v>322</v>
      </c>
      <c r="V49" t="s">
        <v>909</v>
      </c>
      <c r="W49" t="s">
        <v>1358</v>
      </c>
      <c r="X49" t="s">
        <v>166</v>
      </c>
      <c r="Z49" t="s">
        <v>168</v>
      </c>
      <c r="AA49" t="s">
        <v>263</v>
      </c>
      <c r="AB49" t="s">
        <v>238</v>
      </c>
      <c r="AC49" t="s">
        <v>168</v>
      </c>
      <c r="AE49" t="s">
        <v>238</v>
      </c>
      <c r="AG49" t="s">
        <v>910</v>
      </c>
      <c r="AH49" t="s">
        <v>169</v>
      </c>
      <c r="AI49" t="s">
        <v>911</v>
      </c>
      <c r="AJ49" t="s">
        <v>2439</v>
      </c>
      <c r="AK49" t="s">
        <v>912</v>
      </c>
      <c r="AL49" t="s">
        <v>2438</v>
      </c>
      <c r="AM49" t="s">
        <v>913</v>
      </c>
      <c r="AN49" t="s">
        <v>914</v>
      </c>
      <c r="AO49" t="s">
        <v>915</v>
      </c>
      <c r="AP49" t="s">
        <v>322</v>
      </c>
      <c r="AQ49" t="s">
        <v>401</v>
      </c>
      <c r="AR49" t="s">
        <v>401</v>
      </c>
      <c r="AS49" t="s">
        <v>322</v>
      </c>
      <c r="AU49" t="s">
        <v>178</v>
      </c>
      <c r="AW49" t="s">
        <v>223</v>
      </c>
      <c r="AX49" t="s">
        <v>176</v>
      </c>
      <c r="AZ49" t="s">
        <v>223</v>
      </c>
      <c r="BA49" t="s">
        <v>402</v>
      </c>
      <c r="BC49" t="s">
        <v>223</v>
      </c>
      <c r="BD49" t="s">
        <v>916</v>
      </c>
      <c r="BE49" t="s">
        <v>180</v>
      </c>
      <c r="BG49" t="s">
        <v>223</v>
      </c>
      <c r="BH49" t="s">
        <v>182</v>
      </c>
      <c r="BJ49" t="s">
        <v>223</v>
      </c>
      <c r="BT49" t="s">
        <v>917</v>
      </c>
      <c r="CE49" t="s">
        <v>186</v>
      </c>
      <c r="CG49" t="s">
        <v>223</v>
      </c>
      <c r="CH49" t="s">
        <v>187</v>
      </c>
      <c r="CJ49" t="s">
        <v>223</v>
      </c>
      <c r="CK49" t="s">
        <v>188</v>
      </c>
      <c r="CM49" t="s">
        <v>223</v>
      </c>
      <c r="CN49" t="s">
        <v>193</v>
      </c>
      <c r="CP49" t="s">
        <v>223</v>
      </c>
      <c r="DC49" t="s">
        <v>917</v>
      </c>
      <c r="DD49" t="s">
        <v>918</v>
      </c>
      <c r="DE49" t="s">
        <v>919</v>
      </c>
      <c r="DF49" t="s">
        <v>920</v>
      </c>
      <c r="DH49" t="s">
        <v>111</v>
      </c>
      <c r="DJ49" t="s">
        <v>113</v>
      </c>
      <c r="DL49" t="s">
        <v>115</v>
      </c>
      <c r="DP49" t="s">
        <v>111</v>
      </c>
      <c r="DR49" t="s">
        <v>113</v>
      </c>
      <c r="DT49" t="s">
        <v>115</v>
      </c>
      <c r="DW49" t="s">
        <v>424</v>
      </c>
      <c r="DX49" t="s">
        <v>424</v>
      </c>
      <c r="DY49" t="s">
        <v>200</v>
      </c>
      <c r="EB49" t="s">
        <v>201</v>
      </c>
      <c r="ED49" t="s">
        <v>228</v>
      </c>
      <c r="EF49" t="s">
        <v>233</v>
      </c>
    </row>
    <row r="50" spans="2:224" x14ac:dyDescent="0.25">
      <c r="B50">
        <v>10521470342</v>
      </c>
      <c r="C50" t="s">
        <v>1459</v>
      </c>
      <c r="D50">
        <v>224043989</v>
      </c>
      <c r="E50" s="2">
        <v>43507.394768518519</v>
      </c>
      <c r="F50" s="2">
        <v>43507.398576388892</v>
      </c>
      <c r="G50" t="s">
        <v>904</v>
      </c>
      <c r="L50" t="s">
        <v>291</v>
      </c>
      <c r="N50">
        <v>25000</v>
      </c>
      <c r="O50">
        <v>60</v>
      </c>
      <c r="P50">
        <v>20</v>
      </c>
      <c r="Q50">
        <v>10</v>
      </c>
      <c r="R50">
        <v>8</v>
      </c>
      <c r="S50">
        <v>2</v>
      </c>
      <c r="T50">
        <v>0</v>
      </c>
      <c r="U50" t="s">
        <v>330</v>
      </c>
      <c r="V50" t="s">
        <v>921</v>
      </c>
      <c r="W50" t="s">
        <v>1359</v>
      </c>
      <c r="X50" t="s">
        <v>166</v>
      </c>
      <c r="Z50" t="s">
        <v>168</v>
      </c>
      <c r="AA50" t="s">
        <v>238</v>
      </c>
      <c r="AB50" t="s">
        <v>168</v>
      </c>
      <c r="AC50" t="s">
        <v>168</v>
      </c>
      <c r="AE50" t="s">
        <v>167</v>
      </c>
      <c r="AG50" t="s">
        <v>922</v>
      </c>
      <c r="AH50" t="s">
        <v>2439</v>
      </c>
      <c r="AI50" t="s">
        <v>923</v>
      </c>
      <c r="AJ50" t="s">
        <v>2438</v>
      </c>
      <c r="AK50" t="s">
        <v>924</v>
      </c>
      <c r="AL50" t="s">
        <v>2440</v>
      </c>
      <c r="AM50" t="s">
        <v>925</v>
      </c>
      <c r="AN50" t="s">
        <v>926</v>
      </c>
      <c r="AO50" t="s">
        <v>927</v>
      </c>
      <c r="AP50" t="s">
        <v>245</v>
      </c>
      <c r="AQ50">
        <v>0</v>
      </c>
      <c r="AR50">
        <v>0</v>
      </c>
      <c r="AS50" t="s">
        <v>245</v>
      </c>
      <c r="BD50" t="s">
        <v>928</v>
      </c>
      <c r="BE50" t="s">
        <v>180</v>
      </c>
      <c r="BG50" t="s">
        <v>405</v>
      </c>
      <c r="BH50" t="s">
        <v>183</v>
      </c>
      <c r="BJ50" t="s">
        <v>405</v>
      </c>
      <c r="BT50" t="s">
        <v>929</v>
      </c>
      <c r="BU50" t="s">
        <v>185</v>
      </c>
      <c r="BW50" t="s">
        <v>405</v>
      </c>
      <c r="CD50" t="s">
        <v>929</v>
      </c>
      <c r="CE50" t="s">
        <v>186</v>
      </c>
      <c r="CG50" t="s">
        <v>405</v>
      </c>
      <c r="CH50" t="s">
        <v>187</v>
      </c>
      <c r="CJ50" t="s">
        <v>405</v>
      </c>
      <c r="CK50" t="s">
        <v>188</v>
      </c>
      <c r="CM50" t="s">
        <v>405</v>
      </c>
      <c r="CN50" t="s">
        <v>189</v>
      </c>
      <c r="CP50" t="s">
        <v>405</v>
      </c>
      <c r="CQ50" t="s">
        <v>224</v>
      </c>
      <c r="CS50" t="s">
        <v>405</v>
      </c>
      <c r="CT50" t="s">
        <v>192</v>
      </c>
      <c r="CV50" t="s">
        <v>405</v>
      </c>
      <c r="CW50" t="s">
        <v>193</v>
      </c>
      <c r="CY50" t="s">
        <v>405</v>
      </c>
      <c r="DC50" t="s">
        <v>929</v>
      </c>
      <c r="DG50" t="s">
        <v>110</v>
      </c>
      <c r="DH50" t="s">
        <v>111</v>
      </c>
      <c r="DI50" t="s">
        <v>112</v>
      </c>
      <c r="DJ50" t="s">
        <v>113</v>
      </c>
      <c r="DO50" t="s">
        <v>110</v>
      </c>
      <c r="DP50" t="s">
        <v>111</v>
      </c>
      <c r="DQ50" t="s">
        <v>112</v>
      </c>
      <c r="DR50" t="s">
        <v>113</v>
      </c>
      <c r="DW50" t="s">
        <v>200</v>
      </c>
      <c r="DX50" t="s">
        <v>198</v>
      </c>
      <c r="DY50" t="s">
        <v>199</v>
      </c>
      <c r="EB50" t="s">
        <v>201</v>
      </c>
      <c r="ED50" t="s">
        <v>202</v>
      </c>
      <c r="EF50" t="s">
        <v>433</v>
      </c>
      <c r="EH50" t="s">
        <v>930</v>
      </c>
      <c r="GX50" t="s">
        <v>151</v>
      </c>
      <c r="GY50" t="s">
        <v>152</v>
      </c>
      <c r="GZ50" t="s">
        <v>153</v>
      </c>
      <c r="HD50" t="s">
        <v>157</v>
      </c>
      <c r="HE50" t="s">
        <v>158</v>
      </c>
      <c r="HF50" t="s">
        <v>159</v>
      </c>
      <c r="HG50" t="s">
        <v>160</v>
      </c>
      <c r="HH50" t="s">
        <v>161</v>
      </c>
      <c r="HL50" t="s">
        <v>931</v>
      </c>
    </row>
    <row r="51" spans="2:224" x14ac:dyDescent="0.25">
      <c r="B51">
        <v>10521458305</v>
      </c>
      <c r="C51" t="s">
        <v>1459</v>
      </c>
      <c r="D51">
        <v>224043989</v>
      </c>
      <c r="E51" s="2">
        <v>43507.3828587963</v>
      </c>
      <c r="F51" s="2">
        <v>43507.390347222223</v>
      </c>
      <c r="G51" t="s">
        <v>904</v>
      </c>
      <c r="L51" t="s">
        <v>215</v>
      </c>
      <c r="N51">
        <v>4000</v>
      </c>
      <c r="O51">
        <v>70</v>
      </c>
      <c r="P51">
        <v>10</v>
      </c>
      <c r="Q51">
        <v>10</v>
      </c>
      <c r="R51">
        <v>10</v>
      </c>
      <c r="S51">
        <v>0</v>
      </c>
      <c r="T51">
        <v>0</v>
      </c>
      <c r="U51" t="s">
        <v>494</v>
      </c>
      <c r="V51" t="s">
        <v>905</v>
      </c>
      <c r="W51" t="s">
        <v>1334</v>
      </c>
      <c r="X51" t="s">
        <v>166</v>
      </c>
      <c r="Z51" t="s">
        <v>238</v>
      </c>
      <c r="AA51" t="s">
        <v>218</v>
      </c>
      <c r="AB51" t="s">
        <v>2502</v>
      </c>
      <c r="AC51" t="s">
        <v>238</v>
      </c>
      <c r="AE51" t="s">
        <v>238</v>
      </c>
      <c r="AU51" t="s">
        <v>176</v>
      </c>
      <c r="AW51" t="s">
        <v>403</v>
      </c>
      <c r="AX51" t="s">
        <v>402</v>
      </c>
      <c r="AZ51" t="s">
        <v>403</v>
      </c>
      <c r="BE51" t="s">
        <v>182</v>
      </c>
      <c r="BG51" t="s">
        <v>403</v>
      </c>
      <c r="BH51" t="s">
        <v>183</v>
      </c>
      <c r="BJ51" t="s">
        <v>403</v>
      </c>
      <c r="BU51" t="s">
        <v>185</v>
      </c>
      <c r="BW51" t="s">
        <v>403</v>
      </c>
      <c r="CE51" t="s">
        <v>186</v>
      </c>
      <c r="CG51" t="s">
        <v>403</v>
      </c>
      <c r="CH51" t="s">
        <v>187</v>
      </c>
      <c r="CJ51" t="s">
        <v>403</v>
      </c>
      <c r="CK51" t="s">
        <v>224</v>
      </c>
      <c r="CM51" t="s">
        <v>403</v>
      </c>
      <c r="DG51" t="s">
        <v>110</v>
      </c>
      <c r="DH51" t="s">
        <v>111</v>
      </c>
      <c r="DI51" t="s">
        <v>112</v>
      </c>
      <c r="DO51" t="s">
        <v>110</v>
      </c>
      <c r="DP51" t="s">
        <v>111</v>
      </c>
      <c r="DQ51" t="s">
        <v>112</v>
      </c>
      <c r="DW51" t="s">
        <v>198</v>
      </c>
      <c r="DX51" t="s">
        <v>200</v>
      </c>
      <c r="DY51" t="s">
        <v>200</v>
      </c>
      <c r="ED51" t="s">
        <v>202</v>
      </c>
      <c r="EF51" t="s">
        <v>203</v>
      </c>
      <c r="EL51" t="s">
        <v>122</v>
      </c>
      <c r="EM51" t="s">
        <v>123</v>
      </c>
      <c r="EN51" t="s">
        <v>124</v>
      </c>
      <c r="ET51" t="s">
        <v>200</v>
      </c>
      <c r="EU51" t="s">
        <v>198</v>
      </c>
      <c r="EV51" t="s">
        <v>200</v>
      </c>
      <c r="EY51" t="s">
        <v>209</v>
      </c>
      <c r="FA51" t="s">
        <v>202</v>
      </c>
      <c r="FB51" t="s">
        <v>233</v>
      </c>
      <c r="GX51" t="s">
        <v>151</v>
      </c>
      <c r="GY51" t="s">
        <v>152</v>
      </c>
      <c r="HA51" t="s">
        <v>154</v>
      </c>
      <c r="HB51" t="s">
        <v>155</v>
      </c>
      <c r="HC51" t="s">
        <v>156</v>
      </c>
      <c r="HD51" t="s">
        <v>157</v>
      </c>
      <c r="HG51" t="s">
        <v>160</v>
      </c>
      <c r="HH51" t="s">
        <v>161</v>
      </c>
      <c r="HI51" t="s">
        <v>162</v>
      </c>
      <c r="HK51" t="s">
        <v>932</v>
      </c>
    </row>
    <row r="52" spans="2:224" x14ac:dyDescent="0.25">
      <c r="B52">
        <v>10521402094</v>
      </c>
      <c r="C52" t="s">
        <v>1459</v>
      </c>
      <c r="D52">
        <v>224043989</v>
      </c>
      <c r="E52" s="2">
        <v>43507.339131944442</v>
      </c>
      <c r="F52" s="2">
        <v>43507.345405092587</v>
      </c>
      <c r="G52" t="s">
        <v>904</v>
      </c>
      <c r="L52" t="s">
        <v>279</v>
      </c>
      <c r="N52">
        <v>5500</v>
      </c>
      <c r="O52">
        <v>30</v>
      </c>
      <c r="P52">
        <v>20</v>
      </c>
      <c r="Q52">
        <v>20</v>
      </c>
      <c r="R52">
        <v>20</v>
      </c>
      <c r="S52">
        <v>10</v>
      </c>
      <c r="T52">
        <v>0</v>
      </c>
      <c r="U52" t="s">
        <v>494</v>
      </c>
      <c r="V52" t="s">
        <v>933</v>
      </c>
      <c r="W52" t="s">
        <v>1360</v>
      </c>
      <c r="X52" t="s">
        <v>166</v>
      </c>
      <c r="Z52" t="s">
        <v>263</v>
      </c>
      <c r="AA52" t="s">
        <v>263</v>
      </c>
      <c r="AB52" t="s">
        <v>263</v>
      </c>
      <c r="AC52" t="s">
        <v>167</v>
      </c>
      <c r="AE52" t="s">
        <v>167</v>
      </c>
      <c r="AG52" t="s">
        <v>934</v>
      </c>
      <c r="AH52" t="s">
        <v>169</v>
      </c>
      <c r="AI52" t="s">
        <v>935</v>
      </c>
      <c r="AJ52" t="s">
        <v>169</v>
      </c>
      <c r="AK52" t="s">
        <v>936</v>
      </c>
      <c r="AL52" t="s">
        <v>2438</v>
      </c>
      <c r="AM52" t="s">
        <v>937</v>
      </c>
      <c r="AN52" t="s">
        <v>938</v>
      </c>
      <c r="AO52" t="s">
        <v>939</v>
      </c>
      <c r="AP52" t="s">
        <v>245</v>
      </c>
      <c r="AQ52" t="s">
        <v>175</v>
      </c>
      <c r="AR52" t="s">
        <v>401</v>
      </c>
      <c r="AS52" t="s">
        <v>175</v>
      </c>
      <c r="AU52" t="s">
        <v>178</v>
      </c>
      <c r="AW52" t="s">
        <v>403</v>
      </c>
      <c r="AX52" t="s">
        <v>176</v>
      </c>
      <c r="AZ52" t="s">
        <v>403</v>
      </c>
      <c r="BD52" t="s">
        <v>940</v>
      </c>
      <c r="BE52" t="s">
        <v>180</v>
      </c>
      <c r="BG52" t="s">
        <v>403</v>
      </c>
      <c r="BH52" t="s">
        <v>182</v>
      </c>
      <c r="BJ52" t="s">
        <v>403</v>
      </c>
      <c r="BT52" t="s">
        <v>940</v>
      </c>
      <c r="BU52" t="s">
        <v>184</v>
      </c>
      <c r="BW52" t="s">
        <v>403</v>
      </c>
      <c r="BX52" t="s">
        <v>185</v>
      </c>
      <c r="BZ52" t="s">
        <v>403</v>
      </c>
      <c r="CE52" t="s">
        <v>186</v>
      </c>
      <c r="CG52" t="s">
        <v>403</v>
      </c>
      <c r="CH52" t="s">
        <v>188</v>
      </c>
      <c r="CJ52" t="s">
        <v>403</v>
      </c>
      <c r="CK52" t="s">
        <v>190</v>
      </c>
      <c r="CM52" t="s">
        <v>403</v>
      </c>
      <c r="CN52" t="s">
        <v>189</v>
      </c>
      <c r="CP52" t="s">
        <v>403</v>
      </c>
      <c r="CQ52" t="s">
        <v>191</v>
      </c>
      <c r="CS52" t="s">
        <v>403</v>
      </c>
      <c r="CT52" t="s">
        <v>224</v>
      </c>
      <c r="CV52" t="s">
        <v>403</v>
      </c>
      <c r="CW52" t="s">
        <v>192</v>
      </c>
      <c r="CY52" t="s">
        <v>403</v>
      </c>
      <c r="CZ52" t="s">
        <v>193</v>
      </c>
      <c r="DB52" t="s">
        <v>403</v>
      </c>
      <c r="DD52" t="s">
        <v>941</v>
      </c>
      <c r="DE52" t="s">
        <v>942</v>
      </c>
      <c r="DF52" t="s">
        <v>943</v>
      </c>
      <c r="DG52" t="s">
        <v>110</v>
      </c>
      <c r="DH52" t="s">
        <v>111</v>
      </c>
      <c r="DO52" t="s">
        <v>110</v>
      </c>
      <c r="DP52" t="s">
        <v>111</v>
      </c>
      <c r="DW52" t="s">
        <v>198</v>
      </c>
      <c r="DX52" t="s">
        <v>200</v>
      </c>
      <c r="DY52" t="s">
        <v>199</v>
      </c>
      <c r="EB52" t="s">
        <v>201</v>
      </c>
      <c r="ED52" t="s">
        <v>326</v>
      </c>
      <c r="EE52" t="s">
        <v>944</v>
      </c>
      <c r="EF52" t="s">
        <v>233</v>
      </c>
      <c r="EH52" t="s">
        <v>945</v>
      </c>
      <c r="EI52" t="s">
        <v>946</v>
      </c>
      <c r="EJ52" t="s">
        <v>947</v>
      </c>
      <c r="EM52" t="s">
        <v>123</v>
      </c>
      <c r="ET52" t="s">
        <v>198</v>
      </c>
      <c r="EU52" t="s">
        <v>198</v>
      </c>
      <c r="EV52" t="s">
        <v>200</v>
      </c>
      <c r="EY52" t="s">
        <v>209</v>
      </c>
      <c r="FA52" t="s">
        <v>202</v>
      </c>
      <c r="FB52" t="s">
        <v>233</v>
      </c>
    </row>
    <row r="53" spans="2:224" x14ac:dyDescent="0.25">
      <c r="B53">
        <v>10517292521</v>
      </c>
      <c r="C53" t="s">
        <v>1459</v>
      </c>
      <c r="D53">
        <v>224043989</v>
      </c>
      <c r="E53" s="2">
        <v>43504.667210648149</v>
      </c>
      <c r="F53" s="2">
        <v>43504.67260416667</v>
      </c>
      <c r="G53" t="s">
        <v>904</v>
      </c>
      <c r="L53" t="s">
        <v>948</v>
      </c>
      <c r="N53">
        <v>2200</v>
      </c>
      <c r="O53">
        <v>49</v>
      </c>
      <c r="P53">
        <v>15</v>
      </c>
      <c r="Q53">
        <v>15</v>
      </c>
      <c r="R53">
        <v>20</v>
      </c>
      <c r="S53">
        <v>1</v>
      </c>
      <c r="T53">
        <v>0</v>
      </c>
      <c r="U53" t="s">
        <v>216</v>
      </c>
      <c r="V53" t="s">
        <v>949</v>
      </c>
      <c r="W53" t="s">
        <v>1361</v>
      </c>
      <c r="X53" t="s">
        <v>166</v>
      </c>
      <c r="Z53" t="s">
        <v>168</v>
      </c>
      <c r="AA53" t="s">
        <v>238</v>
      </c>
      <c r="AB53" t="s">
        <v>168</v>
      </c>
      <c r="AC53" t="s">
        <v>2502</v>
      </c>
      <c r="AE53" t="s">
        <v>263</v>
      </c>
      <c r="AG53" t="s">
        <v>950</v>
      </c>
      <c r="AH53" t="s">
        <v>2441</v>
      </c>
      <c r="AI53" t="s">
        <v>951</v>
      </c>
      <c r="AJ53" t="s">
        <v>2438</v>
      </c>
      <c r="AK53" t="s">
        <v>293</v>
      </c>
      <c r="AL53" t="s">
        <v>169</v>
      </c>
      <c r="AP53" t="s">
        <v>401</v>
      </c>
      <c r="AQ53" t="s">
        <v>401</v>
      </c>
      <c r="AR53" t="s">
        <v>401</v>
      </c>
      <c r="AS53" t="s">
        <v>401</v>
      </c>
      <c r="AU53" t="s">
        <v>178</v>
      </c>
      <c r="AX53" t="s">
        <v>176</v>
      </c>
      <c r="BA53" t="s">
        <v>402</v>
      </c>
      <c r="BD53" t="s">
        <v>952</v>
      </c>
      <c r="BE53" t="s">
        <v>180</v>
      </c>
      <c r="BH53" t="s">
        <v>183</v>
      </c>
      <c r="BU53" t="s">
        <v>185</v>
      </c>
      <c r="BW53" t="s">
        <v>177</v>
      </c>
      <c r="CE53" t="s">
        <v>186</v>
      </c>
      <c r="CG53" t="s">
        <v>177</v>
      </c>
      <c r="CH53" t="s">
        <v>187</v>
      </c>
      <c r="CJ53" t="s">
        <v>177</v>
      </c>
      <c r="CK53" t="s">
        <v>188</v>
      </c>
      <c r="CM53" t="s">
        <v>177</v>
      </c>
      <c r="CN53" t="s">
        <v>189</v>
      </c>
      <c r="CP53" t="s">
        <v>177</v>
      </c>
      <c r="CQ53" t="s">
        <v>191</v>
      </c>
      <c r="CS53" t="s">
        <v>177</v>
      </c>
      <c r="CT53" t="s">
        <v>192</v>
      </c>
      <c r="CV53" t="s">
        <v>177</v>
      </c>
      <c r="CW53" t="s">
        <v>193</v>
      </c>
      <c r="CY53" t="s">
        <v>177</v>
      </c>
      <c r="DD53" t="s">
        <v>953</v>
      </c>
      <c r="DE53" t="s">
        <v>954</v>
      </c>
      <c r="DG53" t="s">
        <v>110</v>
      </c>
      <c r="DH53" t="s">
        <v>111</v>
      </c>
      <c r="DN53" t="s">
        <v>955</v>
      </c>
      <c r="DO53" t="s">
        <v>110</v>
      </c>
      <c r="DP53" t="s">
        <v>111</v>
      </c>
      <c r="DV53" t="s">
        <v>956</v>
      </c>
      <c r="DW53" t="s">
        <v>198</v>
      </c>
      <c r="DX53" t="s">
        <v>198</v>
      </c>
      <c r="DY53" t="s">
        <v>200</v>
      </c>
      <c r="EB53" t="s">
        <v>201</v>
      </c>
      <c r="EF53" t="s">
        <v>233</v>
      </c>
      <c r="EH53" t="s">
        <v>957</v>
      </c>
      <c r="EI53" t="s">
        <v>958</v>
      </c>
      <c r="EL53" t="s">
        <v>122</v>
      </c>
      <c r="EM53" t="s">
        <v>123</v>
      </c>
      <c r="ES53" t="s">
        <v>956</v>
      </c>
      <c r="ET53" t="s">
        <v>198</v>
      </c>
      <c r="EU53" t="s">
        <v>200</v>
      </c>
      <c r="EV53" t="s">
        <v>199</v>
      </c>
      <c r="EY53">
        <v>0</v>
      </c>
      <c r="FK53" t="s">
        <v>959</v>
      </c>
      <c r="FS53" t="s">
        <v>959</v>
      </c>
      <c r="FT53" t="s">
        <v>198</v>
      </c>
      <c r="FU53" t="s">
        <v>200</v>
      </c>
      <c r="FW53" t="s">
        <v>200</v>
      </c>
      <c r="FX53" t="s">
        <v>198</v>
      </c>
      <c r="FY53" t="s">
        <v>200</v>
      </c>
      <c r="FZ53" t="s">
        <v>198</v>
      </c>
      <c r="GA53" t="s">
        <v>200</v>
      </c>
      <c r="GB53" t="s">
        <v>198</v>
      </c>
      <c r="GC53" t="s">
        <v>200</v>
      </c>
      <c r="GE53" t="s">
        <v>198</v>
      </c>
      <c r="GF53" t="s">
        <v>200</v>
      </c>
      <c r="GJ53" t="s">
        <v>772</v>
      </c>
      <c r="GP53" t="s">
        <v>772</v>
      </c>
      <c r="GY53" t="s">
        <v>152</v>
      </c>
      <c r="GZ53" t="s">
        <v>153</v>
      </c>
      <c r="HB53" t="s">
        <v>155</v>
      </c>
      <c r="HD53" t="s">
        <v>157</v>
      </c>
      <c r="HG53" t="s">
        <v>160</v>
      </c>
      <c r="HK53" t="s">
        <v>960</v>
      </c>
    </row>
    <row r="54" spans="2:224" x14ac:dyDescent="0.25">
      <c r="B54">
        <v>10517289559</v>
      </c>
      <c r="C54" t="s">
        <v>1459</v>
      </c>
      <c r="D54">
        <v>224043989</v>
      </c>
      <c r="E54" s="2">
        <v>43504.66510416667</v>
      </c>
      <c r="F54" s="2">
        <v>43504.669849537036</v>
      </c>
      <c r="G54" t="s">
        <v>904</v>
      </c>
      <c r="L54" t="s">
        <v>310</v>
      </c>
      <c r="N54">
        <v>0</v>
      </c>
      <c r="O54">
        <v>50</v>
      </c>
      <c r="P54">
        <v>20</v>
      </c>
      <c r="Q54">
        <v>20</v>
      </c>
      <c r="R54">
        <v>15</v>
      </c>
      <c r="S54">
        <v>15</v>
      </c>
      <c r="T54">
        <v>0</v>
      </c>
      <c r="U54" t="s">
        <v>216</v>
      </c>
      <c r="V54" t="s">
        <v>961</v>
      </c>
      <c r="W54" t="s">
        <v>1362</v>
      </c>
      <c r="X54" t="s">
        <v>166</v>
      </c>
      <c r="Z54" t="s">
        <v>238</v>
      </c>
      <c r="AA54" t="s">
        <v>238</v>
      </c>
      <c r="AB54" t="s">
        <v>2502</v>
      </c>
      <c r="AC54" t="s">
        <v>238</v>
      </c>
      <c r="AE54" t="s">
        <v>218</v>
      </c>
      <c r="AG54" t="s">
        <v>962</v>
      </c>
      <c r="AH54" t="s">
        <v>2441</v>
      </c>
      <c r="AI54" t="s">
        <v>963</v>
      </c>
      <c r="AJ54" t="s">
        <v>2438</v>
      </c>
      <c r="AK54" t="s">
        <v>934</v>
      </c>
      <c r="AL54" t="s">
        <v>169</v>
      </c>
      <c r="AM54" t="s">
        <v>964</v>
      </c>
      <c r="AN54" t="s">
        <v>965</v>
      </c>
      <c r="AO54" t="s">
        <v>966</v>
      </c>
      <c r="AP54" t="s">
        <v>261</v>
      </c>
      <c r="AQ54" t="s">
        <v>261</v>
      </c>
      <c r="AR54">
        <v>0</v>
      </c>
      <c r="AS54" t="s">
        <v>261</v>
      </c>
      <c r="AU54" t="s">
        <v>178</v>
      </c>
      <c r="AW54" t="s">
        <v>2501</v>
      </c>
      <c r="AX54" t="s">
        <v>176</v>
      </c>
      <c r="AZ54" t="s">
        <v>2501</v>
      </c>
      <c r="BA54" t="s">
        <v>402</v>
      </c>
      <c r="BC54" t="s">
        <v>2501</v>
      </c>
      <c r="BE54" t="s">
        <v>180</v>
      </c>
      <c r="BG54" t="s">
        <v>223</v>
      </c>
      <c r="BH54" t="s">
        <v>181</v>
      </c>
      <c r="BJ54" t="s">
        <v>223</v>
      </c>
      <c r="BK54" t="s">
        <v>182</v>
      </c>
      <c r="BM54" t="s">
        <v>223</v>
      </c>
      <c r="BU54" t="s">
        <v>184</v>
      </c>
      <c r="BW54" t="s">
        <v>223</v>
      </c>
      <c r="BX54" t="s">
        <v>185</v>
      </c>
      <c r="BZ54" t="s">
        <v>223</v>
      </c>
      <c r="CD54" t="s">
        <v>967</v>
      </c>
      <c r="CE54" t="s">
        <v>186</v>
      </c>
      <c r="CG54" t="s">
        <v>405</v>
      </c>
      <c r="CH54" t="s">
        <v>188</v>
      </c>
      <c r="CJ54" t="s">
        <v>405</v>
      </c>
      <c r="CK54" t="s">
        <v>190</v>
      </c>
      <c r="CM54" t="s">
        <v>405</v>
      </c>
      <c r="CN54" t="s">
        <v>189</v>
      </c>
      <c r="CP54" t="s">
        <v>405</v>
      </c>
      <c r="CQ54" t="s">
        <v>191</v>
      </c>
      <c r="CS54" t="s">
        <v>405</v>
      </c>
      <c r="CT54" t="s">
        <v>192</v>
      </c>
      <c r="CV54" t="s">
        <v>405</v>
      </c>
      <c r="CW54" t="s">
        <v>193</v>
      </c>
      <c r="CY54" t="s">
        <v>403</v>
      </c>
      <c r="CZ54" t="s">
        <v>224</v>
      </c>
      <c r="DB54" t="s">
        <v>405</v>
      </c>
      <c r="DC54" t="s">
        <v>968</v>
      </c>
      <c r="DD54" t="s">
        <v>969</v>
      </c>
      <c r="DE54" t="s">
        <v>970</v>
      </c>
      <c r="DF54" t="s">
        <v>971</v>
      </c>
      <c r="DH54" t="s">
        <v>111</v>
      </c>
      <c r="DP54" t="s">
        <v>111</v>
      </c>
      <c r="DW54" t="s">
        <v>198</v>
      </c>
      <c r="DX54" t="s">
        <v>199</v>
      </c>
      <c r="DY54" t="s">
        <v>200</v>
      </c>
      <c r="EB54" t="s">
        <v>201</v>
      </c>
      <c r="ED54" t="s">
        <v>228</v>
      </c>
      <c r="EF54" t="s">
        <v>233</v>
      </c>
      <c r="EH54" t="s">
        <v>972</v>
      </c>
      <c r="EI54" t="s">
        <v>973</v>
      </c>
      <c r="EJ54" t="s">
        <v>974</v>
      </c>
      <c r="ES54" t="s">
        <v>975</v>
      </c>
      <c r="ET54" t="s">
        <v>200</v>
      </c>
      <c r="EU54" t="s">
        <v>198</v>
      </c>
      <c r="EV54" t="s">
        <v>198</v>
      </c>
      <c r="EY54" t="s">
        <v>249</v>
      </c>
      <c r="FA54" t="s">
        <v>202</v>
      </c>
      <c r="FB54" t="s">
        <v>233</v>
      </c>
      <c r="GY54" t="s">
        <v>152</v>
      </c>
      <c r="HC54" t="s">
        <v>156</v>
      </c>
      <c r="HD54" t="s">
        <v>157</v>
      </c>
      <c r="HE54" t="s">
        <v>158</v>
      </c>
      <c r="HG54" t="s">
        <v>160</v>
      </c>
    </row>
    <row r="55" spans="2:224" x14ac:dyDescent="0.25">
      <c r="B55">
        <v>10517282641</v>
      </c>
      <c r="C55" t="s">
        <v>1459</v>
      </c>
      <c r="D55">
        <v>224043989</v>
      </c>
      <c r="E55" s="2">
        <v>43504.65997685185</v>
      </c>
      <c r="F55" s="2">
        <v>43504.664780092593</v>
      </c>
      <c r="G55" t="s">
        <v>904</v>
      </c>
      <c r="L55" t="s">
        <v>310</v>
      </c>
      <c r="N55">
        <v>20000</v>
      </c>
      <c r="O55">
        <v>50</v>
      </c>
      <c r="P55">
        <v>30</v>
      </c>
      <c r="Q55">
        <v>5</v>
      </c>
      <c r="R55">
        <v>10</v>
      </c>
      <c r="S55">
        <v>5</v>
      </c>
      <c r="T55">
        <v>0</v>
      </c>
      <c r="U55" t="s">
        <v>216</v>
      </c>
      <c r="V55" t="s">
        <v>976</v>
      </c>
      <c r="W55" t="s">
        <v>1363</v>
      </c>
      <c r="X55" t="s">
        <v>166</v>
      </c>
      <c r="Z55" t="s">
        <v>167</v>
      </c>
      <c r="AA55" t="s">
        <v>218</v>
      </c>
      <c r="AB55" t="s">
        <v>2502</v>
      </c>
      <c r="AC55" t="s">
        <v>218</v>
      </c>
      <c r="AE55" t="s">
        <v>238</v>
      </c>
      <c r="AF55" t="s">
        <v>977</v>
      </c>
      <c r="AG55" t="s">
        <v>978</v>
      </c>
      <c r="AH55" t="s">
        <v>2439</v>
      </c>
      <c r="AI55" t="s">
        <v>979</v>
      </c>
      <c r="AJ55" t="s">
        <v>2441</v>
      </c>
      <c r="AK55" t="s">
        <v>980</v>
      </c>
      <c r="AL55" t="s">
        <v>169</v>
      </c>
      <c r="AM55" t="s">
        <v>981</v>
      </c>
      <c r="AN55" t="s">
        <v>982</v>
      </c>
      <c r="AO55" t="s">
        <v>983</v>
      </c>
      <c r="AP55" t="s">
        <v>322</v>
      </c>
      <c r="AQ55">
        <v>0</v>
      </c>
      <c r="AR55">
        <v>0</v>
      </c>
      <c r="AS55">
        <v>0</v>
      </c>
      <c r="AU55" t="s">
        <v>178</v>
      </c>
      <c r="AW55" t="s">
        <v>177</v>
      </c>
      <c r="AX55" t="s">
        <v>176</v>
      </c>
      <c r="AZ55" t="s">
        <v>177</v>
      </c>
      <c r="BA55" t="s">
        <v>402</v>
      </c>
      <c r="BC55" t="s">
        <v>223</v>
      </c>
      <c r="BD55" t="s">
        <v>984</v>
      </c>
      <c r="BE55" t="s">
        <v>180</v>
      </c>
      <c r="BG55" t="s">
        <v>177</v>
      </c>
      <c r="BH55" t="s">
        <v>182</v>
      </c>
      <c r="BJ55" t="s">
        <v>177</v>
      </c>
      <c r="BK55" t="s">
        <v>183</v>
      </c>
      <c r="BM55" t="s">
        <v>177</v>
      </c>
      <c r="BN55" t="s">
        <v>679</v>
      </c>
      <c r="BP55" t="s">
        <v>177</v>
      </c>
      <c r="BT55" t="s">
        <v>974</v>
      </c>
      <c r="BU55" t="s">
        <v>184</v>
      </c>
      <c r="BW55" t="s">
        <v>177</v>
      </c>
      <c r="BX55" t="s">
        <v>185</v>
      </c>
      <c r="BZ55" t="s">
        <v>177</v>
      </c>
      <c r="CD55" t="s">
        <v>985</v>
      </c>
      <c r="CE55" t="s">
        <v>186</v>
      </c>
      <c r="CG55" t="s">
        <v>177</v>
      </c>
      <c r="CH55" t="s">
        <v>187</v>
      </c>
      <c r="CJ55" t="s">
        <v>177</v>
      </c>
      <c r="CK55" t="s">
        <v>188</v>
      </c>
      <c r="CM55" t="s">
        <v>177</v>
      </c>
      <c r="CN55" t="s">
        <v>190</v>
      </c>
      <c r="CP55" t="s">
        <v>177</v>
      </c>
      <c r="CQ55" t="s">
        <v>189</v>
      </c>
      <c r="CS55" t="s">
        <v>177</v>
      </c>
      <c r="CT55" t="s">
        <v>191</v>
      </c>
      <c r="CV55" t="s">
        <v>177</v>
      </c>
      <c r="CW55" t="s">
        <v>323</v>
      </c>
      <c r="CY55" t="s">
        <v>177</v>
      </c>
      <c r="CZ55" t="s">
        <v>193</v>
      </c>
      <c r="DB55" t="s">
        <v>177</v>
      </c>
      <c r="DC55" t="s">
        <v>986</v>
      </c>
      <c r="DD55" t="s">
        <v>987</v>
      </c>
      <c r="DE55" t="s">
        <v>988</v>
      </c>
      <c r="DF55" t="s">
        <v>989</v>
      </c>
      <c r="DJ55" t="s">
        <v>113</v>
      </c>
      <c r="DN55" t="s">
        <v>990</v>
      </c>
      <c r="DR55" t="s">
        <v>113</v>
      </c>
      <c r="DW55" t="s">
        <v>198</v>
      </c>
      <c r="DX55" t="s">
        <v>198</v>
      </c>
      <c r="DY55" t="s">
        <v>198</v>
      </c>
      <c r="EB55" t="s">
        <v>201</v>
      </c>
      <c r="ED55" t="s">
        <v>202</v>
      </c>
      <c r="EF55" t="s">
        <v>233</v>
      </c>
      <c r="EH55" t="s">
        <v>991</v>
      </c>
      <c r="EI55" t="s">
        <v>992</v>
      </c>
      <c r="EJ55" t="s">
        <v>993</v>
      </c>
      <c r="EK55" t="s">
        <v>994</v>
      </c>
      <c r="EO55" t="s">
        <v>113</v>
      </c>
      <c r="ES55" t="s">
        <v>995</v>
      </c>
      <c r="ET55" t="s">
        <v>198</v>
      </c>
      <c r="EU55" t="s">
        <v>199</v>
      </c>
      <c r="EV55" t="s">
        <v>198</v>
      </c>
      <c r="EY55" t="s">
        <v>209</v>
      </c>
      <c r="FA55" t="s">
        <v>202</v>
      </c>
      <c r="FB55" t="s">
        <v>433</v>
      </c>
      <c r="GV55" t="s">
        <v>996</v>
      </c>
      <c r="GY55" t="s">
        <v>152</v>
      </c>
      <c r="HB55" t="s">
        <v>155</v>
      </c>
      <c r="HE55" t="s">
        <v>158</v>
      </c>
      <c r="HF55" t="s">
        <v>159</v>
      </c>
      <c r="HG55" t="s">
        <v>160</v>
      </c>
      <c r="HK55" t="s">
        <v>997</v>
      </c>
      <c r="HM55" t="s">
        <v>998</v>
      </c>
      <c r="HN55" t="s">
        <v>999</v>
      </c>
      <c r="HO55" t="s">
        <v>1000</v>
      </c>
      <c r="HP55" t="s">
        <v>1001</v>
      </c>
    </row>
    <row r="56" spans="2:224" x14ac:dyDescent="0.25">
      <c r="B56">
        <v>10517276094</v>
      </c>
      <c r="C56" t="s">
        <v>1459</v>
      </c>
      <c r="D56">
        <v>224043989</v>
      </c>
      <c r="E56" s="2">
        <v>43504.654699074083</v>
      </c>
      <c r="F56" s="2">
        <v>43504.659872685188</v>
      </c>
      <c r="G56" t="s">
        <v>904</v>
      </c>
      <c r="L56" t="s">
        <v>215</v>
      </c>
      <c r="N56">
        <v>45000</v>
      </c>
      <c r="O56">
        <v>55</v>
      </c>
      <c r="P56">
        <v>10</v>
      </c>
      <c r="Q56">
        <v>4</v>
      </c>
      <c r="R56">
        <v>8</v>
      </c>
      <c r="S56">
        <v>22</v>
      </c>
      <c r="T56">
        <v>1</v>
      </c>
      <c r="U56" t="s">
        <v>330</v>
      </c>
      <c r="V56" t="s">
        <v>1002</v>
      </c>
      <c r="W56" t="s">
        <v>1356</v>
      </c>
      <c r="X56" t="s">
        <v>166</v>
      </c>
      <c r="Z56" t="s">
        <v>263</v>
      </c>
      <c r="AA56" t="s">
        <v>218</v>
      </c>
      <c r="AB56" t="s">
        <v>2502</v>
      </c>
      <c r="AC56" t="s">
        <v>238</v>
      </c>
      <c r="AE56" t="s">
        <v>167</v>
      </c>
      <c r="AF56" t="s">
        <v>1003</v>
      </c>
      <c r="AG56" t="s">
        <v>1004</v>
      </c>
      <c r="AH56" t="s">
        <v>2438</v>
      </c>
      <c r="AI56" t="s">
        <v>1005</v>
      </c>
      <c r="AJ56" t="s">
        <v>2442</v>
      </c>
      <c r="AK56" t="s">
        <v>1006</v>
      </c>
      <c r="AL56" t="s">
        <v>559</v>
      </c>
      <c r="AM56" t="s">
        <v>1007</v>
      </c>
      <c r="AN56" t="s">
        <v>1008</v>
      </c>
      <c r="AO56" t="s">
        <v>1009</v>
      </c>
      <c r="AP56" t="s">
        <v>245</v>
      </c>
      <c r="AQ56" t="s">
        <v>245</v>
      </c>
      <c r="AR56" t="s">
        <v>401</v>
      </c>
      <c r="AS56" t="s">
        <v>245</v>
      </c>
      <c r="AU56" t="s">
        <v>178</v>
      </c>
      <c r="AW56" t="s">
        <v>2501</v>
      </c>
      <c r="AX56" t="s">
        <v>176</v>
      </c>
      <c r="AZ56" t="s">
        <v>2501</v>
      </c>
      <c r="BA56" t="s">
        <v>402</v>
      </c>
      <c r="BC56" t="s">
        <v>2501</v>
      </c>
      <c r="BE56" t="s">
        <v>180</v>
      </c>
      <c r="BG56" t="s">
        <v>403</v>
      </c>
      <c r="BH56" t="s">
        <v>182</v>
      </c>
      <c r="BJ56" t="s">
        <v>403</v>
      </c>
      <c r="BT56" t="s">
        <v>1010</v>
      </c>
      <c r="BU56" t="s">
        <v>184</v>
      </c>
      <c r="BW56" t="s">
        <v>403</v>
      </c>
      <c r="BX56" t="s">
        <v>185</v>
      </c>
      <c r="BZ56" t="s">
        <v>403</v>
      </c>
      <c r="CE56" t="s">
        <v>186</v>
      </c>
      <c r="CG56" t="s">
        <v>403</v>
      </c>
      <c r="CH56" t="s">
        <v>187</v>
      </c>
      <c r="CJ56" t="s">
        <v>403</v>
      </c>
      <c r="CK56" t="s">
        <v>188</v>
      </c>
      <c r="CM56" t="s">
        <v>403</v>
      </c>
      <c r="CN56" t="s">
        <v>189</v>
      </c>
      <c r="CP56" t="s">
        <v>403</v>
      </c>
      <c r="CQ56" t="s">
        <v>190</v>
      </c>
      <c r="CS56" t="s">
        <v>403</v>
      </c>
      <c r="CT56" t="s">
        <v>1011</v>
      </c>
      <c r="CV56" t="s">
        <v>403</v>
      </c>
      <c r="CW56" t="s">
        <v>192</v>
      </c>
      <c r="CY56" t="s">
        <v>403</v>
      </c>
      <c r="CZ56" t="s">
        <v>193</v>
      </c>
      <c r="DB56" t="s">
        <v>403</v>
      </c>
      <c r="DC56" t="s">
        <v>1012</v>
      </c>
      <c r="DD56" t="s">
        <v>1013</v>
      </c>
      <c r="DE56" t="s">
        <v>1014</v>
      </c>
      <c r="DF56" t="s">
        <v>1015</v>
      </c>
      <c r="DG56" t="s">
        <v>110</v>
      </c>
      <c r="DH56" t="s">
        <v>111</v>
      </c>
      <c r="DN56" t="s">
        <v>1016</v>
      </c>
      <c r="DO56" t="s">
        <v>110</v>
      </c>
      <c r="DP56" t="s">
        <v>111</v>
      </c>
      <c r="DW56" t="s">
        <v>198</v>
      </c>
      <c r="DX56" t="s">
        <v>199</v>
      </c>
      <c r="DY56" t="s">
        <v>200</v>
      </c>
      <c r="EB56" t="s">
        <v>201</v>
      </c>
      <c r="ED56" t="s">
        <v>228</v>
      </c>
      <c r="EF56" t="s">
        <v>233</v>
      </c>
      <c r="EI56" t="s">
        <v>1017</v>
      </c>
      <c r="EJ56" t="s">
        <v>1018</v>
      </c>
      <c r="EM56" t="s">
        <v>123</v>
      </c>
      <c r="EO56" t="s">
        <v>113</v>
      </c>
      <c r="EQ56" t="s">
        <v>126</v>
      </c>
      <c r="ER56" t="s">
        <v>127</v>
      </c>
      <c r="ET56" t="s">
        <v>198</v>
      </c>
      <c r="EU56" t="s">
        <v>199</v>
      </c>
      <c r="EV56" t="s">
        <v>1019</v>
      </c>
      <c r="EY56" t="s">
        <v>209</v>
      </c>
      <c r="FA56" t="s">
        <v>202</v>
      </c>
      <c r="FB56" t="s">
        <v>233</v>
      </c>
      <c r="GV56" t="s">
        <v>1020</v>
      </c>
      <c r="GX56" t="s">
        <v>151</v>
      </c>
      <c r="GY56" t="s">
        <v>152</v>
      </c>
      <c r="HB56" t="s">
        <v>155</v>
      </c>
      <c r="HC56" t="s">
        <v>156</v>
      </c>
      <c r="HD56" t="s">
        <v>157</v>
      </c>
      <c r="HE56" t="s">
        <v>158</v>
      </c>
      <c r="HF56" t="s">
        <v>159</v>
      </c>
      <c r="HG56" t="s">
        <v>160</v>
      </c>
      <c r="HH56" t="s">
        <v>161</v>
      </c>
      <c r="HK56" t="s">
        <v>1021</v>
      </c>
    </row>
    <row r="57" spans="2:224" x14ac:dyDescent="0.25">
      <c r="B57">
        <v>10517270741</v>
      </c>
      <c r="C57" t="s">
        <v>1459</v>
      </c>
      <c r="D57">
        <v>224043989</v>
      </c>
      <c r="E57" s="2">
        <v>43504.650601851848</v>
      </c>
      <c r="F57" s="2">
        <v>43504.654641203713</v>
      </c>
      <c r="G57" t="s">
        <v>904</v>
      </c>
      <c r="L57" t="s">
        <v>315</v>
      </c>
      <c r="N57">
        <v>20000</v>
      </c>
      <c r="O57">
        <v>55</v>
      </c>
      <c r="P57">
        <v>10</v>
      </c>
      <c r="Q57">
        <v>5</v>
      </c>
      <c r="R57">
        <v>10</v>
      </c>
      <c r="S57">
        <v>20</v>
      </c>
      <c r="T57">
        <v>0</v>
      </c>
      <c r="U57" t="s">
        <v>216</v>
      </c>
      <c r="V57" t="s">
        <v>1022</v>
      </c>
      <c r="W57" t="s">
        <v>1336</v>
      </c>
      <c r="X57" t="s">
        <v>166</v>
      </c>
      <c r="Z57" t="s">
        <v>167</v>
      </c>
      <c r="AA57" t="s">
        <v>2502</v>
      </c>
      <c r="AB57" t="s">
        <v>2502</v>
      </c>
      <c r="AC57" t="s">
        <v>218</v>
      </c>
      <c r="AG57" t="s">
        <v>1023</v>
      </c>
      <c r="AH57" t="s">
        <v>169</v>
      </c>
      <c r="AI57" t="s">
        <v>1024</v>
      </c>
      <c r="AJ57" t="s">
        <v>2441</v>
      </c>
      <c r="AK57" t="s">
        <v>1025</v>
      </c>
      <c r="AL57" t="s">
        <v>2440</v>
      </c>
      <c r="AM57" t="s">
        <v>1026</v>
      </c>
      <c r="AN57" t="s">
        <v>1026</v>
      </c>
      <c r="AO57" t="s">
        <v>1027</v>
      </c>
      <c r="AP57" t="s">
        <v>261</v>
      </c>
      <c r="AQ57" t="s">
        <v>401</v>
      </c>
      <c r="AR57" t="s">
        <v>401</v>
      </c>
      <c r="AS57" t="s">
        <v>261</v>
      </c>
      <c r="AU57" t="s">
        <v>178</v>
      </c>
      <c r="AW57" t="s">
        <v>177</v>
      </c>
      <c r="AX57" t="s">
        <v>176</v>
      </c>
      <c r="AZ57" t="s">
        <v>177</v>
      </c>
      <c r="BA57" t="s">
        <v>402</v>
      </c>
      <c r="BC57" t="s">
        <v>177</v>
      </c>
      <c r="BE57" t="s">
        <v>180</v>
      </c>
      <c r="BG57" t="s">
        <v>403</v>
      </c>
      <c r="BH57" t="s">
        <v>182</v>
      </c>
      <c r="BJ57" t="s">
        <v>403</v>
      </c>
      <c r="BU57" t="s">
        <v>184</v>
      </c>
      <c r="BW57" t="s">
        <v>403</v>
      </c>
      <c r="BX57" t="s">
        <v>185</v>
      </c>
      <c r="BZ57" t="s">
        <v>403</v>
      </c>
      <c r="CE57" t="s">
        <v>186</v>
      </c>
      <c r="CG57" t="s">
        <v>177</v>
      </c>
      <c r="CH57" t="s">
        <v>187</v>
      </c>
      <c r="CJ57" t="s">
        <v>177</v>
      </c>
      <c r="CK57" t="s">
        <v>188</v>
      </c>
      <c r="CM57" t="s">
        <v>177</v>
      </c>
      <c r="CN57" t="s">
        <v>190</v>
      </c>
      <c r="CP57" t="s">
        <v>177</v>
      </c>
      <c r="CQ57" t="s">
        <v>191</v>
      </c>
      <c r="CS57" t="s">
        <v>177</v>
      </c>
      <c r="CT57" t="s">
        <v>224</v>
      </c>
      <c r="CV57" t="s">
        <v>177</v>
      </c>
      <c r="CW57" t="s">
        <v>192</v>
      </c>
      <c r="CY57" t="s">
        <v>177</v>
      </c>
      <c r="CZ57" t="s">
        <v>193</v>
      </c>
      <c r="DB57" t="s">
        <v>177</v>
      </c>
      <c r="DC57" t="s">
        <v>1028</v>
      </c>
      <c r="DD57" t="s">
        <v>1029</v>
      </c>
      <c r="DE57" t="s">
        <v>1030</v>
      </c>
      <c r="DF57" t="s">
        <v>1031</v>
      </c>
      <c r="DH57" t="s">
        <v>111</v>
      </c>
      <c r="DP57" t="s">
        <v>111</v>
      </c>
      <c r="DW57" t="s">
        <v>424</v>
      </c>
      <c r="DX57" t="s">
        <v>199</v>
      </c>
      <c r="DY57" t="s">
        <v>200</v>
      </c>
      <c r="EB57" t="s">
        <v>201</v>
      </c>
      <c r="ED57" t="s">
        <v>228</v>
      </c>
      <c r="EF57" t="s">
        <v>233</v>
      </c>
      <c r="EH57" t="s">
        <v>1032</v>
      </c>
      <c r="EI57" t="s">
        <v>1033</v>
      </c>
      <c r="EJ57" t="s">
        <v>1034</v>
      </c>
      <c r="EM57" t="s">
        <v>123</v>
      </c>
      <c r="ET57" t="s">
        <v>198</v>
      </c>
      <c r="EU57" t="s">
        <v>200</v>
      </c>
      <c r="EV57" t="s">
        <v>1019</v>
      </c>
      <c r="EY57" t="s">
        <v>209</v>
      </c>
      <c r="FA57" t="s">
        <v>202</v>
      </c>
      <c r="FB57" t="s">
        <v>233</v>
      </c>
      <c r="GY57" t="s">
        <v>152</v>
      </c>
      <c r="HF57" t="s">
        <v>159</v>
      </c>
      <c r="HG57" t="s">
        <v>160</v>
      </c>
    </row>
    <row r="58" spans="2:224" x14ac:dyDescent="0.25">
      <c r="B58">
        <v>10517265155</v>
      </c>
      <c r="C58" t="s">
        <v>1459</v>
      </c>
      <c r="D58">
        <v>224043989</v>
      </c>
      <c r="E58" s="2">
        <v>43504.646585648137</v>
      </c>
      <c r="F58" s="2">
        <v>43504.652233796303</v>
      </c>
      <c r="G58" t="s">
        <v>904</v>
      </c>
      <c r="L58" t="s">
        <v>948</v>
      </c>
      <c r="N58">
        <v>1000</v>
      </c>
      <c r="O58">
        <v>100</v>
      </c>
      <c r="P58">
        <v>0</v>
      </c>
      <c r="Q58">
        <v>0</v>
      </c>
      <c r="R58">
        <v>0</v>
      </c>
      <c r="S58">
        <v>0</v>
      </c>
      <c r="T58">
        <v>0</v>
      </c>
      <c r="U58" t="s">
        <v>313</v>
      </c>
      <c r="V58" t="s">
        <v>313</v>
      </c>
      <c r="X58" t="s">
        <v>166</v>
      </c>
      <c r="Z58" t="s">
        <v>168</v>
      </c>
      <c r="AA58" t="s">
        <v>168</v>
      </c>
      <c r="AB58" t="s">
        <v>263</v>
      </c>
      <c r="AC58" t="s">
        <v>2502</v>
      </c>
      <c r="AE58" t="s">
        <v>263</v>
      </c>
      <c r="AG58" t="s">
        <v>1035</v>
      </c>
      <c r="AH58" t="s">
        <v>2438</v>
      </c>
      <c r="AI58" t="s">
        <v>1036</v>
      </c>
      <c r="AJ58" t="s">
        <v>2438</v>
      </c>
      <c r="AM58" t="s">
        <v>1037</v>
      </c>
      <c r="AN58" t="s">
        <v>1037</v>
      </c>
      <c r="AO58" t="s">
        <v>1038</v>
      </c>
      <c r="AP58" t="s">
        <v>401</v>
      </c>
      <c r="AQ58" t="s">
        <v>401</v>
      </c>
      <c r="AR58" t="s">
        <v>401</v>
      </c>
      <c r="AS58" t="s">
        <v>401</v>
      </c>
      <c r="AU58" t="s">
        <v>178</v>
      </c>
      <c r="AW58" t="s">
        <v>223</v>
      </c>
      <c r="AX58" t="s">
        <v>176</v>
      </c>
      <c r="AZ58" t="s">
        <v>2501</v>
      </c>
      <c r="BA58" t="s">
        <v>402</v>
      </c>
      <c r="BC58" t="s">
        <v>2501</v>
      </c>
      <c r="BD58" t="s">
        <v>1039</v>
      </c>
      <c r="BE58" t="s">
        <v>180</v>
      </c>
      <c r="BG58" t="s">
        <v>223</v>
      </c>
      <c r="BH58" t="s">
        <v>182</v>
      </c>
      <c r="BJ58" t="s">
        <v>223</v>
      </c>
      <c r="BT58" t="s">
        <v>1039</v>
      </c>
      <c r="BU58" t="s">
        <v>184</v>
      </c>
      <c r="BW58" t="s">
        <v>177</v>
      </c>
      <c r="BX58" t="s">
        <v>185</v>
      </c>
      <c r="BZ58" t="s">
        <v>177</v>
      </c>
      <c r="CD58" t="s">
        <v>1039</v>
      </c>
      <c r="CE58" t="s">
        <v>186</v>
      </c>
      <c r="CG58" t="s">
        <v>177</v>
      </c>
      <c r="CH58" t="s">
        <v>188</v>
      </c>
      <c r="CJ58" t="s">
        <v>177</v>
      </c>
      <c r="CK58" t="s">
        <v>190</v>
      </c>
      <c r="CM58" t="s">
        <v>177</v>
      </c>
      <c r="CN58" t="s">
        <v>189</v>
      </c>
      <c r="CP58" t="s">
        <v>177</v>
      </c>
      <c r="CQ58" t="s">
        <v>191</v>
      </c>
      <c r="CS58" t="s">
        <v>177</v>
      </c>
      <c r="CT58" t="s">
        <v>192</v>
      </c>
      <c r="CV58" t="s">
        <v>177</v>
      </c>
      <c r="CW58" t="s">
        <v>1011</v>
      </c>
      <c r="CY58" t="s">
        <v>177</v>
      </c>
      <c r="DC58" t="s">
        <v>1039</v>
      </c>
      <c r="DD58" t="s">
        <v>1040</v>
      </c>
      <c r="DI58" t="s">
        <v>112</v>
      </c>
      <c r="DJ58" t="s">
        <v>113</v>
      </c>
      <c r="DO58" t="s">
        <v>110</v>
      </c>
      <c r="DW58" t="s">
        <v>424</v>
      </c>
      <c r="DX58" t="s">
        <v>1019</v>
      </c>
      <c r="DY58" t="s">
        <v>424</v>
      </c>
      <c r="EB58" t="s">
        <v>1041</v>
      </c>
      <c r="ED58" t="s">
        <v>202</v>
      </c>
      <c r="EF58" t="s">
        <v>1042</v>
      </c>
      <c r="EH58" t="s">
        <v>1043</v>
      </c>
      <c r="EI58" t="s">
        <v>1044</v>
      </c>
      <c r="EJ58" t="s">
        <v>1045</v>
      </c>
      <c r="EL58" t="s">
        <v>122</v>
      </c>
      <c r="EM58" t="s">
        <v>123</v>
      </c>
      <c r="EN58" t="s">
        <v>124</v>
      </c>
      <c r="ET58" t="s">
        <v>424</v>
      </c>
      <c r="EU58" t="s">
        <v>1019</v>
      </c>
      <c r="EV58" t="s">
        <v>424</v>
      </c>
      <c r="EY58" t="s">
        <v>1046</v>
      </c>
      <c r="FA58" t="s">
        <v>202</v>
      </c>
      <c r="FB58" t="s">
        <v>203</v>
      </c>
      <c r="GV58" t="s">
        <v>1047</v>
      </c>
      <c r="GW58" t="s">
        <v>150</v>
      </c>
      <c r="GX58" t="s">
        <v>151</v>
      </c>
      <c r="GY58" t="s">
        <v>152</v>
      </c>
      <c r="HB58" t="s">
        <v>155</v>
      </c>
      <c r="HD58" t="s">
        <v>157</v>
      </c>
      <c r="HE58" t="s">
        <v>158</v>
      </c>
      <c r="HF58" t="s">
        <v>159</v>
      </c>
      <c r="HG58" t="s">
        <v>160</v>
      </c>
      <c r="HK58" t="s">
        <v>1048</v>
      </c>
    </row>
    <row r="59" spans="2:224" x14ac:dyDescent="0.25">
      <c r="B59">
        <v>10517262061</v>
      </c>
      <c r="C59" t="s">
        <v>1459</v>
      </c>
      <c r="D59">
        <v>224043989</v>
      </c>
      <c r="E59" s="2">
        <v>43504.635937500003</v>
      </c>
      <c r="F59" s="2">
        <v>43504.650254629632</v>
      </c>
      <c r="G59" t="s">
        <v>904</v>
      </c>
      <c r="L59" t="s">
        <v>215</v>
      </c>
      <c r="N59">
        <v>32000</v>
      </c>
      <c r="O59">
        <v>60</v>
      </c>
      <c r="P59">
        <v>10</v>
      </c>
      <c r="Q59">
        <v>15</v>
      </c>
      <c r="R59">
        <v>0</v>
      </c>
      <c r="S59">
        <v>5</v>
      </c>
      <c r="T59">
        <v>5</v>
      </c>
      <c r="U59" t="s">
        <v>494</v>
      </c>
      <c r="V59" t="s">
        <v>1049</v>
      </c>
      <c r="W59" t="s">
        <v>1335</v>
      </c>
      <c r="X59" t="s">
        <v>166</v>
      </c>
      <c r="Z59" t="s">
        <v>167</v>
      </c>
      <c r="AA59" t="s">
        <v>168</v>
      </c>
      <c r="AB59" t="s">
        <v>2502</v>
      </c>
      <c r="AC59" t="s">
        <v>238</v>
      </c>
      <c r="AE59" t="s">
        <v>218</v>
      </c>
      <c r="AG59" t="s">
        <v>1050</v>
      </c>
      <c r="AH59" t="s">
        <v>169</v>
      </c>
      <c r="AI59" t="s">
        <v>1051</v>
      </c>
      <c r="AJ59" t="s">
        <v>2441</v>
      </c>
      <c r="AK59" t="s">
        <v>1052</v>
      </c>
      <c r="AL59" t="s">
        <v>559</v>
      </c>
      <c r="AM59" t="s">
        <v>1053</v>
      </c>
      <c r="AN59" t="s">
        <v>1053</v>
      </c>
      <c r="AO59" t="s">
        <v>1054</v>
      </c>
      <c r="AP59" t="s">
        <v>401</v>
      </c>
      <c r="AQ59" t="s">
        <v>401</v>
      </c>
      <c r="AR59" t="s">
        <v>401</v>
      </c>
      <c r="AS59" t="s">
        <v>322</v>
      </c>
      <c r="AU59" t="s">
        <v>178</v>
      </c>
      <c r="AW59" t="s">
        <v>177</v>
      </c>
      <c r="AX59" t="s">
        <v>176</v>
      </c>
      <c r="AZ59" t="s">
        <v>223</v>
      </c>
      <c r="BA59" t="s">
        <v>402</v>
      </c>
      <c r="BC59" t="s">
        <v>223</v>
      </c>
      <c r="BD59" t="s">
        <v>1055</v>
      </c>
      <c r="BE59" t="s">
        <v>180</v>
      </c>
      <c r="BG59" t="s">
        <v>403</v>
      </c>
      <c r="BH59" t="s">
        <v>182</v>
      </c>
      <c r="BJ59" t="s">
        <v>403</v>
      </c>
      <c r="BK59" t="s">
        <v>183</v>
      </c>
      <c r="BM59" t="s">
        <v>403</v>
      </c>
      <c r="BU59" t="s">
        <v>185</v>
      </c>
      <c r="BW59" t="s">
        <v>405</v>
      </c>
      <c r="CD59" t="s">
        <v>1056</v>
      </c>
      <c r="CE59" t="s">
        <v>186</v>
      </c>
      <c r="CG59" t="s">
        <v>592</v>
      </c>
      <c r="CH59" t="s">
        <v>187</v>
      </c>
      <c r="CJ59" t="s">
        <v>592</v>
      </c>
      <c r="CK59" t="s">
        <v>188</v>
      </c>
      <c r="CM59" t="s">
        <v>592</v>
      </c>
      <c r="CN59" t="s">
        <v>190</v>
      </c>
      <c r="CP59" t="s">
        <v>592</v>
      </c>
      <c r="CQ59" t="s">
        <v>189</v>
      </c>
      <c r="CS59" t="s">
        <v>592</v>
      </c>
      <c r="CT59" t="s">
        <v>191</v>
      </c>
      <c r="CV59" t="s">
        <v>592</v>
      </c>
      <c r="CW59" t="s">
        <v>192</v>
      </c>
      <c r="CY59" t="s">
        <v>592</v>
      </c>
      <c r="CZ59" t="s">
        <v>193</v>
      </c>
      <c r="DB59" t="s">
        <v>592</v>
      </c>
      <c r="DC59">
        <v>5</v>
      </c>
      <c r="DD59" t="s">
        <v>1057</v>
      </c>
      <c r="DE59" t="s">
        <v>1058</v>
      </c>
      <c r="DF59" t="s">
        <v>1059</v>
      </c>
      <c r="DH59" t="s">
        <v>111</v>
      </c>
      <c r="DP59" t="s">
        <v>111</v>
      </c>
      <c r="DW59" t="s">
        <v>198</v>
      </c>
      <c r="DX59" t="s">
        <v>199</v>
      </c>
      <c r="DY59" t="s">
        <v>200</v>
      </c>
      <c r="EB59" t="s">
        <v>201</v>
      </c>
      <c r="ED59" t="s">
        <v>228</v>
      </c>
      <c r="EF59" t="s">
        <v>433</v>
      </c>
      <c r="EH59" t="s">
        <v>1060</v>
      </c>
      <c r="EI59" t="s">
        <v>1061</v>
      </c>
      <c r="EJ59" t="s">
        <v>1062</v>
      </c>
      <c r="EK59" t="s">
        <v>1063</v>
      </c>
      <c r="EM59" t="s">
        <v>123</v>
      </c>
      <c r="EP59" t="s">
        <v>125</v>
      </c>
      <c r="ES59" t="s">
        <v>1064</v>
      </c>
      <c r="ET59" t="s">
        <v>198</v>
      </c>
      <c r="EU59" t="s">
        <v>199</v>
      </c>
      <c r="EV59" t="s">
        <v>199</v>
      </c>
      <c r="EY59" t="s">
        <v>209</v>
      </c>
      <c r="FA59" t="s">
        <v>202</v>
      </c>
      <c r="FB59" t="s">
        <v>433</v>
      </c>
      <c r="GV59" t="s">
        <v>1065</v>
      </c>
      <c r="GW59" t="s">
        <v>150</v>
      </c>
      <c r="GY59" t="s">
        <v>152</v>
      </c>
      <c r="HB59" t="s">
        <v>155</v>
      </c>
      <c r="HD59" t="s">
        <v>157</v>
      </c>
      <c r="HE59" t="s">
        <v>158</v>
      </c>
      <c r="HK59" t="s">
        <v>1066</v>
      </c>
    </row>
    <row r="60" spans="2:224" x14ac:dyDescent="0.25">
      <c r="B60">
        <v>10517256565</v>
      </c>
      <c r="C60" t="s">
        <v>1459</v>
      </c>
      <c r="D60">
        <v>224043989</v>
      </c>
      <c r="E60" s="2">
        <v>43504.63958333333</v>
      </c>
      <c r="F60" s="2">
        <v>43504.643969907411</v>
      </c>
      <c r="G60" t="s">
        <v>1067</v>
      </c>
      <c r="L60" t="s">
        <v>948</v>
      </c>
      <c r="N60">
        <v>25000</v>
      </c>
      <c r="O60">
        <v>60</v>
      </c>
      <c r="P60">
        <v>0</v>
      </c>
      <c r="Q60">
        <v>0</v>
      </c>
      <c r="R60">
        <v>40</v>
      </c>
      <c r="S60">
        <v>0</v>
      </c>
      <c r="T60">
        <v>0</v>
      </c>
      <c r="U60" t="s">
        <v>261</v>
      </c>
      <c r="V60" t="s">
        <v>1068</v>
      </c>
      <c r="W60" t="s">
        <v>1364</v>
      </c>
      <c r="X60" t="s">
        <v>166</v>
      </c>
      <c r="Z60" t="s">
        <v>2502</v>
      </c>
      <c r="AA60" t="s">
        <v>168</v>
      </c>
      <c r="AB60" t="s">
        <v>167</v>
      </c>
      <c r="AC60" t="s">
        <v>2502</v>
      </c>
      <c r="AE60" t="s">
        <v>167</v>
      </c>
      <c r="AG60" t="s">
        <v>1069</v>
      </c>
      <c r="AH60" t="s">
        <v>2439</v>
      </c>
      <c r="AI60" t="s">
        <v>951</v>
      </c>
      <c r="AJ60" t="s">
        <v>2438</v>
      </c>
      <c r="AK60" t="s">
        <v>1070</v>
      </c>
      <c r="AL60" t="s">
        <v>2443</v>
      </c>
      <c r="AP60" t="s">
        <v>401</v>
      </c>
      <c r="AQ60" t="s">
        <v>401</v>
      </c>
      <c r="AR60" t="s">
        <v>401</v>
      </c>
      <c r="AS60" t="s">
        <v>401</v>
      </c>
      <c r="AU60" t="s">
        <v>178</v>
      </c>
      <c r="AW60" t="s">
        <v>177</v>
      </c>
      <c r="AX60" t="s">
        <v>176</v>
      </c>
      <c r="AZ60" t="s">
        <v>177</v>
      </c>
      <c r="BA60" t="s">
        <v>402</v>
      </c>
      <c r="BC60" t="s">
        <v>177</v>
      </c>
      <c r="BD60" t="s">
        <v>1071</v>
      </c>
      <c r="BE60" t="s">
        <v>180</v>
      </c>
      <c r="BG60" t="s">
        <v>177</v>
      </c>
      <c r="BH60" t="s">
        <v>183</v>
      </c>
      <c r="BJ60" t="s">
        <v>177</v>
      </c>
      <c r="BT60" t="s">
        <v>1071</v>
      </c>
      <c r="BU60" t="s">
        <v>184</v>
      </c>
      <c r="BW60" t="s">
        <v>177</v>
      </c>
      <c r="BX60" t="s">
        <v>185</v>
      </c>
      <c r="BZ60" t="s">
        <v>177</v>
      </c>
      <c r="CD60" t="s">
        <v>1071</v>
      </c>
      <c r="CE60" t="s">
        <v>186</v>
      </c>
      <c r="CG60" t="s">
        <v>177</v>
      </c>
      <c r="CH60" t="s">
        <v>187</v>
      </c>
      <c r="CJ60" t="s">
        <v>177</v>
      </c>
      <c r="CK60" t="s">
        <v>188</v>
      </c>
      <c r="CM60" t="s">
        <v>177</v>
      </c>
      <c r="CN60" t="s">
        <v>190</v>
      </c>
      <c r="CP60" t="s">
        <v>177</v>
      </c>
      <c r="CQ60" t="s">
        <v>189</v>
      </c>
      <c r="CS60" t="s">
        <v>177</v>
      </c>
      <c r="CT60" t="s">
        <v>192</v>
      </c>
      <c r="CV60" t="s">
        <v>177</v>
      </c>
      <c r="CW60" t="s">
        <v>193</v>
      </c>
      <c r="CY60" t="s">
        <v>177</v>
      </c>
      <c r="DC60" t="s">
        <v>1072</v>
      </c>
      <c r="DD60" t="s">
        <v>1073</v>
      </c>
      <c r="DE60" t="s">
        <v>1074</v>
      </c>
      <c r="DF60" t="s">
        <v>785</v>
      </c>
      <c r="DG60" t="s">
        <v>110</v>
      </c>
      <c r="DI60" t="s">
        <v>112</v>
      </c>
      <c r="DO60" t="s">
        <v>110</v>
      </c>
      <c r="DQ60" t="s">
        <v>112</v>
      </c>
      <c r="DW60" t="s">
        <v>198</v>
      </c>
      <c r="DX60" t="s">
        <v>198</v>
      </c>
      <c r="DY60" t="s">
        <v>198</v>
      </c>
      <c r="EB60" t="s">
        <v>201</v>
      </c>
      <c r="ED60" t="s">
        <v>202</v>
      </c>
      <c r="EF60" t="s">
        <v>233</v>
      </c>
      <c r="EI60" t="s">
        <v>1075</v>
      </c>
      <c r="EJ60" t="s">
        <v>1076</v>
      </c>
      <c r="ER60" t="s">
        <v>127</v>
      </c>
      <c r="ET60" t="s">
        <v>198</v>
      </c>
      <c r="EU60" t="s">
        <v>198</v>
      </c>
      <c r="EV60" t="s">
        <v>198</v>
      </c>
      <c r="EY60" t="s">
        <v>209</v>
      </c>
      <c r="FA60" t="s">
        <v>202</v>
      </c>
      <c r="FB60" t="s">
        <v>233</v>
      </c>
      <c r="GW60" t="s">
        <v>150</v>
      </c>
      <c r="GY60" t="s">
        <v>152</v>
      </c>
      <c r="GZ60" t="s">
        <v>153</v>
      </c>
      <c r="HB60" t="s">
        <v>155</v>
      </c>
      <c r="HC60" t="s">
        <v>156</v>
      </c>
      <c r="HD60" t="s">
        <v>157</v>
      </c>
      <c r="HE60" t="s">
        <v>158</v>
      </c>
      <c r="HG60" t="s">
        <v>160</v>
      </c>
      <c r="HK60" t="s">
        <v>1077</v>
      </c>
    </row>
    <row r="61" spans="2:224" x14ac:dyDescent="0.25">
      <c r="B61">
        <v>10517246090</v>
      </c>
      <c r="C61" t="s">
        <v>1459</v>
      </c>
      <c r="D61">
        <v>224043989</v>
      </c>
      <c r="E61" s="2">
        <v>43504.631388888891</v>
      </c>
      <c r="F61" s="2">
        <v>43504.63585648148</v>
      </c>
      <c r="G61" t="s">
        <v>1067</v>
      </c>
      <c r="L61" t="s">
        <v>315</v>
      </c>
      <c r="N61">
        <v>50000</v>
      </c>
      <c r="O61">
        <v>40</v>
      </c>
      <c r="P61">
        <v>20</v>
      </c>
      <c r="Q61">
        <v>4</v>
      </c>
      <c r="R61">
        <v>15</v>
      </c>
      <c r="S61">
        <v>20</v>
      </c>
      <c r="T61">
        <v>1</v>
      </c>
      <c r="U61" t="s">
        <v>330</v>
      </c>
      <c r="V61" t="s">
        <v>1078</v>
      </c>
      <c r="W61" t="s">
        <v>1365</v>
      </c>
      <c r="X61" t="s">
        <v>166</v>
      </c>
      <c r="Z61" t="s">
        <v>238</v>
      </c>
      <c r="AA61" t="s">
        <v>218</v>
      </c>
      <c r="AB61" t="s">
        <v>2502</v>
      </c>
      <c r="AC61" t="s">
        <v>263</v>
      </c>
      <c r="AE61" t="s">
        <v>167</v>
      </c>
      <c r="AG61" t="s">
        <v>1079</v>
      </c>
      <c r="AH61" t="s">
        <v>2442</v>
      </c>
      <c r="AI61" t="s">
        <v>1080</v>
      </c>
      <c r="AJ61" t="s">
        <v>2442</v>
      </c>
      <c r="AK61" t="s">
        <v>1081</v>
      </c>
      <c r="AL61" t="s">
        <v>169</v>
      </c>
      <c r="AM61" t="s">
        <v>1082</v>
      </c>
      <c r="AO61" t="s">
        <v>1083</v>
      </c>
      <c r="AP61" t="s">
        <v>245</v>
      </c>
      <c r="AQ61" t="s">
        <v>245</v>
      </c>
      <c r="AR61">
        <v>0</v>
      </c>
      <c r="AS61" t="s">
        <v>245</v>
      </c>
      <c r="AU61" t="s">
        <v>178</v>
      </c>
      <c r="AW61" t="s">
        <v>540</v>
      </c>
      <c r="AX61" t="s">
        <v>176</v>
      </c>
      <c r="AZ61" t="s">
        <v>540</v>
      </c>
      <c r="BA61" t="s">
        <v>402</v>
      </c>
      <c r="BC61" t="s">
        <v>540</v>
      </c>
      <c r="BD61" t="s">
        <v>1084</v>
      </c>
      <c r="BE61" t="s">
        <v>180</v>
      </c>
      <c r="BG61" t="s">
        <v>540</v>
      </c>
      <c r="BH61" t="s">
        <v>182</v>
      </c>
      <c r="BJ61" t="s">
        <v>540</v>
      </c>
      <c r="BT61" t="s">
        <v>1085</v>
      </c>
      <c r="BU61" t="s">
        <v>184</v>
      </c>
      <c r="BW61" t="s">
        <v>540</v>
      </c>
      <c r="BX61" t="s">
        <v>185</v>
      </c>
      <c r="BZ61" t="s">
        <v>540</v>
      </c>
      <c r="CD61" t="s">
        <v>1085</v>
      </c>
      <c r="CE61" t="s">
        <v>186</v>
      </c>
      <c r="CG61" t="s">
        <v>540</v>
      </c>
      <c r="CH61" t="s">
        <v>187</v>
      </c>
      <c r="CJ61" t="s">
        <v>540</v>
      </c>
      <c r="CK61" t="s">
        <v>188</v>
      </c>
      <c r="CM61" t="s">
        <v>540</v>
      </c>
      <c r="CN61" t="s">
        <v>190</v>
      </c>
      <c r="CP61" t="s">
        <v>540</v>
      </c>
      <c r="CQ61" t="s">
        <v>189</v>
      </c>
      <c r="CS61" t="s">
        <v>540</v>
      </c>
      <c r="CT61" t="s">
        <v>191</v>
      </c>
      <c r="CV61" t="s">
        <v>540</v>
      </c>
      <c r="CW61" t="s">
        <v>224</v>
      </c>
      <c r="CY61" t="s">
        <v>540</v>
      </c>
      <c r="CZ61" t="s">
        <v>192</v>
      </c>
      <c r="DB61" t="s">
        <v>540</v>
      </c>
      <c r="DC61" t="s">
        <v>917</v>
      </c>
      <c r="DD61" t="s">
        <v>186</v>
      </c>
      <c r="DE61" t="s">
        <v>1086</v>
      </c>
      <c r="DF61" t="s">
        <v>1087</v>
      </c>
      <c r="DH61" t="s">
        <v>111</v>
      </c>
      <c r="DO61" t="s">
        <v>110</v>
      </c>
      <c r="DP61" t="s">
        <v>111</v>
      </c>
      <c r="DQ61" t="s">
        <v>112</v>
      </c>
      <c r="DW61" t="s">
        <v>198</v>
      </c>
      <c r="DX61" t="s">
        <v>200</v>
      </c>
      <c r="DY61" t="s">
        <v>200</v>
      </c>
      <c r="EB61" t="s">
        <v>201</v>
      </c>
      <c r="ED61" t="s">
        <v>326</v>
      </c>
      <c r="EF61" t="s">
        <v>233</v>
      </c>
      <c r="EH61" t="s">
        <v>1088</v>
      </c>
      <c r="GV61" t="s">
        <v>1089</v>
      </c>
      <c r="GY61" t="s">
        <v>152</v>
      </c>
      <c r="HF61" t="s">
        <v>159</v>
      </c>
      <c r="HG61" t="s">
        <v>160</v>
      </c>
      <c r="HK61" t="s">
        <v>1090</v>
      </c>
    </row>
    <row r="62" spans="2:224" x14ac:dyDescent="0.25">
      <c r="B62">
        <v>10517239227</v>
      </c>
      <c r="C62" t="s">
        <v>1459</v>
      </c>
      <c r="D62">
        <v>224043989</v>
      </c>
      <c r="E62" s="2">
        <v>43504.624861111108</v>
      </c>
      <c r="F62" s="2">
        <v>43504.631342592591</v>
      </c>
      <c r="G62" t="s">
        <v>1067</v>
      </c>
      <c r="L62" t="s">
        <v>215</v>
      </c>
      <c r="N62">
        <v>750</v>
      </c>
      <c r="O62">
        <v>30</v>
      </c>
      <c r="P62">
        <v>15</v>
      </c>
      <c r="Q62">
        <v>40</v>
      </c>
      <c r="R62">
        <v>0</v>
      </c>
      <c r="S62">
        <v>10</v>
      </c>
      <c r="T62">
        <v>5</v>
      </c>
      <c r="U62" t="s">
        <v>261</v>
      </c>
      <c r="V62" t="s">
        <v>1091</v>
      </c>
      <c r="W62" t="s">
        <v>1366</v>
      </c>
      <c r="X62" t="s">
        <v>166</v>
      </c>
      <c r="Z62" t="s">
        <v>238</v>
      </c>
      <c r="AA62" t="s">
        <v>263</v>
      </c>
      <c r="AB62" t="s">
        <v>2502</v>
      </c>
      <c r="AC62" t="s">
        <v>263</v>
      </c>
      <c r="AD62" t="s">
        <v>1092</v>
      </c>
      <c r="AE62" t="s">
        <v>167</v>
      </c>
      <c r="AM62" t="s">
        <v>1093</v>
      </c>
      <c r="AN62" t="s">
        <v>1094</v>
      </c>
      <c r="AP62" t="s">
        <v>401</v>
      </c>
      <c r="AQ62" t="s">
        <v>401</v>
      </c>
      <c r="AR62" t="s">
        <v>401</v>
      </c>
      <c r="AS62" t="s">
        <v>401</v>
      </c>
      <c r="AU62" t="s">
        <v>178</v>
      </c>
      <c r="AW62" t="s">
        <v>223</v>
      </c>
      <c r="AX62" t="s">
        <v>176</v>
      </c>
      <c r="AZ62" t="s">
        <v>223</v>
      </c>
      <c r="BA62" t="s">
        <v>402</v>
      </c>
      <c r="BC62" t="s">
        <v>223</v>
      </c>
      <c r="BD62" t="s">
        <v>1095</v>
      </c>
      <c r="BE62" t="s">
        <v>180</v>
      </c>
      <c r="BG62" t="s">
        <v>223</v>
      </c>
      <c r="BH62" t="s">
        <v>182</v>
      </c>
      <c r="BJ62" t="s">
        <v>223</v>
      </c>
      <c r="BK62" t="s">
        <v>183</v>
      </c>
      <c r="BM62" t="s">
        <v>223</v>
      </c>
      <c r="BT62" t="s">
        <v>1096</v>
      </c>
      <c r="CE62" t="s">
        <v>190</v>
      </c>
      <c r="CG62" t="s">
        <v>223</v>
      </c>
      <c r="CH62" t="s">
        <v>193</v>
      </c>
      <c r="CJ62" t="s">
        <v>223</v>
      </c>
      <c r="CK62" t="s">
        <v>1011</v>
      </c>
      <c r="CM62" t="s">
        <v>223</v>
      </c>
      <c r="DD62" t="s">
        <v>1097</v>
      </c>
      <c r="DE62" t="s">
        <v>1098</v>
      </c>
      <c r="DF62" t="s">
        <v>1099</v>
      </c>
      <c r="DH62" t="s">
        <v>111</v>
      </c>
      <c r="DN62" t="s">
        <v>1100</v>
      </c>
      <c r="DP62" t="s">
        <v>111</v>
      </c>
      <c r="DV62" t="s">
        <v>1100</v>
      </c>
      <c r="DW62" t="s">
        <v>198</v>
      </c>
      <c r="DX62" t="s">
        <v>198</v>
      </c>
      <c r="DY62" t="s">
        <v>200</v>
      </c>
      <c r="EB62" t="s">
        <v>201</v>
      </c>
      <c r="EE62" t="s">
        <v>1101</v>
      </c>
      <c r="EF62" t="s">
        <v>233</v>
      </c>
      <c r="EH62" t="s">
        <v>1102</v>
      </c>
      <c r="EI62" t="s">
        <v>1103</v>
      </c>
      <c r="EJ62" t="s">
        <v>1104</v>
      </c>
      <c r="EK62" t="s">
        <v>1105</v>
      </c>
      <c r="EP62" t="s">
        <v>125</v>
      </c>
      <c r="ES62" t="s">
        <v>1106</v>
      </c>
      <c r="ET62" t="s">
        <v>198</v>
      </c>
      <c r="EU62" t="s">
        <v>198</v>
      </c>
      <c r="EV62" t="s">
        <v>200</v>
      </c>
      <c r="EY62" t="s">
        <v>209</v>
      </c>
      <c r="FA62" t="s">
        <v>202</v>
      </c>
      <c r="FB62" t="s">
        <v>233</v>
      </c>
      <c r="GY62" t="s">
        <v>152</v>
      </c>
      <c r="HC62" t="s">
        <v>156</v>
      </c>
      <c r="HD62" t="s">
        <v>157</v>
      </c>
      <c r="HF62" t="s">
        <v>159</v>
      </c>
      <c r="HG62" t="s">
        <v>160</v>
      </c>
      <c r="HI62" t="s">
        <v>162</v>
      </c>
      <c r="HK62" t="s">
        <v>1107</v>
      </c>
    </row>
    <row r="63" spans="2:224" x14ac:dyDescent="0.25">
      <c r="B63">
        <v>10517205884</v>
      </c>
      <c r="C63" t="s">
        <v>1459</v>
      </c>
      <c r="D63">
        <v>224043989</v>
      </c>
      <c r="E63" s="2">
        <v>43504.600428240738</v>
      </c>
      <c r="F63" s="2">
        <v>43504.608391203707</v>
      </c>
      <c r="G63" t="s">
        <v>1067</v>
      </c>
      <c r="L63" t="s">
        <v>315</v>
      </c>
      <c r="N63">
        <v>40000</v>
      </c>
      <c r="O63">
        <v>50</v>
      </c>
      <c r="P63">
        <v>10</v>
      </c>
      <c r="Q63">
        <v>30</v>
      </c>
      <c r="R63">
        <v>0</v>
      </c>
      <c r="S63">
        <v>5</v>
      </c>
      <c r="T63">
        <v>5</v>
      </c>
      <c r="U63" s="8" t="s">
        <v>1381</v>
      </c>
      <c r="V63" t="s">
        <v>262</v>
      </c>
      <c r="W63" t="s">
        <v>1324</v>
      </c>
      <c r="X63" t="s">
        <v>166</v>
      </c>
      <c r="Z63" t="s">
        <v>238</v>
      </c>
      <c r="AA63" t="s">
        <v>263</v>
      </c>
      <c r="AB63" t="s">
        <v>168</v>
      </c>
      <c r="AC63" t="s">
        <v>168</v>
      </c>
      <c r="AE63" t="s">
        <v>263</v>
      </c>
      <c r="AG63" t="s">
        <v>1108</v>
      </c>
      <c r="AH63" t="s">
        <v>169</v>
      </c>
      <c r="AI63" t="s">
        <v>1109</v>
      </c>
      <c r="AJ63" t="s">
        <v>2438</v>
      </c>
      <c r="AK63" t="s">
        <v>1110</v>
      </c>
      <c r="AL63" t="s">
        <v>2447</v>
      </c>
      <c r="AM63" t="s">
        <v>1111</v>
      </c>
      <c r="AN63" t="s">
        <v>1112</v>
      </c>
      <c r="AO63" t="s">
        <v>1113</v>
      </c>
      <c r="AP63" t="s">
        <v>401</v>
      </c>
      <c r="AQ63" t="s">
        <v>401</v>
      </c>
      <c r="AR63" t="s">
        <v>401</v>
      </c>
      <c r="AS63" t="s">
        <v>401</v>
      </c>
      <c r="AU63" t="s">
        <v>178</v>
      </c>
      <c r="AW63" t="s">
        <v>592</v>
      </c>
      <c r="AX63" t="s">
        <v>176</v>
      </c>
      <c r="AZ63" t="s">
        <v>223</v>
      </c>
      <c r="BA63" t="s">
        <v>402</v>
      </c>
      <c r="BC63" t="s">
        <v>223</v>
      </c>
      <c r="BE63" t="s">
        <v>180</v>
      </c>
      <c r="BG63" t="s">
        <v>223</v>
      </c>
      <c r="BH63" t="s">
        <v>181</v>
      </c>
      <c r="BJ63" t="s">
        <v>223</v>
      </c>
      <c r="BK63" t="s">
        <v>182</v>
      </c>
      <c r="BM63" t="s">
        <v>223</v>
      </c>
      <c r="BN63" t="s">
        <v>183</v>
      </c>
      <c r="BP63" t="s">
        <v>223</v>
      </c>
      <c r="BQ63" t="s">
        <v>679</v>
      </c>
      <c r="BS63" t="s">
        <v>223</v>
      </c>
      <c r="BT63" t="s">
        <v>1114</v>
      </c>
      <c r="BU63" t="s">
        <v>184</v>
      </c>
      <c r="BW63" t="s">
        <v>223</v>
      </c>
      <c r="BX63" t="s">
        <v>185</v>
      </c>
      <c r="BZ63" t="s">
        <v>223</v>
      </c>
      <c r="CD63" t="s">
        <v>1114</v>
      </c>
      <c r="CE63" t="s">
        <v>186</v>
      </c>
      <c r="CG63" t="s">
        <v>223</v>
      </c>
      <c r="CH63" t="s">
        <v>187</v>
      </c>
      <c r="CJ63" t="s">
        <v>223</v>
      </c>
      <c r="CK63" t="s">
        <v>188</v>
      </c>
      <c r="CM63" t="s">
        <v>223</v>
      </c>
      <c r="CN63" t="s">
        <v>190</v>
      </c>
      <c r="CP63" t="s">
        <v>223</v>
      </c>
      <c r="CQ63" t="s">
        <v>191</v>
      </c>
      <c r="CS63" t="s">
        <v>223</v>
      </c>
      <c r="CT63" t="s">
        <v>224</v>
      </c>
      <c r="CV63" t="s">
        <v>223</v>
      </c>
      <c r="CW63" t="s">
        <v>192</v>
      </c>
      <c r="CY63" t="s">
        <v>223</v>
      </c>
      <c r="CZ63" t="s">
        <v>193</v>
      </c>
      <c r="DB63" t="s">
        <v>223</v>
      </c>
      <c r="DC63" t="s">
        <v>1114</v>
      </c>
      <c r="DD63" t="s">
        <v>1115</v>
      </c>
      <c r="DE63" t="s">
        <v>1116</v>
      </c>
      <c r="DF63" t="s">
        <v>1117</v>
      </c>
      <c r="DM63" t="s">
        <v>116</v>
      </c>
      <c r="DU63" t="s">
        <v>116</v>
      </c>
      <c r="DW63" t="s">
        <v>198</v>
      </c>
      <c r="DX63" t="s">
        <v>200</v>
      </c>
      <c r="DY63" t="s">
        <v>199</v>
      </c>
      <c r="EB63" t="s">
        <v>201</v>
      </c>
      <c r="ED63" t="s">
        <v>254</v>
      </c>
      <c r="EF63" t="s">
        <v>233</v>
      </c>
      <c r="EH63" t="s">
        <v>1118</v>
      </c>
      <c r="EI63" t="s">
        <v>1119</v>
      </c>
      <c r="EJ63" t="s">
        <v>1120</v>
      </c>
      <c r="EK63" t="s">
        <v>1121</v>
      </c>
      <c r="ER63" t="s">
        <v>127</v>
      </c>
      <c r="ET63" t="s">
        <v>200</v>
      </c>
      <c r="EU63" t="s">
        <v>200</v>
      </c>
      <c r="EV63" t="s">
        <v>200</v>
      </c>
      <c r="EY63" t="s">
        <v>209</v>
      </c>
      <c r="FA63" t="s">
        <v>202</v>
      </c>
      <c r="FB63" t="s">
        <v>433</v>
      </c>
      <c r="GV63" t="s">
        <v>1122</v>
      </c>
      <c r="GY63" t="s">
        <v>152</v>
      </c>
      <c r="HD63" t="s">
        <v>157</v>
      </c>
      <c r="HK63" t="s">
        <v>1123</v>
      </c>
    </row>
    <row r="64" spans="2:224" x14ac:dyDescent="0.25">
      <c r="B64">
        <v>10509507667</v>
      </c>
      <c r="C64" t="s">
        <v>1459</v>
      </c>
      <c r="D64">
        <v>224043989</v>
      </c>
      <c r="E64" s="2">
        <v>43501.640706018523</v>
      </c>
      <c r="F64" s="2">
        <v>43501.664085648154</v>
      </c>
      <c r="G64" t="s">
        <v>904</v>
      </c>
      <c r="L64" t="s">
        <v>260</v>
      </c>
      <c r="N64">
        <v>1500</v>
      </c>
      <c r="O64">
        <v>70</v>
      </c>
      <c r="P64">
        <v>5</v>
      </c>
      <c r="Q64">
        <v>15</v>
      </c>
      <c r="R64">
        <v>0</v>
      </c>
      <c r="S64">
        <v>10</v>
      </c>
      <c r="T64">
        <v>0</v>
      </c>
      <c r="U64" s="8" t="s">
        <v>1381</v>
      </c>
      <c r="V64" t="s">
        <v>1124</v>
      </c>
      <c r="W64" t="s">
        <v>1367</v>
      </c>
      <c r="X64" t="s">
        <v>166</v>
      </c>
      <c r="Z64" t="s">
        <v>2502</v>
      </c>
      <c r="AA64" t="s">
        <v>167</v>
      </c>
      <c r="AB64" t="s">
        <v>168</v>
      </c>
      <c r="AC64" t="s">
        <v>167</v>
      </c>
      <c r="AE64" t="s">
        <v>167</v>
      </c>
      <c r="AG64" t="s">
        <v>293</v>
      </c>
      <c r="AH64" t="s">
        <v>169</v>
      </c>
      <c r="AI64" t="s">
        <v>170</v>
      </c>
      <c r="AJ64" t="s">
        <v>2438</v>
      </c>
      <c r="AK64" t="s">
        <v>1125</v>
      </c>
      <c r="AL64" t="s">
        <v>2438</v>
      </c>
      <c r="AM64" t="s">
        <v>1126</v>
      </c>
      <c r="AN64" t="s">
        <v>1127</v>
      </c>
      <c r="AP64" t="s">
        <v>175</v>
      </c>
      <c r="AQ64" t="s">
        <v>261</v>
      </c>
      <c r="AR64" t="s">
        <v>261</v>
      </c>
      <c r="AS64" t="s">
        <v>322</v>
      </c>
      <c r="BD64" t="s">
        <v>1128</v>
      </c>
      <c r="BE64" t="s">
        <v>182</v>
      </c>
      <c r="BG64" t="s">
        <v>2501</v>
      </c>
      <c r="BH64" t="s">
        <v>183</v>
      </c>
      <c r="BJ64" t="s">
        <v>2501</v>
      </c>
      <c r="BU64" t="s">
        <v>184</v>
      </c>
      <c r="BW64" t="s">
        <v>2501</v>
      </c>
      <c r="BX64" t="s">
        <v>185</v>
      </c>
      <c r="BZ64" t="s">
        <v>2501</v>
      </c>
      <c r="CD64" t="s">
        <v>1129</v>
      </c>
      <c r="CE64" t="s">
        <v>191</v>
      </c>
      <c r="CG64" t="s">
        <v>177</v>
      </c>
      <c r="DD64" t="s">
        <v>1130</v>
      </c>
      <c r="DE64" t="s">
        <v>1131</v>
      </c>
      <c r="DF64" t="s">
        <v>1132</v>
      </c>
      <c r="DH64" t="s">
        <v>111</v>
      </c>
      <c r="DJ64" t="s">
        <v>113</v>
      </c>
      <c r="DN64" t="s">
        <v>1133</v>
      </c>
      <c r="DP64" t="s">
        <v>111</v>
      </c>
      <c r="DR64" t="s">
        <v>113</v>
      </c>
      <c r="DV64" t="s">
        <v>1134</v>
      </c>
      <c r="DW64" t="s">
        <v>198</v>
      </c>
      <c r="DX64" t="s">
        <v>200</v>
      </c>
      <c r="DY64" t="s">
        <v>198</v>
      </c>
      <c r="EB64" t="s">
        <v>201</v>
      </c>
      <c r="ED64" t="s">
        <v>228</v>
      </c>
      <c r="EF64" t="s">
        <v>203</v>
      </c>
      <c r="EH64" t="s">
        <v>1135</v>
      </c>
      <c r="EI64" t="s">
        <v>1136</v>
      </c>
      <c r="EJ64" t="s">
        <v>206</v>
      </c>
      <c r="EK64" t="s">
        <v>1137</v>
      </c>
      <c r="EO64" t="s">
        <v>113</v>
      </c>
      <c r="ET64" t="s">
        <v>200</v>
      </c>
      <c r="EU64" t="s">
        <v>199</v>
      </c>
      <c r="EV64" t="s">
        <v>200</v>
      </c>
      <c r="EY64" t="s">
        <v>209</v>
      </c>
      <c r="FA64" t="s">
        <v>202</v>
      </c>
      <c r="FB64" t="s">
        <v>203</v>
      </c>
      <c r="GV64" t="s">
        <v>1138</v>
      </c>
      <c r="GY64" t="s">
        <v>152</v>
      </c>
      <c r="HE64" t="s">
        <v>158</v>
      </c>
      <c r="HF64" t="s">
        <v>159</v>
      </c>
      <c r="HG64" t="s">
        <v>160</v>
      </c>
      <c r="HK64" t="s">
        <v>1139</v>
      </c>
      <c r="HM64" t="s">
        <v>1140</v>
      </c>
      <c r="HN64" t="s">
        <v>792</v>
      </c>
      <c r="HO64" t="s">
        <v>1141</v>
      </c>
    </row>
    <row r="65" spans="2:224" x14ac:dyDescent="0.25">
      <c r="B65">
        <v>10500169868</v>
      </c>
      <c r="C65" t="s">
        <v>1459</v>
      </c>
      <c r="D65">
        <v>224043989</v>
      </c>
      <c r="E65" s="2">
        <v>43496.558541666673</v>
      </c>
      <c r="F65" s="2">
        <v>43496.566087962958</v>
      </c>
      <c r="G65" t="s">
        <v>904</v>
      </c>
      <c r="L65" t="s">
        <v>164</v>
      </c>
      <c r="N65">
        <v>20000</v>
      </c>
      <c r="O65">
        <v>80</v>
      </c>
      <c r="P65">
        <v>4</v>
      </c>
      <c r="Q65">
        <v>15</v>
      </c>
      <c r="R65">
        <v>1</v>
      </c>
      <c r="S65">
        <v>0</v>
      </c>
      <c r="T65">
        <v>0</v>
      </c>
      <c r="U65" t="s">
        <v>494</v>
      </c>
      <c r="V65" t="s">
        <v>1142</v>
      </c>
      <c r="W65" t="s">
        <v>1368</v>
      </c>
      <c r="X65" t="s">
        <v>166</v>
      </c>
      <c r="Z65" t="s">
        <v>238</v>
      </c>
      <c r="AA65" t="s">
        <v>168</v>
      </c>
      <c r="AB65" t="s">
        <v>168</v>
      </c>
      <c r="AC65" t="s">
        <v>167</v>
      </c>
      <c r="AE65" t="s">
        <v>238</v>
      </c>
      <c r="AG65" t="s">
        <v>1143</v>
      </c>
      <c r="AH65" t="s">
        <v>2439</v>
      </c>
      <c r="AI65" t="s">
        <v>1144</v>
      </c>
      <c r="AJ65" t="s">
        <v>2438</v>
      </c>
      <c r="AK65" t="s">
        <v>1145</v>
      </c>
      <c r="AL65" t="s">
        <v>169</v>
      </c>
      <c r="AM65" t="s">
        <v>1146</v>
      </c>
      <c r="AN65" t="s">
        <v>1147</v>
      </c>
      <c r="AO65" t="s">
        <v>1148</v>
      </c>
      <c r="AP65" t="s">
        <v>401</v>
      </c>
      <c r="AQ65" t="s">
        <v>401</v>
      </c>
      <c r="AR65" t="s">
        <v>401</v>
      </c>
      <c r="AS65" t="s">
        <v>401</v>
      </c>
      <c r="AU65" t="s">
        <v>178</v>
      </c>
      <c r="AW65" t="s">
        <v>403</v>
      </c>
      <c r="AX65" t="s">
        <v>176</v>
      </c>
      <c r="AZ65" t="s">
        <v>223</v>
      </c>
      <c r="BA65" t="s">
        <v>402</v>
      </c>
      <c r="BC65" t="s">
        <v>223</v>
      </c>
      <c r="BD65" t="s">
        <v>968</v>
      </c>
      <c r="BE65" t="s">
        <v>180</v>
      </c>
      <c r="BG65" t="s">
        <v>403</v>
      </c>
      <c r="BH65" t="s">
        <v>182</v>
      </c>
      <c r="BJ65" t="s">
        <v>403</v>
      </c>
      <c r="BK65" t="s">
        <v>183</v>
      </c>
      <c r="BM65" t="s">
        <v>403</v>
      </c>
      <c r="BT65" t="s">
        <v>968</v>
      </c>
      <c r="BU65" t="s">
        <v>184</v>
      </c>
      <c r="BW65" t="s">
        <v>403</v>
      </c>
      <c r="BX65" t="s">
        <v>185</v>
      </c>
      <c r="BZ65" t="s">
        <v>403</v>
      </c>
      <c r="CD65" t="s">
        <v>968</v>
      </c>
      <c r="CE65" t="s">
        <v>186</v>
      </c>
      <c r="CG65" t="s">
        <v>403</v>
      </c>
      <c r="CH65" t="s">
        <v>191</v>
      </c>
      <c r="CJ65" t="s">
        <v>403</v>
      </c>
      <c r="CK65" t="s">
        <v>193</v>
      </c>
      <c r="CM65" t="s">
        <v>403</v>
      </c>
      <c r="DD65" t="s">
        <v>1149</v>
      </c>
      <c r="DE65" t="s">
        <v>1150</v>
      </c>
      <c r="DG65" t="s">
        <v>110</v>
      </c>
      <c r="DI65" t="s">
        <v>112</v>
      </c>
      <c r="DJ65" t="s">
        <v>113</v>
      </c>
      <c r="DL65" t="s">
        <v>115</v>
      </c>
      <c r="DR65" t="s">
        <v>113</v>
      </c>
      <c r="DT65" t="s">
        <v>115</v>
      </c>
      <c r="DV65" t="s">
        <v>1151</v>
      </c>
      <c r="DW65" t="s">
        <v>200</v>
      </c>
      <c r="DX65" t="s">
        <v>199</v>
      </c>
      <c r="DY65" t="s">
        <v>199</v>
      </c>
      <c r="EB65" t="s">
        <v>201</v>
      </c>
      <c r="ED65" t="s">
        <v>254</v>
      </c>
      <c r="EF65" t="s">
        <v>233</v>
      </c>
      <c r="EH65" t="s">
        <v>1152</v>
      </c>
      <c r="EI65" t="s">
        <v>1153</v>
      </c>
      <c r="EJ65" t="s">
        <v>1154</v>
      </c>
      <c r="EM65" t="s">
        <v>123</v>
      </c>
      <c r="EO65" t="s">
        <v>113</v>
      </c>
      <c r="EP65" t="s">
        <v>125</v>
      </c>
      <c r="EQ65" t="s">
        <v>126</v>
      </c>
      <c r="ET65" t="s">
        <v>198</v>
      </c>
      <c r="EU65" t="s">
        <v>199</v>
      </c>
      <c r="EV65" t="s">
        <v>200</v>
      </c>
      <c r="EY65" t="s">
        <v>209</v>
      </c>
      <c r="FA65" t="s">
        <v>202</v>
      </c>
      <c r="FB65" t="s">
        <v>233</v>
      </c>
      <c r="GV65" t="s">
        <v>1155</v>
      </c>
      <c r="GX65" t="s">
        <v>151</v>
      </c>
      <c r="GY65" t="s">
        <v>152</v>
      </c>
      <c r="HB65" t="s">
        <v>155</v>
      </c>
      <c r="HC65" t="s">
        <v>156</v>
      </c>
      <c r="HD65" t="s">
        <v>157</v>
      </c>
      <c r="HF65" t="s">
        <v>159</v>
      </c>
      <c r="HK65" t="s">
        <v>1156</v>
      </c>
      <c r="HM65" t="s">
        <v>1157</v>
      </c>
      <c r="HN65" t="s">
        <v>1158</v>
      </c>
      <c r="HO65" t="s">
        <v>1159</v>
      </c>
      <c r="HP65">
        <v>409953936</v>
      </c>
    </row>
    <row r="66" spans="2:224" x14ac:dyDescent="0.25">
      <c r="B66">
        <v>10500122943</v>
      </c>
      <c r="C66" t="s">
        <v>1459</v>
      </c>
      <c r="D66">
        <v>224043989</v>
      </c>
      <c r="E66" s="2">
        <v>43496.531168981477</v>
      </c>
      <c r="F66" s="2">
        <v>43496.537858796299</v>
      </c>
      <c r="G66" t="s">
        <v>904</v>
      </c>
      <c r="L66" t="s">
        <v>260</v>
      </c>
      <c r="N66">
        <v>40000</v>
      </c>
      <c r="O66">
        <v>50</v>
      </c>
      <c r="P66">
        <v>5</v>
      </c>
      <c r="Q66">
        <v>25</v>
      </c>
      <c r="R66">
        <v>10</v>
      </c>
      <c r="S66">
        <v>10</v>
      </c>
      <c r="T66">
        <v>0</v>
      </c>
      <c r="U66" t="s">
        <v>494</v>
      </c>
      <c r="V66" t="s">
        <v>1160</v>
      </c>
      <c r="W66" t="s">
        <v>45</v>
      </c>
      <c r="X66" t="s">
        <v>166</v>
      </c>
      <c r="Z66" t="s">
        <v>167</v>
      </c>
      <c r="AA66" t="s">
        <v>168</v>
      </c>
      <c r="AB66" t="s">
        <v>2502</v>
      </c>
      <c r="AC66" t="s">
        <v>238</v>
      </c>
      <c r="AE66" t="s">
        <v>263</v>
      </c>
      <c r="AG66" t="s">
        <v>1161</v>
      </c>
      <c r="AH66" t="s">
        <v>2442</v>
      </c>
      <c r="AI66" t="s">
        <v>1162</v>
      </c>
      <c r="AJ66" t="s">
        <v>2440</v>
      </c>
      <c r="AK66" t="s">
        <v>1163</v>
      </c>
      <c r="AL66" t="s">
        <v>169</v>
      </c>
      <c r="AM66" t="s">
        <v>1164</v>
      </c>
      <c r="AN66" t="s">
        <v>1165</v>
      </c>
      <c r="AO66" t="s">
        <v>481</v>
      </c>
      <c r="AP66" t="s">
        <v>175</v>
      </c>
      <c r="AQ66" t="s">
        <v>175</v>
      </c>
      <c r="AR66" t="s">
        <v>175</v>
      </c>
      <c r="AS66" t="s">
        <v>175</v>
      </c>
      <c r="AU66" t="s">
        <v>178</v>
      </c>
      <c r="AW66" t="s">
        <v>223</v>
      </c>
      <c r="AX66" t="s">
        <v>176</v>
      </c>
      <c r="AZ66" t="s">
        <v>223</v>
      </c>
      <c r="BA66" t="s">
        <v>402</v>
      </c>
      <c r="BC66" t="s">
        <v>223</v>
      </c>
      <c r="BD66" t="s">
        <v>1166</v>
      </c>
      <c r="BE66" t="s">
        <v>180</v>
      </c>
      <c r="BG66" t="s">
        <v>592</v>
      </c>
      <c r="BH66" t="s">
        <v>182</v>
      </c>
      <c r="BJ66" t="s">
        <v>592</v>
      </c>
      <c r="BK66" t="s">
        <v>183</v>
      </c>
      <c r="BM66" t="s">
        <v>592</v>
      </c>
      <c r="BT66" t="s">
        <v>917</v>
      </c>
      <c r="BU66" t="s">
        <v>184</v>
      </c>
      <c r="BW66" t="s">
        <v>592</v>
      </c>
      <c r="BX66" t="s">
        <v>185</v>
      </c>
      <c r="BZ66" t="s">
        <v>592</v>
      </c>
      <c r="CE66" t="s">
        <v>186</v>
      </c>
      <c r="CG66" t="s">
        <v>592</v>
      </c>
      <c r="CH66" t="s">
        <v>190</v>
      </c>
      <c r="CJ66" t="s">
        <v>592</v>
      </c>
      <c r="CK66" t="s">
        <v>189</v>
      </c>
      <c r="CM66" t="s">
        <v>592</v>
      </c>
      <c r="CN66" t="s">
        <v>191</v>
      </c>
      <c r="CP66" t="s">
        <v>592</v>
      </c>
      <c r="CQ66" t="s">
        <v>224</v>
      </c>
      <c r="CS66" t="s">
        <v>592</v>
      </c>
      <c r="CT66" t="s">
        <v>192</v>
      </c>
      <c r="CV66" t="s">
        <v>592</v>
      </c>
      <c r="CW66" t="s">
        <v>193</v>
      </c>
      <c r="CY66" t="s">
        <v>592</v>
      </c>
      <c r="DD66" t="s">
        <v>1167</v>
      </c>
      <c r="DE66" t="s">
        <v>1168</v>
      </c>
      <c r="DF66" t="s">
        <v>1169</v>
      </c>
      <c r="DH66" t="s">
        <v>111</v>
      </c>
      <c r="DJ66" t="s">
        <v>113</v>
      </c>
      <c r="DM66" t="s">
        <v>116</v>
      </c>
      <c r="DP66" t="s">
        <v>111</v>
      </c>
      <c r="DR66" t="s">
        <v>113</v>
      </c>
      <c r="DT66" t="s">
        <v>115</v>
      </c>
      <c r="DU66" t="s">
        <v>116</v>
      </c>
      <c r="DW66" t="s">
        <v>200</v>
      </c>
      <c r="DX66" t="s">
        <v>424</v>
      </c>
      <c r="DY66" t="s">
        <v>1019</v>
      </c>
      <c r="EB66" t="s">
        <v>201</v>
      </c>
      <c r="ED66" t="s">
        <v>202</v>
      </c>
      <c r="EF66" t="s">
        <v>233</v>
      </c>
      <c r="EH66" t="s">
        <v>1170</v>
      </c>
      <c r="EI66" t="s">
        <v>1171</v>
      </c>
      <c r="EJ66" t="s">
        <v>1172</v>
      </c>
      <c r="EK66" t="s">
        <v>1173</v>
      </c>
      <c r="EM66" t="s">
        <v>123</v>
      </c>
      <c r="EO66" t="s">
        <v>113</v>
      </c>
      <c r="EP66" t="s">
        <v>125</v>
      </c>
      <c r="EQ66" t="s">
        <v>126</v>
      </c>
      <c r="ER66" t="s">
        <v>127</v>
      </c>
      <c r="ET66" t="s">
        <v>200</v>
      </c>
      <c r="EU66" t="s">
        <v>424</v>
      </c>
      <c r="EV66" t="s">
        <v>1019</v>
      </c>
      <c r="EY66" t="s">
        <v>209</v>
      </c>
      <c r="FA66" t="s">
        <v>202</v>
      </c>
      <c r="FB66" t="s">
        <v>233</v>
      </c>
      <c r="GV66" t="s">
        <v>1174</v>
      </c>
      <c r="GY66" t="s">
        <v>152</v>
      </c>
      <c r="HB66" t="s">
        <v>155</v>
      </c>
      <c r="HD66" t="s">
        <v>157</v>
      </c>
      <c r="HG66" t="s">
        <v>160</v>
      </c>
      <c r="HK66" t="s">
        <v>1175</v>
      </c>
      <c r="HN66" t="s">
        <v>1176</v>
      </c>
      <c r="HO66" t="s">
        <v>1177</v>
      </c>
    </row>
    <row r="67" spans="2:224" x14ac:dyDescent="0.25">
      <c r="B67">
        <v>10500106826</v>
      </c>
      <c r="C67" t="s">
        <v>1459</v>
      </c>
      <c r="D67">
        <v>224043989</v>
      </c>
      <c r="E67" s="2">
        <v>43496.521909722222</v>
      </c>
      <c r="F67" s="2">
        <v>43496.529976851853</v>
      </c>
      <c r="G67" t="s">
        <v>904</v>
      </c>
      <c r="L67" t="s">
        <v>260</v>
      </c>
      <c r="N67">
        <v>20000</v>
      </c>
      <c r="O67">
        <v>50</v>
      </c>
      <c r="P67">
        <v>10</v>
      </c>
      <c r="Q67">
        <v>15</v>
      </c>
      <c r="R67">
        <v>20</v>
      </c>
      <c r="S67">
        <v>5</v>
      </c>
      <c r="T67">
        <v>0</v>
      </c>
      <c r="U67" t="s">
        <v>261</v>
      </c>
      <c r="V67" t="s">
        <v>1178</v>
      </c>
      <c r="W67" t="s">
        <v>1336</v>
      </c>
      <c r="X67" t="s">
        <v>166</v>
      </c>
      <c r="Z67" t="s">
        <v>168</v>
      </c>
      <c r="AA67" t="s">
        <v>263</v>
      </c>
      <c r="AB67" t="s">
        <v>168</v>
      </c>
      <c r="AC67" t="s">
        <v>2502</v>
      </c>
      <c r="AE67" t="s">
        <v>263</v>
      </c>
      <c r="AG67" t="s">
        <v>1179</v>
      </c>
      <c r="AH67" t="s">
        <v>2442</v>
      </c>
      <c r="AI67" t="s">
        <v>1180</v>
      </c>
      <c r="AJ67" t="s">
        <v>2442</v>
      </c>
      <c r="AK67" t="s">
        <v>1181</v>
      </c>
      <c r="AL67" t="s">
        <v>2442</v>
      </c>
      <c r="AM67" t="s">
        <v>1182</v>
      </c>
      <c r="AN67" t="s">
        <v>1183</v>
      </c>
      <c r="AO67" t="s">
        <v>1182</v>
      </c>
      <c r="AP67" t="s">
        <v>401</v>
      </c>
      <c r="AQ67" t="s">
        <v>401</v>
      </c>
      <c r="AR67">
        <v>0</v>
      </c>
      <c r="AS67" t="s">
        <v>401</v>
      </c>
      <c r="AU67" t="s">
        <v>178</v>
      </c>
      <c r="AW67" t="s">
        <v>592</v>
      </c>
      <c r="AX67" t="s">
        <v>176</v>
      </c>
      <c r="AZ67" t="s">
        <v>592</v>
      </c>
      <c r="BA67" t="s">
        <v>402</v>
      </c>
      <c r="BC67" t="s">
        <v>592</v>
      </c>
      <c r="BE67" t="s">
        <v>180</v>
      </c>
      <c r="BG67" t="s">
        <v>592</v>
      </c>
      <c r="BH67" t="s">
        <v>182</v>
      </c>
      <c r="BJ67" t="s">
        <v>592</v>
      </c>
      <c r="BU67" t="s">
        <v>184</v>
      </c>
      <c r="BW67" t="s">
        <v>592</v>
      </c>
      <c r="BX67" t="s">
        <v>185</v>
      </c>
      <c r="BZ67" t="s">
        <v>592</v>
      </c>
      <c r="CE67" t="s">
        <v>186</v>
      </c>
      <c r="CG67" t="s">
        <v>592</v>
      </c>
      <c r="CH67" t="s">
        <v>187</v>
      </c>
      <c r="CJ67" t="s">
        <v>592</v>
      </c>
      <c r="CK67" t="s">
        <v>188</v>
      </c>
      <c r="CM67" t="s">
        <v>592</v>
      </c>
      <c r="CN67" t="s">
        <v>190</v>
      </c>
      <c r="CP67" t="s">
        <v>592</v>
      </c>
      <c r="CQ67" t="s">
        <v>189</v>
      </c>
      <c r="CS67" t="s">
        <v>592</v>
      </c>
      <c r="CT67" t="s">
        <v>191</v>
      </c>
      <c r="CV67" t="s">
        <v>592</v>
      </c>
      <c r="CW67" t="s">
        <v>224</v>
      </c>
      <c r="CY67" t="s">
        <v>592</v>
      </c>
      <c r="CZ67" t="s">
        <v>192</v>
      </c>
      <c r="DB67" t="s">
        <v>592</v>
      </c>
      <c r="DD67" t="s">
        <v>1184</v>
      </c>
      <c r="DE67" t="s">
        <v>186</v>
      </c>
      <c r="DF67" t="s">
        <v>44</v>
      </c>
      <c r="DG67" t="s">
        <v>110</v>
      </c>
      <c r="DH67" t="s">
        <v>111</v>
      </c>
      <c r="DI67" t="s">
        <v>112</v>
      </c>
      <c r="DN67" t="s">
        <v>1185</v>
      </c>
      <c r="DV67" t="s">
        <v>1186</v>
      </c>
      <c r="DW67" t="s">
        <v>200</v>
      </c>
      <c r="DX67" t="s">
        <v>198</v>
      </c>
      <c r="DY67" t="s">
        <v>199</v>
      </c>
      <c r="EB67" t="s">
        <v>201</v>
      </c>
      <c r="ED67" t="s">
        <v>254</v>
      </c>
      <c r="EF67" t="s">
        <v>203</v>
      </c>
      <c r="EH67" t="s">
        <v>1187</v>
      </c>
      <c r="EI67" t="s">
        <v>1188</v>
      </c>
      <c r="EJ67" t="s">
        <v>1189</v>
      </c>
      <c r="EL67" t="s">
        <v>122</v>
      </c>
      <c r="EM67" t="s">
        <v>123</v>
      </c>
      <c r="ET67" t="s">
        <v>200</v>
      </c>
      <c r="EU67" t="s">
        <v>200</v>
      </c>
      <c r="EV67" t="s">
        <v>200</v>
      </c>
      <c r="EY67" t="s">
        <v>209</v>
      </c>
      <c r="FA67" t="s">
        <v>202</v>
      </c>
      <c r="FB67" t="s">
        <v>203</v>
      </c>
      <c r="GY67" t="s">
        <v>152</v>
      </c>
      <c r="HB67" t="s">
        <v>155</v>
      </c>
      <c r="HC67" t="s">
        <v>156</v>
      </c>
      <c r="HM67" t="s">
        <v>1190</v>
      </c>
      <c r="HN67" t="s">
        <v>213</v>
      </c>
      <c r="HO67" t="s">
        <v>1191</v>
      </c>
      <c r="HP67">
        <v>417446089</v>
      </c>
    </row>
    <row r="68" spans="2:224" x14ac:dyDescent="0.25">
      <c r="B68">
        <v>10500095511</v>
      </c>
      <c r="C68" t="s">
        <v>1459</v>
      </c>
      <c r="D68">
        <v>224043989</v>
      </c>
      <c r="E68" s="2">
        <v>43496.516006944446</v>
      </c>
      <c r="F68" s="2">
        <v>43496.521701388891</v>
      </c>
      <c r="G68" t="s">
        <v>904</v>
      </c>
      <c r="L68" t="s">
        <v>260</v>
      </c>
      <c r="N68">
        <v>60000</v>
      </c>
      <c r="O68">
        <v>50</v>
      </c>
      <c r="P68">
        <v>5</v>
      </c>
      <c r="Q68">
        <v>20</v>
      </c>
      <c r="R68">
        <v>15</v>
      </c>
      <c r="S68">
        <v>10</v>
      </c>
      <c r="T68">
        <v>0</v>
      </c>
      <c r="U68" t="s">
        <v>216</v>
      </c>
      <c r="V68" t="s">
        <v>1192</v>
      </c>
      <c r="W68" t="s">
        <v>1369</v>
      </c>
      <c r="X68" t="s">
        <v>166</v>
      </c>
      <c r="Z68" t="s">
        <v>238</v>
      </c>
      <c r="AA68" t="s">
        <v>168</v>
      </c>
      <c r="AB68" t="s">
        <v>2502</v>
      </c>
      <c r="AC68" t="s">
        <v>167</v>
      </c>
      <c r="AE68" t="s">
        <v>263</v>
      </c>
      <c r="AG68" t="s">
        <v>1193</v>
      </c>
      <c r="AH68" t="s">
        <v>169</v>
      </c>
      <c r="AI68" t="s">
        <v>1194</v>
      </c>
      <c r="AJ68" t="s">
        <v>169</v>
      </c>
      <c r="AK68" t="s">
        <v>1195</v>
      </c>
      <c r="AL68" t="s">
        <v>2438</v>
      </c>
      <c r="AM68" t="s">
        <v>1196</v>
      </c>
      <c r="AN68" t="s">
        <v>1197</v>
      </c>
      <c r="AO68" t="s">
        <v>1198</v>
      </c>
      <c r="AP68" t="s">
        <v>175</v>
      </c>
      <c r="AQ68" t="s">
        <v>175</v>
      </c>
      <c r="AR68" t="s">
        <v>175</v>
      </c>
      <c r="AS68" t="s">
        <v>401</v>
      </c>
      <c r="AU68" t="s">
        <v>178</v>
      </c>
      <c r="AW68" t="s">
        <v>592</v>
      </c>
      <c r="AX68" t="s">
        <v>176</v>
      </c>
      <c r="AZ68" t="s">
        <v>223</v>
      </c>
      <c r="BD68" t="s">
        <v>1199</v>
      </c>
      <c r="BE68" t="s">
        <v>180</v>
      </c>
      <c r="BG68" t="s">
        <v>592</v>
      </c>
      <c r="BH68" t="s">
        <v>182</v>
      </c>
      <c r="BJ68" t="s">
        <v>592</v>
      </c>
      <c r="BK68" t="s">
        <v>183</v>
      </c>
      <c r="BM68" t="s">
        <v>592</v>
      </c>
      <c r="BT68" t="s">
        <v>1200</v>
      </c>
      <c r="CD68" t="s">
        <v>1201</v>
      </c>
      <c r="CE68" t="s">
        <v>186</v>
      </c>
      <c r="CG68" t="s">
        <v>592</v>
      </c>
      <c r="CH68" t="s">
        <v>224</v>
      </c>
      <c r="CJ68" t="s">
        <v>223</v>
      </c>
      <c r="CK68" t="s">
        <v>192</v>
      </c>
      <c r="CM68" t="s">
        <v>223</v>
      </c>
      <c r="CN68" t="s">
        <v>193</v>
      </c>
      <c r="CP68" t="s">
        <v>223</v>
      </c>
      <c r="DC68" t="s">
        <v>1202</v>
      </c>
      <c r="DD68" t="s">
        <v>1203</v>
      </c>
      <c r="DP68" t="s">
        <v>111</v>
      </c>
      <c r="DR68" t="s">
        <v>113</v>
      </c>
      <c r="DT68" t="s">
        <v>115</v>
      </c>
      <c r="DW68" t="s">
        <v>199</v>
      </c>
      <c r="DX68" t="s">
        <v>199</v>
      </c>
      <c r="DY68" t="s">
        <v>199</v>
      </c>
      <c r="EB68" t="s">
        <v>201</v>
      </c>
      <c r="ED68" t="s">
        <v>202</v>
      </c>
      <c r="EF68" t="s">
        <v>203</v>
      </c>
      <c r="EH68" t="s">
        <v>1204</v>
      </c>
      <c r="EI68" t="s">
        <v>1205</v>
      </c>
      <c r="EJ68" t="s">
        <v>1206</v>
      </c>
      <c r="EM68" t="s">
        <v>123</v>
      </c>
      <c r="EO68" t="s">
        <v>113</v>
      </c>
      <c r="ER68" t="s">
        <v>127</v>
      </c>
      <c r="ET68" t="s">
        <v>200</v>
      </c>
      <c r="EU68" t="s">
        <v>199</v>
      </c>
      <c r="EV68" t="s">
        <v>199</v>
      </c>
      <c r="EY68" t="s">
        <v>209</v>
      </c>
      <c r="FA68" t="s">
        <v>202</v>
      </c>
      <c r="FB68" t="s">
        <v>233</v>
      </c>
      <c r="HG68" t="s">
        <v>160</v>
      </c>
      <c r="HK68" t="s">
        <v>1207</v>
      </c>
    </row>
    <row r="69" spans="2:224" x14ac:dyDescent="0.25">
      <c r="B69">
        <v>10488613538</v>
      </c>
      <c r="C69" t="s">
        <v>1459</v>
      </c>
      <c r="D69">
        <v>224043989</v>
      </c>
      <c r="E69" s="2">
        <v>43490.555567129632</v>
      </c>
      <c r="F69" s="2">
        <v>43490.563055555547</v>
      </c>
      <c r="G69" t="s">
        <v>904</v>
      </c>
      <c r="L69" t="s">
        <v>279</v>
      </c>
      <c r="N69">
        <v>4000</v>
      </c>
      <c r="O69">
        <v>60</v>
      </c>
      <c r="P69">
        <v>20</v>
      </c>
      <c r="Q69">
        <v>20</v>
      </c>
      <c r="R69">
        <v>0</v>
      </c>
      <c r="S69">
        <v>0</v>
      </c>
      <c r="T69">
        <v>0</v>
      </c>
      <c r="U69" t="s">
        <v>494</v>
      </c>
      <c r="V69" t="s">
        <v>1208</v>
      </c>
      <c r="W69" t="s">
        <v>1355</v>
      </c>
      <c r="X69" t="s">
        <v>166</v>
      </c>
      <c r="Z69" t="s">
        <v>263</v>
      </c>
      <c r="AA69" t="s">
        <v>218</v>
      </c>
      <c r="AB69" t="s">
        <v>263</v>
      </c>
      <c r="AC69" t="s">
        <v>238</v>
      </c>
      <c r="AE69" t="s">
        <v>167</v>
      </c>
      <c r="AG69" t="s">
        <v>1209</v>
      </c>
      <c r="AH69" t="s">
        <v>169</v>
      </c>
      <c r="AI69" t="s">
        <v>294</v>
      </c>
      <c r="AJ69" t="s">
        <v>2438</v>
      </c>
      <c r="AN69" t="s">
        <v>1210</v>
      </c>
      <c r="AP69" t="s">
        <v>175</v>
      </c>
      <c r="AQ69" t="s">
        <v>175</v>
      </c>
      <c r="AR69" t="s">
        <v>245</v>
      </c>
      <c r="AS69" t="s">
        <v>175</v>
      </c>
      <c r="AU69" t="s">
        <v>178</v>
      </c>
      <c r="AW69" t="s">
        <v>405</v>
      </c>
      <c r="BE69" t="s">
        <v>182</v>
      </c>
      <c r="BG69" t="s">
        <v>405</v>
      </c>
      <c r="BH69" t="s">
        <v>183</v>
      </c>
      <c r="BJ69" t="s">
        <v>405</v>
      </c>
      <c r="BU69" t="s">
        <v>184</v>
      </c>
      <c r="BW69" t="s">
        <v>223</v>
      </c>
      <c r="CE69" t="s">
        <v>186</v>
      </c>
      <c r="CH69" t="s">
        <v>191</v>
      </c>
      <c r="DD69" t="s">
        <v>1211</v>
      </c>
      <c r="DE69" t="s">
        <v>1212</v>
      </c>
      <c r="DF69" t="s">
        <v>1213</v>
      </c>
      <c r="DH69" t="s">
        <v>111</v>
      </c>
      <c r="DP69" t="s">
        <v>111</v>
      </c>
      <c r="DW69" t="s">
        <v>424</v>
      </c>
      <c r="DX69" t="s">
        <v>199</v>
      </c>
      <c r="DY69" t="s">
        <v>198</v>
      </c>
      <c r="EB69" t="s">
        <v>249</v>
      </c>
      <c r="ED69" t="s">
        <v>228</v>
      </c>
      <c r="EF69" t="s">
        <v>233</v>
      </c>
      <c r="EH69" t="s">
        <v>1214</v>
      </c>
      <c r="EI69" t="s">
        <v>1214</v>
      </c>
      <c r="ER69" t="s">
        <v>127</v>
      </c>
      <c r="ET69" t="s">
        <v>198</v>
      </c>
      <c r="EU69" t="s">
        <v>199</v>
      </c>
      <c r="EV69" t="s">
        <v>198</v>
      </c>
      <c r="EY69" t="s">
        <v>209</v>
      </c>
      <c r="FA69" t="s">
        <v>202</v>
      </c>
      <c r="FB69" t="s">
        <v>233</v>
      </c>
      <c r="GV69" t="s">
        <v>1215</v>
      </c>
      <c r="GY69" t="s">
        <v>152</v>
      </c>
      <c r="HA69" t="s">
        <v>154</v>
      </c>
      <c r="HB69" t="s">
        <v>155</v>
      </c>
      <c r="HD69" t="s">
        <v>157</v>
      </c>
      <c r="HG69" t="s">
        <v>160</v>
      </c>
      <c r="HK69" t="s">
        <v>1216</v>
      </c>
    </row>
    <row r="70" spans="2:224" x14ac:dyDescent="0.25">
      <c r="B70">
        <v>10485924661</v>
      </c>
      <c r="C70" t="s">
        <v>1459</v>
      </c>
      <c r="D70">
        <v>224043989</v>
      </c>
      <c r="E70" s="2">
        <v>43489.422893518517</v>
      </c>
      <c r="F70" s="2">
        <v>43489.423761574071</v>
      </c>
      <c r="G70" t="s">
        <v>904</v>
      </c>
      <c r="L70" t="s">
        <v>366</v>
      </c>
      <c r="N70">
        <v>1</v>
      </c>
      <c r="O70">
        <v>100</v>
      </c>
      <c r="P70">
        <v>0</v>
      </c>
      <c r="Q70">
        <v>0</v>
      </c>
      <c r="R70">
        <v>0</v>
      </c>
      <c r="S70">
        <v>0</v>
      </c>
      <c r="T70">
        <v>0</v>
      </c>
      <c r="U70" t="s">
        <v>401</v>
      </c>
      <c r="V70" t="s">
        <v>1217</v>
      </c>
      <c r="W70" t="s">
        <v>45</v>
      </c>
      <c r="X70" t="s">
        <v>166</v>
      </c>
    </row>
    <row r="71" spans="2:224" x14ac:dyDescent="0.25">
      <c r="B71">
        <v>10478777759</v>
      </c>
      <c r="C71" t="s">
        <v>1459</v>
      </c>
      <c r="D71">
        <v>224043989</v>
      </c>
      <c r="E71" s="2">
        <v>43486.399618055562</v>
      </c>
      <c r="F71" s="2">
        <v>43486.423067129632</v>
      </c>
      <c r="G71" t="s">
        <v>904</v>
      </c>
      <c r="L71" t="s">
        <v>33</v>
      </c>
      <c r="M71" t="s">
        <v>1218</v>
      </c>
      <c r="N71">
        <v>1000</v>
      </c>
      <c r="O71">
        <v>70</v>
      </c>
      <c r="P71">
        <v>20</v>
      </c>
      <c r="Q71">
        <v>0</v>
      </c>
      <c r="R71">
        <v>10</v>
      </c>
      <c r="S71">
        <v>0</v>
      </c>
      <c r="T71">
        <v>0</v>
      </c>
      <c r="U71" t="s">
        <v>216</v>
      </c>
      <c r="V71" t="s">
        <v>675</v>
      </c>
      <c r="W71" t="s">
        <v>44</v>
      </c>
      <c r="X71" t="s">
        <v>166</v>
      </c>
      <c r="Z71" t="s">
        <v>218</v>
      </c>
      <c r="AA71" t="s">
        <v>2502</v>
      </c>
      <c r="AB71" t="s">
        <v>2502</v>
      </c>
      <c r="AC71" t="s">
        <v>167</v>
      </c>
      <c r="AE71" t="s">
        <v>167</v>
      </c>
      <c r="AG71" t="s">
        <v>569</v>
      </c>
      <c r="AH71" t="s">
        <v>2442</v>
      </c>
      <c r="AI71" t="s">
        <v>157</v>
      </c>
      <c r="AJ71" t="s">
        <v>2440</v>
      </c>
      <c r="AK71" t="s">
        <v>1219</v>
      </c>
      <c r="AL71" t="s">
        <v>2446</v>
      </c>
      <c r="AM71" t="s">
        <v>1220</v>
      </c>
      <c r="AN71" t="s">
        <v>1221</v>
      </c>
      <c r="AO71" t="s">
        <v>1222</v>
      </c>
      <c r="AP71" t="s">
        <v>245</v>
      </c>
      <c r="AQ71" t="s">
        <v>322</v>
      </c>
      <c r="AR71" t="s">
        <v>401</v>
      </c>
      <c r="AS71" t="s">
        <v>245</v>
      </c>
      <c r="BD71" t="s">
        <v>1223</v>
      </c>
      <c r="BE71" t="s">
        <v>182</v>
      </c>
      <c r="BF71">
        <v>1</v>
      </c>
      <c r="BG71" t="s">
        <v>177</v>
      </c>
      <c r="BT71" t="s">
        <v>1224</v>
      </c>
      <c r="BU71" t="s">
        <v>184</v>
      </c>
      <c r="BV71">
        <v>1</v>
      </c>
      <c r="BW71" t="s">
        <v>177</v>
      </c>
      <c r="CE71" t="s">
        <v>191</v>
      </c>
      <c r="CF71">
        <v>1</v>
      </c>
      <c r="CG71" t="s">
        <v>177</v>
      </c>
      <c r="DD71" t="s">
        <v>1225</v>
      </c>
      <c r="DE71" t="s">
        <v>1226</v>
      </c>
      <c r="DF71" t="s">
        <v>1227</v>
      </c>
      <c r="DG71" t="s">
        <v>110</v>
      </c>
      <c r="DI71" t="s">
        <v>112</v>
      </c>
      <c r="DJ71" t="s">
        <v>113</v>
      </c>
      <c r="DO71" t="s">
        <v>110</v>
      </c>
      <c r="DQ71" t="s">
        <v>112</v>
      </c>
      <c r="DR71" t="s">
        <v>113</v>
      </c>
      <c r="DW71" t="s">
        <v>198</v>
      </c>
      <c r="DX71" t="s">
        <v>199</v>
      </c>
      <c r="DY71" t="s">
        <v>198</v>
      </c>
      <c r="EB71" t="s">
        <v>249</v>
      </c>
      <c r="ED71" t="s">
        <v>202</v>
      </c>
      <c r="EF71" t="s">
        <v>203</v>
      </c>
      <c r="EH71" t="s">
        <v>1228</v>
      </c>
      <c r="EI71" t="s">
        <v>1229</v>
      </c>
      <c r="EJ71" t="s">
        <v>1230</v>
      </c>
      <c r="EM71" t="s">
        <v>123</v>
      </c>
      <c r="EQ71" t="s">
        <v>126</v>
      </c>
      <c r="ET71" t="s">
        <v>199</v>
      </c>
      <c r="EU71" t="s">
        <v>198</v>
      </c>
      <c r="EV71" t="s">
        <v>200</v>
      </c>
      <c r="EY71" t="s">
        <v>209</v>
      </c>
      <c r="FA71" t="s">
        <v>202</v>
      </c>
      <c r="FB71" t="s">
        <v>203</v>
      </c>
      <c r="GV71" t="s">
        <v>1231</v>
      </c>
      <c r="GY71" t="s">
        <v>152</v>
      </c>
      <c r="HB71" t="s">
        <v>155</v>
      </c>
      <c r="HC71" t="s">
        <v>156</v>
      </c>
      <c r="HE71" t="s">
        <v>158</v>
      </c>
      <c r="HK71" t="s">
        <v>1232</v>
      </c>
      <c r="HM71" t="s">
        <v>1233</v>
      </c>
    </row>
    <row r="72" spans="2:224" x14ac:dyDescent="0.25">
      <c r="B72">
        <v>10478717337</v>
      </c>
      <c r="C72" t="s">
        <v>1459</v>
      </c>
      <c r="D72">
        <v>224043989</v>
      </c>
      <c r="E72" s="2">
        <v>43486.348333333342</v>
      </c>
      <c r="F72" s="2">
        <v>43486.396678240737</v>
      </c>
      <c r="G72" t="s">
        <v>904</v>
      </c>
      <c r="L72" t="s">
        <v>310</v>
      </c>
      <c r="N72">
        <v>30000</v>
      </c>
      <c r="O72">
        <v>40</v>
      </c>
      <c r="P72">
        <v>40</v>
      </c>
      <c r="Q72">
        <v>10</v>
      </c>
      <c r="R72">
        <v>0</v>
      </c>
      <c r="S72">
        <v>10</v>
      </c>
      <c r="T72">
        <v>0</v>
      </c>
      <c r="U72" s="8" t="s">
        <v>1381</v>
      </c>
      <c r="V72" t="s">
        <v>1234</v>
      </c>
      <c r="W72" t="s">
        <v>1370</v>
      </c>
      <c r="X72" t="s">
        <v>166</v>
      </c>
      <c r="Z72" t="s">
        <v>167</v>
      </c>
      <c r="AA72" t="s">
        <v>2502</v>
      </c>
      <c r="AB72" t="s">
        <v>2502</v>
      </c>
      <c r="AC72" t="s">
        <v>238</v>
      </c>
      <c r="AE72" t="s">
        <v>167</v>
      </c>
      <c r="AG72" t="s">
        <v>1235</v>
      </c>
      <c r="AH72" t="s">
        <v>2438</v>
      </c>
      <c r="AI72" t="s">
        <v>1236</v>
      </c>
      <c r="AJ72" t="s">
        <v>2440</v>
      </c>
      <c r="AK72" t="s">
        <v>1237</v>
      </c>
      <c r="AL72" t="s">
        <v>2438</v>
      </c>
      <c r="AM72" t="s">
        <v>1238</v>
      </c>
      <c r="AN72" t="s">
        <v>876</v>
      </c>
      <c r="AP72" t="s">
        <v>175</v>
      </c>
      <c r="AQ72" t="s">
        <v>175</v>
      </c>
      <c r="AR72" t="s">
        <v>401</v>
      </c>
      <c r="AS72" t="s">
        <v>175</v>
      </c>
      <c r="AU72" t="s">
        <v>178</v>
      </c>
      <c r="AV72">
        <v>1</v>
      </c>
      <c r="AW72" t="s">
        <v>540</v>
      </c>
      <c r="AX72" t="s">
        <v>176</v>
      </c>
      <c r="AY72">
        <v>1</v>
      </c>
      <c r="AZ72" t="s">
        <v>540</v>
      </c>
      <c r="BA72" t="s">
        <v>402</v>
      </c>
      <c r="BB72">
        <v>1</v>
      </c>
      <c r="BC72" t="s">
        <v>540</v>
      </c>
      <c r="BD72" t="s">
        <v>1239</v>
      </c>
      <c r="BE72" t="s">
        <v>182</v>
      </c>
      <c r="BF72">
        <v>1</v>
      </c>
      <c r="BG72" t="s">
        <v>540</v>
      </c>
      <c r="BH72" t="s">
        <v>180</v>
      </c>
      <c r="BI72">
        <v>1</v>
      </c>
      <c r="BJ72" t="s">
        <v>540</v>
      </c>
      <c r="BK72" t="s">
        <v>183</v>
      </c>
      <c r="BL72">
        <v>1</v>
      </c>
      <c r="BM72" t="s">
        <v>540</v>
      </c>
      <c r="BU72" t="s">
        <v>184</v>
      </c>
      <c r="BV72">
        <v>1</v>
      </c>
      <c r="BW72" t="s">
        <v>540</v>
      </c>
      <c r="BX72" t="s">
        <v>185</v>
      </c>
      <c r="BY72">
        <v>1</v>
      </c>
      <c r="BZ72" t="s">
        <v>540</v>
      </c>
      <c r="CE72" t="s">
        <v>187</v>
      </c>
      <c r="CF72">
        <v>1</v>
      </c>
      <c r="CG72" t="s">
        <v>540</v>
      </c>
      <c r="CH72" t="s">
        <v>188</v>
      </c>
      <c r="CI72">
        <v>1</v>
      </c>
      <c r="CJ72" t="s">
        <v>540</v>
      </c>
      <c r="CK72" t="s">
        <v>190</v>
      </c>
      <c r="CL72">
        <v>1</v>
      </c>
      <c r="CM72" t="s">
        <v>540</v>
      </c>
      <c r="CN72" t="s">
        <v>189</v>
      </c>
      <c r="CO72">
        <v>1</v>
      </c>
      <c r="CP72" t="s">
        <v>540</v>
      </c>
      <c r="CQ72" t="s">
        <v>191</v>
      </c>
      <c r="CR72">
        <v>1</v>
      </c>
      <c r="CS72" t="s">
        <v>540</v>
      </c>
      <c r="CT72" t="s">
        <v>224</v>
      </c>
      <c r="CU72">
        <v>1</v>
      </c>
      <c r="CV72" t="s">
        <v>540</v>
      </c>
      <c r="CW72" t="s">
        <v>192</v>
      </c>
      <c r="CX72">
        <v>1</v>
      </c>
      <c r="CY72" t="s">
        <v>540</v>
      </c>
      <c r="CZ72" t="s">
        <v>193</v>
      </c>
      <c r="DA72">
        <v>1</v>
      </c>
      <c r="DB72" t="s">
        <v>540</v>
      </c>
      <c r="DD72" t="s">
        <v>1240</v>
      </c>
      <c r="DE72" t="s">
        <v>1241</v>
      </c>
      <c r="DF72" t="s">
        <v>1242</v>
      </c>
      <c r="DG72" t="s">
        <v>110</v>
      </c>
      <c r="DI72" t="s">
        <v>112</v>
      </c>
      <c r="DO72" t="s">
        <v>110</v>
      </c>
      <c r="DQ72" t="s">
        <v>112</v>
      </c>
      <c r="DW72" t="s">
        <v>200</v>
      </c>
      <c r="DX72" t="s">
        <v>1019</v>
      </c>
      <c r="DY72" t="s">
        <v>198</v>
      </c>
      <c r="EB72" t="s">
        <v>249</v>
      </c>
      <c r="ED72" t="s">
        <v>228</v>
      </c>
      <c r="EF72" t="s">
        <v>203</v>
      </c>
      <c r="EG72" t="s">
        <v>1243</v>
      </c>
      <c r="EH72" t="s">
        <v>1244</v>
      </c>
      <c r="EI72" t="s">
        <v>1245</v>
      </c>
      <c r="EJ72" t="s">
        <v>1246</v>
      </c>
      <c r="EQ72" t="s">
        <v>126</v>
      </c>
      <c r="ET72" t="s">
        <v>199</v>
      </c>
      <c r="EU72" t="s">
        <v>200</v>
      </c>
      <c r="EV72" t="s">
        <v>199</v>
      </c>
      <c r="EY72" t="s">
        <v>209</v>
      </c>
      <c r="FA72" t="s">
        <v>202</v>
      </c>
      <c r="FB72" t="s">
        <v>203</v>
      </c>
      <c r="GV72" t="s">
        <v>1247</v>
      </c>
      <c r="GX72" t="s">
        <v>151</v>
      </c>
      <c r="GY72" t="s">
        <v>152</v>
      </c>
      <c r="HB72" t="s">
        <v>155</v>
      </c>
      <c r="HD72" t="s">
        <v>157</v>
      </c>
      <c r="HK72" t="s">
        <v>1248</v>
      </c>
      <c r="HM72" t="s">
        <v>1249</v>
      </c>
      <c r="HN72" t="s">
        <v>1250</v>
      </c>
      <c r="HO72" t="s">
        <v>1251</v>
      </c>
      <c r="HP72">
        <v>418655137</v>
      </c>
    </row>
    <row r="73" spans="2:224" x14ac:dyDescent="0.25">
      <c r="B73">
        <v>10474418485</v>
      </c>
      <c r="C73" t="s">
        <v>1459</v>
      </c>
      <c r="D73">
        <v>224043989</v>
      </c>
      <c r="E73" s="2">
        <v>43483.439375000002</v>
      </c>
      <c r="F73" s="2">
        <v>43483.4844212963</v>
      </c>
      <c r="G73" t="s">
        <v>904</v>
      </c>
      <c r="L73" t="s">
        <v>215</v>
      </c>
      <c r="N73">
        <v>1</v>
      </c>
      <c r="O73">
        <v>0</v>
      </c>
      <c r="P73">
        <v>0</v>
      </c>
      <c r="Q73">
        <v>0</v>
      </c>
      <c r="R73">
        <v>0</v>
      </c>
      <c r="S73">
        <v>0</v>
      </c>
      <c r="T73">
        <v>100</v>
      </c>
      <c r="U73" t="s">
        <v>1252</v>
      </c>
      <c r="V73" t="s">
        <v>1217</v>
      </c>
      <c r="W73" t="s">
        <v>1356</v>
      </c>
      <c r="X73" t="s">
        <v>166</v>
      </c>
    </row>
    <row r="74" spans="2:224" x14ac:dyDescent="0.25">
      <c r="B74">
        <v>10472202966</v>
      </c>
      <c r="C74" t="s">
        <v>1459</v>
      </c>
      <c r="D74">
        <v>224043989</v>
      </c>
      <c r="E74" s="2">
        <v>43482.6250462963</v>
      </c>
      <c r="F74" s="2">
        <v>43482.627847222233</v>
      </c>
      <c r="G74" t="s">
        <v>904</v>
      </c>
      <c r="L74" t="s">
        <v>260</v>
      </c>
      <c r="N74">
        <v>12000</v>
      </c>
      <c r="O74">
        <v>60</v>
      </c>
      <c r="P74">
        <v>0</v>
      </c>
      <c r="Q74">
        <v>20</v>
      </c>
      <c r="R74">
        <v>0</v>
      </c>
      <c r="S74">
        <v>20</v>
      </c>
      <c r="T74">
        <v>0</v>
      </c>
      <c r="U74" t="s">
        <v>322</v>
      </c>
      <c r="V74" t="s">
        <v>1217</v>
      </c>
      <c r="W74" t="s">
        <v>45</v>
      </c>
      <c r="X74" t="s">
        <v>166</v>
      </c>
    </row>
    <row r="75" spans="2:224" x14ac:dyDescent="0.25">
      <c r="B75">
        <v>10471534934</v>
      </c>
      <c r="C75" t="s">
        <v>1459</v>
      </c>
      <c r="D75">
        <v>224043989</v>
      </c>
      <c r="E75" s="2">
        <v>43482.329733796287</v>
      </c>
      <c r="F75" s="2">
        <v>43482.330462962957</v>
      </c>
      <c r="G75" t="s">
        <v>1253</v>
      </c>
      <c r="L75" t="s">
        <v>260</v>
      </c>
      <c r="N75">
        <v>1200</v>
      </c>
      <c r="O75">
        <v>60</v>
      </c>
      <c r="P75">
        <v>10</v>
      </c>
      <c r="Q75">
        <v>20</v>
      </c>
      <c r="R75">
        <v>0</v>
      </c>
      <c r="S75">
        <v>10</v>
      </c>
      <c r="T75">
        <v>0</v>
      </c>
      <c r="U75" t="s">
        <v>216</v>
      </c>
      <c r="V75" t="s">
        <v>1254</v>
      </c>
      <c r="W75" t="s">
        <v>1334</v>
      </c>
      <c r="X75" t="s">
        <v>166</v>
      </c>
    </row>
    <row r="76" spans="2:224" x14ac:dyDescent="0.25">
      <c r="B76">
        <v>10624266416</v>
      </c>
      <c r="C76" t="s">
        <v>2383</v>
      </c>
      <c r="D76">
        <v>223959985</v>
      </c>
      <c r="E76" s="2">
        <v>43552.593923611108</v>
      </c>
      <c r="F76" s="2">
        <v>43552.628831018519</v>
      </c>
      <c r="G76" t="s">
        <v>163</v>
      </c>
      <c r="L76" t="s">
        <v>33</v>
      </c>
      <c r="M76" t="s">
        <v>1419</v>
      </c>
      <c r="N76">
        <v>300</v>
      </c>
      <c r="O76">
        <v>100</v>
      </c>
      <c r="P76">
        <v>0</v>
      </c>
      <c r="Q76">
        <v>0</v>
      </c>
      <c r="R76">
        <v>0</v>
      </c>
      <c r="S76">
        <v>0</v>
      </c>
      <c r="T76">
        <v>0</v>
      </c>
      <c r="U76" t="s">
        <v>261</v>
      </c>
      <c r="V76" t="s">
        <v>217</v>
      </c>
      <c r="W76" t="s">
        <v>1334</v>
      </c>
      <c r="X76" t="s">
        <v>166</v>
      </c>
      <c r="Y76" t="s">
        <v>1420</v>
      </c>
      <c r="AC76" t="s">
        <v>167</v>
      </c>
      <c r="AE76" t="s">
        <v>167</v>
      </c>
      <c r="AM76" t="s">
        <v>1421</v>
      </c>
      <c r="AN76" t="s">
        <v>1422</v>
      </c>
      <c r="AP76" t="s">
        <v>401</v>
      </c>
      <c r="AQ76" t="s">
        <v>401</v>
      </c>
      <c r="AR76" t="s">
        <v>401</v>
      </c>
      <c r="AS76" t="s">
        <v>401</v>
      </c>
      <c r="AU76" t="s">
        <v>402</v>
      </c>
      <c r="AW76" t="s">
        <v>177</v>
      </c>
      <c r="AX76" t="s">
        <v>178</v>
      </c>
      <c r="AZ76" t="s">
        <v>177</v>
      </c>
      <c r="BA76" t="s">
        <v>176</v>
      </c>
      <c r="BC76" t="s">
        <v>177</v>
      </c>
      <c r="BE76" t="s">
        <v>182</v>
      </c>
      <c r="BG76" t="s">
        <v>177</v>
      </c>
      <c r="BH76" t="s">
        <v>183</v>
      </c>
      <c r="BJ76" t="s">
        <v>177</v>
      </c>
      <c r="BT76" t="s">
        <v>1423</v>
      </c>
      <c r="DD76" t="s">
        <v>1424</v>
      </c>
      <c r="DE76" t="s">
        <v>1425</v>
      </c>
      <c r="DF76" t="s">
        <v>389</v>
      </c>
      <c r="DV76" t="s">
        <v>1426</v>
      </c>
      <c r="DW76" t="s">
        <v>200</v>
      </c>
      <c r="DX76" t="s">
        <v>199</v>
      </c>
      <c r="DY76" t="s">
        <v>198</v>
      </c>
      <c r="DZ76" t="s">
        <v>198</v>
      </c>
      <c r="EB76" t="s">
        <v>201</v>
      </c>
      <c r="ED76" t="s">
        <v>202</v>
      </c>
      <c r="EF76" t="s">
        <v>1042</v>
      </c>
      <c r="EH76" t="s">
        <v>1427</v>
      </c>
      <c r="EI76" t="s">
        <v>1428</v>
      </c>
      <c r="EJ76" t="s">
        <v>1429</v>
      </c>
      <c r="EK76" t="s">
        <v>1430</v>
      </c>
      <c r="EQ76" t="s">
        <v>126</v>
      </c>
      <c r="ES76" t="s">
        <v>1431</v>
      </c>
      <c r="ET76" t="s">
        <v>200</v>
      </c>
      <c r="EU76" t="s">
        <v>200</v>
      </c>
      <c r="EV76" t="s">
        <v>198</v>
      </c>
      <c r="EW76" t="s">
        <v>198</v>
      </c>
      <c r="EY76" t="s">
        <v>209</v>
      </c>
      <c r="FA76" t="s">
        <v>202</v>
      </c>
      <c r="FB76" t="s">
        <v>203</v>
      </c>
      <c r="FC76" t="s">
        <v>1432</v>
      </c>
      <c r="GV76" t="s">
        <v>1433</v>
      </c>
      <c r="GW76" t="s">
        <v>150</v>
      </c>
      <c r="GX76" t="s">
        <v>151</v>
      </c>
      <c r="HD76" t="s">
        <v>157</v>
      </c>
      <c r="HK76" t="s">
        <v>1434</v>
      </c>
      <c r="HN76" t="s">
        <v>1435</v>
      </c>
      <c r="HO76" t="s">
        <v>1436</v>
      </c>
    </row>
    <row r="77" spans="2:224" x14ac:dyDescent="0.25">
      <c r="B77">
        <v>10624178414</v>
      </c>
      <c r="C77" t="s">
        <v>2383</v>
      </c>
      <c r="D77">
        <v>223959985</v>
      </c>
      <c r="E77" s="2">
        <v>43552.564745370371</v>
      </c>
      <c r="F77" s="2">
        <v>43552.593240740738</v>
      </c>
      <c r="G77" t="s">
        <v>163</v>
      </c>
      <c r="L77" t="s">
        <v>215</v>
      </c>
      <c r="N77">
        <v>400</v>
      </c>
      <c r="O77">
        <v>100</v>
      </c>
      <c r="P77">
        <v>0</v>
      </c>
      <c r="Q77">
        <v>0</v>
      </c>
      <c r="R77">
        <v>0</v>
      </c>
      <c r="S77">
        <v>0</v>
      </c>
      <c r="T77">
        <v>0</v>
      </c>
      <c r="U77" t="s">
        <v>216</v>
      </c>
      <c r="V77" t="s">
        <v>1437</v>
      </c>
      <c r="W77" t="s">
        <v>2420</v>
      </c>
      <c r="X77" t="s">
        <v>312</v>
      </c>
      <c r="DF77" t="s">
        <v>208</v>
      </c>
      <c r="FT77" t="s">
        <v>200</v>
      </c>
      <c r="FU77" t="s">
        <v>198</v>
      </c>
      <c r="FW77" t="s">
        <v>200</v>
      </c>
      <c r="FX77" t="s">
        <v>198</v>
      </c>
      <c r="FY77" t="s">
        <v>200</v>
      </c>
      <c r="FZ77" t="s">
        <v>200</v>
      </c>
      <c r="GA77" t="s">
        <v>200</v>
      </c>
      <c r="GB77" t="s">
        <v>200</v>
      </c>
      <c r="GC77" t="s">
        <v>198</v>
      </c>
      <c r="GE77" t="s">
        <v>200</v>
      </c>
      <c r="GF77" t="s">
        <v>198</v>
      </c>
      <c r="GJ77" t="s">
        <v>772</v>
      </c>
      <c r="GK77" t="s">
        <v>1438</v>
      </c>
      <c r="GP77" t="s">
        <v>772</v>
      </c>
      <c r="GQ77" t="s">
        <v>1438</v>
      </c>
      <c r="GU77" t="s">
        <v>1439</v>
      </c>
      <c r="GV77" t="s">
        <v>1440</v>
      </c>
      <c r="GX77" t="s">
        <v>151</v>
      </c>
      <c r="HB77" t="s">
        <v>155</v>
      </c>
      <c r="HH77" t="s">
        <v>161</v>
      </c>
      <c r="HK77" t="s">
        <v>1441</v>
      </c>
      <c r="HM77" t="s">
        <v>1442</v>
      </c>
      <c r="HN77" t="s">
        <v>1443</v>
      </c>
      <c r="HO77" t="s">
        <v>1444</v>
      </c>
      <c r="HP77">
        <v>428946394</v>
      </c>
    </row>
    <row r="78" spans="2:224" x14ac:dyDescent="0.25">
      <c r="B78">
        <v>10483750864</v>
      </c>
      <c r="C78" t="s">
        <v>2383</v>
      </c>
      <c r="D78">
        <v>223776675</v>
      </c>
      <c r="E78" s="2">
        <v>43488.661817129629</v>
      </c>
      <c r="F78" s="2">
        <v>43488.662754629629</v>
      </c>
      <c r="G78" t="s">
        <v>1445</v>
      </c>
      <c r="L78" t="s">
        <v>260</v>
      </c>
      <c r="N78">
        <v>1</v>
      </c>
      <c r="O78">
        <v>10</v>
      </c>
      <c r="P78">
        <v>10</v>
      </c>
      <c r="Q78">
        <v>10</v>
      </c>
      <c r="R78">
        <v>10</v>
      </c>
      <c r="S78">
        <v>10</v>
      </c>
      <c r="T78">
        <v>50</v>
      </c>
      <c r="U78" t="s">
        <v>322</v>
      </c>
      <c r="V78" t="s">
        <v>1447</v>
      </c>
      <c r="W78" t="s">
        <v>2396</v>
      </c>
      <c r="X78" t="s">
        <v>166</v>
      </c>
      <c r="Y78" t="s">
        <v>1448</v>
      </c>
      <c r="AC78" t="s">
        <v>168</v>
      </c>
      <c r="AE78" t="s">
        <v>263</v>
      </c>
      <c r="AG78" t="s">
        <v>1447</v>
      </c>
      <c r="AH78" t="s">
        <v>1447</v>
      </c>
    </row>
    <row r="79" spans="2:224" x14ac:dyDescent="0.25">
      <c r="B79">
        <v>10483668254</v>
      </c>
      <c r="C79" t="s">
        <v>2383</v>
      </c>
      <c r="D79">
        <v>223776675</v>
      </c>
      <c r="E79" s="2">
        <v>43488.603263888886</v>
      </c>
      <c r="F79" s="2">
        <v>43488.646562499998</v>
      </c>
      <c r="G79" t="s">
        <v>1445</v>
      </c>
      <c r="L79" t="s">
        <v>366</v>
      </c>
      <c r="N79">
        <v>222</v>
      </c>
      <c r="O79">
        <v>10</v>
      </c>
      <c r="P79">
        <v>10</v>
      </c>
      <c r="Q79">
        <v>10</v>
      </c>
      <c r="R79">
        <v>10</v>
      </c>
      <c r="S79">
        <v>10</v>
      </c>
      <c r="T79">
        <v>50</v>
      </c>
      <c r="U79" t="s">
        <v>494</v>
      </c>
      <c r="V79" t="s">
        <v>45</v>
      </c>
      <c r="W79" t="s">
        <v>45</v>
      </c>
      <c r="X79" t="s">
        <v>166</v>
      </c>
      <c r="Y79" t="s">
        <v>1420</v>
      </c>
      <c r="AC79" t="s">
        <v>263</v>
      </c>
      <c r="AE79" t="s">
        <v>238</v>
      </c>
      <c r="AG79" t="s">
        <v>1446</v>
      </c>
      <c r="AH79" t="s">
        <v>1446</v>
      </c>
      <c r="AI79" t="s">
        <v>1449</v>
      </c>
      <c r="AJ79" t="s">
        <v>1449</v>
      </c>
      <c r="AK79" t="s">
        <v>1450</v>
      </c>
      <c r="AL79" t="s">
        <v>1450</v>
      </c>
      <c r="AM79" t="s">
        <v>1446</v>
      </c>
      <c r="AN79" t="s">
        <v>1449</v>
      </c>
      <c r="AO79" t="s">
        <v>1450</v>
      </c>
      <c r="AP79" t="s">
        <v>401</v>
      </c>
      <c r="AQ79" t="s">
        <v>401</v>
      </c>
      <c r="AR79" t="s">
        <v>401</v>
      </c>
      <c r="AS79" t="s">
        <v>401</v>
      </c>
      <c r="AU79" t="s">
        <v>402</v>
      </c>
      <c r="AV79">
        <v>1</v>
      </c>
      <c r="AW79" t="s">
        <v>177</v>
      </c>
      <c r="AX79" t="s">
        <v>178</v>
      </c>
      <c r="AY79">
        <v>1</v>
      </c>
      <c r="AZ79" t="s">
        <v>177</v>
      </c>
      <c r="BA79" t="s">
        <v>176</v>
      </c>
      <c r="BB79">
        <v>1</v>
      </c>
      <c r="BC79" t="s">
        <v>177</v>
      </c>
      <c r="BE79" t="s">
        <v>183</v>
      </c>
      <c r="BF79">
        <v>1</v>
      </c>
      <c r="BG79" t="s">
        <v>223</v>
      </c>
      <c r="BU79" t="s">
        <v>184</v>
      </c>
      <c r="BV79">
        <v>1</v>
      </c>
      <c r="BW79" t="s">
        <v>177</v>
      </c>
      <c r="CE79" t="s">
        <v>193</v>
      </c>
      <c r="CF79">
        <v>1</v>
      </c>
      <c r="CG79" t="s">
        <v>177</v>
      </c>
      <c r="DD79" t="s">
        <v>1217</v>
      </c>
      <c r="DI79" t="s">
        <v>112</v>
      </c>
      <c r="DT79" t="s">
        <v>115</v>
      </c>
      <c r="DW79" t="s">
        <v>198</v>
      </c>
      <c r="DX79" t="s">
        <v>198</v>
      </c>
      <c r="DY79" t="s">
        <v>198</v>
      </c>
      <c r="EB79" t="s">
        <v>1451</v>
      </c>
      <c r="ED79" t="s">
        <v>254</v>
      </c>
      <c r="EF79" t="s">
        <v>203</v>
      </c>
      <c r="EH79" t="s">
        <v>1452</v>
      </c>
      <c r="EI79" t="s">
        <v>1217</v>
      </c>
      <c r="EM79" t="s">
        <v>123</v>
      </c>
      <c r="EQ79" t="s">
        <v>126</v>
      </c>
      <c r="ER79" t="s">
        <v>127</v>
      </c>
      <c r="ET79" t="s">
        <v>198</v>
      </c>
      <c r="EU79" t="s">
        <v>198</v>
      </c>
      <c r="EV79" t="s">
        <v>198</v>
      </c>
      <c r="EY79" t="s">
        <v>249</v>
      </c>
      <c r="FA79" t="s">
        <v>202</v>
      </c>
      <c r="FB79" t="s">
        <v>233</v>
      </c>
      <c r="FD79" t="s">
        <v>110</v>
      </c>
      <c r="FI79" t="s">
        <v>115</v>
      </c>
      <c r="FQ79" t="s">
        <v>115</v>
      </c>
      <c r="FT79" t="s">
        <v>198</v>
      </c>
      <c r="FU79" t="s">
        <v>198</v>
      </c>
      <c r="FW79" t="s">
        <v>198</v>
      </c>
      <c r="FX79" t="s">
        <v>198</v>
      </c>
      <c r="FY79" t="s">
        <v>198</v>
      </c>
      <c r="GE79" t="s">
        <v>198</v>
      </c>
      <c r="GF79" t="s">
        <v>198</v>
      </c>
      <c r="GJ79" t="s">
        <v>772</v>
      </c>
      <c r="GK79" t="s">
        <v>1438</v>
      </c>
      <c r="GP79" t="s">
        <v>772</v>
      </c>
      <c r="GQ79" t="s">
        <v>1438</v>
      </c>
      <c r="GV79" t="s">
        <v>1453</v>
      </c>
      <c r="HJ79" t="s">
        <v>1454</v>
      </c>
      <c r="HK79" t="s">
        <v>1217</v>
      </c>
    </row>
    <row r="80" spans="2:224" x14ac:dyDescent="0.25">
      <c r="B80">
        <v>10483564736</v>
      </c>
      <c r="C80" t="s">
        <v>2383</v>
      </c>
      <c r="D80">
        <v>223776675</v>
      </c>
      <c r="E80" s="2">
        <v>43488.540300925917</v>
      </c>
      <c r="F80" s="2">
        <v>43488.541701388887</v>
      </c>
      <c r="G80" t="s">
        <v>904</v>
      </c>
      <c r="L80" t="s">
        <v>260</v>
      </c>
      <c r="N80">
        <v>1200</v>
      </c>
      <c r="O80">
        <v>60</v>
      </c>
      <c r="P80">
        <v>20</v>
      </c>
      <c r="Q80">
        <v>10</v>
      </c>
      <c r="R80">
        <v>0</v>
      </c>
      <c r="S80">
        <v>10</v>
      </c>
      <c r="T80">
        <v>0</v>
      </c>
      <c r="U80" t="s">
        <v>216</v>
      </c>
      <c r="V80" t="s">
        <v>1456</v>
      </c>
      <c r="W80" t="s">
        <v>2397</v>
      </c>
      <c r="X80" t="s">
        <v>166</v>
      </c>
    </row>
    <row r="81" spans="2:224" x14ac:dyDescent="0.25">
      <c r="B81">
        <v>10483336871</v>
      </c>
      <c r="C81" t="s">
        <v>2383</v>
      </c>
      <c r="D81">
        <v>223959985</v>
      </c>
      <c r="E81" s="2">
        <v>43488.360543981478</v>
      </c>
      <c r="F81" s="2">
        <v>43488.450949074067</v>
      </c>
      <c r="G81" t="s">
        <v>904</v>
      </c>
      <c r="L81" t="s">
        <v>260</v>
      </c>
      <c r="N81">
        <v>2500</v>
      </c>
      <c r="O81">
        <v>70</v>
      </c>
      <c r="P81">
        <v>0</v>
      </c>
      <c r="Q81">
        <v>30</v>
      </c>
      <c r="R81">
        <v>0</v>
      </c>
      <c r="S81">
        <v>0</v>
      </c>
      <c r="T81">
        <v>0</v>
      </c>
      <c r="U81" t="s">
        <v>2394</v>
      </c>
      <c r="V81" t="s">
        <v>1458</v>
      </c>
      <c r="W81" t="s">
        <v>2398</v>
      </c>
      <c r="X81" t="s">
        <v>166</v>
      </c>
      <c r="Y81" t="s">
        <v>1420</v>
      </c>
      <c r="AC81" t="s">
        <v>263</v>
      </c>
      <c r="AE81" t="s">
        <v>167</v>
      </c>
      <c r="AG81" t="s">
        <v>1459</v>
      </c>
      <c r="AH81" t="s">
        <v>1459</v>
      </c>
      <c r="AI81" t="s">
        <v>569</v>
      </c>
      <c r="AJ81" t="s">
        <v>2442</v>
      </c>
      <c r="AK81" t="s">
        <v>170</v>
      </c>
      <c r="AL81" t="s">
        <v>2438</v>
      </c>
      <c r="AM81" t="s">
        <v>1460</v>
      </c>
      <c r="AN81" t="s">
        <v>1461</v>
      </c>
      <c r="AO81" t="s">
        <v>1462</v>
      </c>
      <c r="AP81" t="s">
        <v>261</v>
      </c>
      <c r="AQ81" t="s">
        <v>261</v>
      </c>
      <c r="AR81" t="s">
        <v>261</v>
      </c>
      <c r="AS81" t="s">
        <v>401</v>
      </c>
      <c r="AU81" t="s">
        <v>402</v>
      </c>
      <c r="AV81">
        <v>1</v>
      </c>
      <c r="AW81" t="s">
        <v>177</v>
      </c>
      <c r="BD81" t="s">
        <v>1463</v>
      </c>
      <c r="BE81" t="s">
        <v>182</v>
      </c>
      <c r="BF81">
        <v>1</v>
      </c>
      <c r="BG81" t="s">
        <v>177</v>
      </c>
      <c r="BH81" t="s">
        <v>183</v>
      </c>
      <c r="BI81">
        <v>1</v>
      </c>
      <c r="BJ81" t="s">
        <v>177</v>
      </c>
      <c r="CD81" t="s">
        <v>1464</v>
      </c>
      <c r="CE81" t="s">
        <v>191</v>
      </c>
      <c r="DC81" t="s">
        <v>1464</v>
      </c>
      <c r="DD81" t="s">
        <v>1465</v>
      </c>
      <c r="DE81" t="s">
        <v>1466</v>
      </c>
      <c r="DF81" t="s">
        <v>1467</v>
      </c>
      <c r="DH81" t="s">
        <v>111</v>
      </c>
      <c r="DO81" t="s">
        <v>110</v>
      </c>
      <c r="DP81" t="s">
        <v>111</v>
      </c>
      <c r="DW81" t="s">
        <v>200</v>
      </c>
      <c r="DX81" t="s">
        <v>198</v>
      </c>
      <c r="DY81" t="s">
        <v>198</v>
      </c>
      <c r="EC81" t="s">
        <v>313</v>
      </c>
      <c r="ED81" t="s">
        <v>202</v>
      </c>
      <c r="EF81" t="s">
        <v>203</v>
      </c>
      <c r="EH81" t="s">
        <v>1468</v>
      </c>
      <c r="EL81" t="s">
        <v>122</v>
      </c>
      <c r="EM81" t="s">
        <v>123</v>
      </c>
      <c r="ET81" t="s">
        <v>200</v>
      </c>
      <c r="EU81" t="s">
        <v>198</v>
      </c>
      <c r="EV81" t="s">
        <v>200</v>
      </c>
      <c r="EY81">
        <v>0</v>
      </c>
      <c r="FA81" t="s">
        <v>202</v>
      </c>
      <c r="FB81" t="s">
        <v>203</v>
      </c>
      <c r="FW81" t="s">
        <v>198</v>
      </c>
      <c r="FX81" t="s">
        <v>198</v>
      </c>
      <c r="FY81" t="s">
        <v>200</v>
      </c>
      <c r="FZ81" t="s">
        <v>200</v>
      </c>
      <c r="GA81" t="s">
        <v>200</v>
      </c>
      <c r="GB81" t="s">
        <v>198</v>
      </c>
      <c r="GC81" t="s">
        <v>200</v>
      </c>
      <c r="GE81" t="s">
        <v>200</v>
      </c>
      <c r="GF81" t="s">
        <v>200</v>
      </c>
      <c r="GV81" t="s">
        <v>1469</v>
      </c>
      <c r="GW81" t="s">
        <v>150</v>
      </c>
      <c r="GX81" t="s">
        <v>151</v>
      </c>
      <c r="HB81" t="s">
        <v>155</v>
      </c>
      <c r="HK81" t="s">
        <v>1470</v>
      </c>
      <c r="HM81" t="s">
        <v>1471</v>
      </c>
      <c r="HN81" t="s">
        <v>475</v>
      </c>
      <c r="HO81" t="s">
        <v>1472</v>
      </c>
      <c r="HP81">
        <v>417830406</v>
      </c>
    </row>
    <row r="82" spans="2:224" x14ac:dyDescent="0.25">
      <c r="B82">
        <v>10478215007</v>
      </c>
      <c r="C82" t="s">
        <v>2383</v>
      </c>
      <c r="D82">
        <v>223776675</v>
      </c>
      <c r="E82" s="2">
        <v>43485.884085648147</v>
      </c>
      <c r="F82" s="2">
        <v>43485.924270833333</v>
      </c>
      <c r="G82" t="s">
        <v>1253</v>
      </c>
      <c r="L82" t="s">
        <v>310</v>
      </c>
      <c r="N82">
        <v>1100</v>
      </c>
      <c r="O82">
        <v>60</v>
      </c>
      <c r="P82">
        <v>40</v>
      </c>
      <c r="Q82">
        <v>0</v>
      </c>
      <c r="R82">
        <v>0</v>
      </c>
      <c r="S82">
        <v>0</v>
      </c>
      <c r="T82">
        <v>0</v>
      </c>
      <c r="U82" t="s">
        <v>216</v>
      </c>
      <c r="V82" t="s">
        <v>45</v>
      </c>
      <c r="W82" t="s">
        <v>45</v>
      </c>
      <c r="X82" t="s">
        <v>166</v>
      </c>
      <c r="Y82" t="s">
        <v>1420</v>
      </c>
      <c r="AC82" t="s">
        <v>1473</v>
      </c>
      <c r="AD82" t="s">
        <v>1474</v>
      </c>
      <c r="AE82" t="s">
        <v>263</v>
      </c>
      <c r="AG82" t="s">
        <v>1475</v>
      </c>
      <c r="AH82" t="s">
        <v>1459</v>
      </c>
      <c r="AI82" t="s">
        <v>1476</v>
      </c>
      <c r="AJ82" t="s">
        <v>2446</v>
      </c>
      <c r="AK82" t="s">
        <v>1477</v>
      </c>
      <c r="AL82" t="s">
        <v>2442</v>
      </c>
      <c r="AM82" t="s">
        <v>1478</v>
      </c>
      <c r="AN82" t="s">
        <v>1479</v>
      </c>
      <c r="AO82" t="s">
        <v>1480</v>
      </c>
      <c r="AP82" t="s">
        <v>401</v>
      </c>
      <c r="AQ82" t="s">
        <v>322</v>
      </c>
      <c r="AR82" t="s">
        <v>401</v>
      </c>
      <c r="AS82" t="s">
        <v>322</v>
      </c>
      <c r="AU82" t="s">
        <v>176</v>
      </c>
      <c r="AV82">
        <v>1</v>
      </c>
      <c r="AW82" t="s">
        <v>403</v>
      </c>
      <c r="BE82" t="s">
        <v>182</v>
      </c>
      <c r="BF82">
        <v>1</v>
      </c>
      <c r="BG82" t="s">
        <v>403</v>
      </c>
      <c r="CD82" t="s">
        <v>1481</v>
      </c>
      <c r="CE82" t="s">
        <v>186</v>
      </c>
      <c r="CF82">
        <v>1</v>
      </c>
      <c r="CG82" t="s">
        <v>403</v>
      </c>
      <c r="CH82" t="s">
        <v>188</v>
      </c>
      <c r="CI82">
        <v>1</v>
      </c>
      <c r="CJ82" t="s">
        <v>403</v>
      </c>
      <c r="CK82" t="s">
        <v>189</v>
      </c>
      <c r="CL82">
        <v>1</v>
      </c>
      <c r="CM82" t="s">
        <v>403</v>
      </c>
      <c r="CN82" t="s">
        <v>190</v>
      </c>
      <c r="CO82">
        <v>1</v>
      </c>
      <c r="CP82" t="s">
        <v>403</v>
      </c>
      <c r="CQ82" t="s">
        <v>191</v>
      </c>
      <c r="CR82">
        <v>1</v>
      </c>
      <c r="CS82" t="s">
        <v>403</v>
      </c>
      <c r="CT82" t="s">
        <v>193</v>
      </c>
      <c r="CU82">
        <v>1</v>
      </c>
      <c r="CV82" t="s">
        <v>403</v>
      </c>
      <c r="CW82" t="s">
        <v>192</v>
      </c>
      <c r="CX82">
        <v>1</v>
      </c>
      <c r="CY82" t="s">
        <v>403</v>
      </c>
      <c r="DA82">
        <v>1</v>
      </c>
      <c r="DD82" t="s">
        <v>1482</v>
      </c>
      <c r="DE82" t="s">
        <v>1483</v>
      </c>
      <c r="DF82" t="s">
        <v>1484</v>
      </c>
      <c r="DG82" t="s">
        <v>110</v>
      </c>
      <c r="DV82" t="s">
        <v>1485</v>
      </c>
      <c r="DW82" t="s">
        <v>198</v>
      </c>
      <c r="DX82" t="s">
        <v>199</v>
      </c>
      <c r="DY82" t="s">
        <v>424</v>
      </c>
      <c r="EB82" t="s">
        <v>201</v>
      </c>
      <c r="ED82" t="s">
        <v>202</v>
      </c>
      <c r="EF82" t="s">
        <v>203</v>
      </c>
      <c r="EH82" t="s">
        <v>1486</v>
      </c>
      <c r="EI82" t="s">
        <v>1487</v>
      </c>
      <c r="ES82" t="s">
        <v>1488</v>
      </c>
      <c r="ET82" t="s">
        <v>199</v>
      </c>
      <c r="EU82" t="s">
        <v>199</v>
      </c>
      <c r="EV82" t="s">
        <v>198</v>
      </c>
      <c r="EY82" t="s">
        <v>209</v>
      </c>
      <c r="EZ82" t="s">
        <v>1489</v>
      </c>
      <c r="FB82" t="s">
        <v>203</v>
      </c>
      <c r="GH82" t="s">
        <v>1490</v>
      </c>
      <c r="GN82" t="s">
        <v>1490</v>
      </c>
      <c r="GT82" t="s">
        <v>1491</v>
      </c>
      <c r="GV82" t="s">
        <v>1492</v>
      </c>
      <c r="HJ82" t="s">
        <v>1493</v>
      </c>
    </row>
    <row r="83" spans="2:224" x14ac:dyDescent="0.25">
      <c r="B83">
        <v>10478196844</v>
      </c>
      <c r="C83" t="s">
        <v>2383</v>
      </c>
      <c r="D83">
        <v>223776675</v>
      </c>
      <c r="E83" s="2">
        <v>43485.86446759259</v>
      </c>
      <c r="F83" s="2">
        <v>43485.882974537039</v>
      </c>
      <c r="G83" t="s">
        <v>1253</v>
      </c>
      <c r="L83" t="s">
        <v>260</v>
      </c>
      <c r="N83">
        <v>1800</v>
      </c>
      <c r="O83">
        <v>60</v>
      </c>
      <c r="P83">
        <v>20</v>
      </c>
      <c r="Q83">
        <v>10</v>
      </c>
      <c r="R83">
        <v>0</v>
      </c>
      <c r="S83">
        <v>10</v>
      </c>
      <c r="T83">
        <v>0</v>
      </c>
      <c r="U83" t="s">
        <v>216</v>
      </c>
      <c r="V83" t="s">
        <v>1254</v>
      </c>
      <c r="W83" t="s">
        <v>1334</v>
      </c>
      <c r="X83" t="s">
        <v>312</v>
      </c>
      <c r="FT83" t="s">
        <v>199</v>
      </c>
      <c r="FU83" t="s">
        <v>199</v>
      </c>
      <c r="FV83" t="s">
        <v>1494</v>
      </c>
      <c r="FW83" t="s">
        <v>199</v>
      </c>
      <c r="FX83" t="s">
        <v>199</v>
      </c>
      <c r="FY83" t="s">
        <v>199</v>
      </c>
      <c r="FZ83" t="s">
        <v>199</v>
      </c>
      <c r="GA83" t="s">
        <v>199</v>
      </c>
      <c r="GB83" t="s">
        <v>199</v>
      </c>
      <c r="GC83" t="s">
        <v>199</v>
      </c>
      <c r="GD83" t="s">
        <v>1495</v>
      </c>
      <c r="GE83" t="s">
        <v>199</v>
      </c>
      <c r="GF83" t="s">
        <v>199</v>
      </c>
      <c r="GT83" t="s">
        <v>1496</v>
      </c>
      <c r="GV83" t="s">
        <v>1497</v>
      </c>
      <c r="GW83" t="s">
        <v>150</v>
      </c>
      <c r="GX83" t="s">
        <v>151</v>
      </c>
      <c r="HK83" t="s">
        <v>1498</v>
      </c>
    </row>
    <row r="84" spans="2:224" x14ac:dyDescent="0.25">
      <c r="B84">
        <v>10474308940</v>
      </c>
      <c r="C84" t="s">
        <v>2383</v>
      </c>
      <c r="D84">
        <v>223959985</v>
      </c>
      <c r="E84" s="2">
        <v>43483.36209490741</v>
      </c>
      <c r="F84" s="2">
        <v>43483.40525462963</v>
      </c>
      <c r="G84" t="s">
        <v>904</v>
      </c>
      <c r="L84" t="s">
        <v>260</v>
      </c>
      <c r="N84">
        <v>1500</v>
      </c>
      <c r="O84">
        <v>65</v>
      </c>
      <c r="P84">
        <v>15</v>
      </c>
      <c r="Q84">
        <v>10</v>
      </c>
      <c r="R84">
        <v>0</v>
      </c>
      <c r="S84">
        <v>10</v>
      </c>
      <c r="T84">
        <v>0</v>
      </c>
      <c r="U84" t="s">
        <v>494</v>
      </c>
      <c r="V84" t="s">
        <v>314</v>
      </c>
      <c r="W84" t="s">
        <v>45</v>
      </c>
      <c r="X84" t="s">
        <v>166</v>
      </c>
      <c r="Y84" t="s">
        <v>1499</v>
      </c>
      <c r="AC84" t="s">
        <v>1473</v>
      </c>
      <c r="AE84" t="s">
        <v>1473</v>
      </c>
      <c r="AG84" t="s">
        <v>1500</v>
      </c>
      <c r="AH84" t="s">
        <v>2439</v>
      </c>
      <c r="AI84" t="s">
        <v>1501</v>
      </c>
      <c r="AJ84" t="s">
        <v>2438</v>
      </c>
      <c r="AK84" t="s">
        <v>1502</v>
      </c>
      <c r="AL84" t="s">
        <v>2442</v>
      </c>
      <c r="AM84" t="s">
        <v>1503</v>
      </c>
      <c r="AN84" t="s">
        <v>1504</v>
      </c>
      <c r="AO84" t="s">
        <v>1505</v>
      </c>
      <c r="AP84">
        <v>0</v>
      </c>
      <c r="AQ84">
        <v>0</v>
      </c>
      <c r="AR84">
        <v>0</v>
      </c>
      <c r="AS84">
        <v>0</v>
      </c>
      <c r="DH84" t="s">
        <v>111</v>
      </c>
      <c r="DO84" t="s">
        <v>110</v>
      </c>
      <c r="DP84" t="s">
        <v>111</v>
      </c>
      <c r="DW84" t="s">
        <v>198</v>
      </c>
      <c r="DX84" t="s">
        <v>200</v>
      </c>
      <c r="DY84" t="s">
        <v>198</v>
      </c>
      <c r="EB84">
        <v>0</v>
      </c>
      <c r="ED84" t="s">
        <v>254</v>
      </c>
      <c r="EF84" t="s">
        <v>233</v>
      </c>
      <c r="EG84" t="s">
        <v>1506</v>
      </c>
      <c r="EH84" t="s">
        <v>1507</v>
      </c>
      <c r="EI84" t="s">
        <v>1136</v>
      </c>
      <c r="EJ84" t="s">
        <v>1508</v>
      </c>
      <c r="EK84" t="s">
        <v>389</v>
      </c>
      <c r="EL84" t="s">
        <v>122</v>
      </c>
      <c r="EM84" t="s">
        <v>123</v>
      </c>
      <c r="ET84" t="s">
        <v>200</v>
      </c>
      <c r="EU84" t="s">
        <v>198</v>
      </c>
      <c r="EV84" t="s">
        <v>198</v>
      </c>
      <c r="EY84" t="s">
        <v>209</v>
      </c>
      <c r="FA84" t="s">
        <v>228</v>
      </c>
      <c r="FB84" t="s">
        <v>203</v>
      </c>
      <c r="FD84" t="s">
        <v>110</v>
      </c>
      <c r="FE84" t="s">
        <v>111</v>
      </c>
      <c r="FL84" t="s">
        <v>110</v>
      </c>
      <c r="FM84" t="s">
        <v>111</v>
      </c>
      <c r="FT84" t="s">
        <v>200</v>
      </c>
      <c r="FU84" t="s">
        <v>198</v>
      </c>
      <c r="GV84" t="s">
        <v>1509</v>
      </c>
      <c r="GX84" t="s">
        <v>151</v>
      </c>
      <c r="HE84" t="s">
        <v>158</v>
      </c>
      <c r="HJ84" t="s">
        <v>1510</v>
      </c>
      <c r="HK84" t="s">
        <v>1511</v>
      </c>
      <c r="HM84" t="s">
        <v>1512</v>
      </c>
      <c r="HN84" t="s">
        <v>1513</v>
      </c>
      <c r="HO84" t="s">
        <v>1514</v>
      </c>
      <c r="HP84">
        <v>428615195</v>
      </c>
    </row>
    <row r="85" spans="2:224" x14ac:dyDescent="0.25">
      <c r="B85">
        <v>10474204443</v>
      </c>
      <c r="C85" t="s">
        <v>2383</v>
      </c>
      <c r="D85">
        <v>223959985</v>
      </c>
      <c r="E85" s="2">
        <v>43483.344918981478</v>
      </c>
      <c r="F85" s="2">
        <v>43483.346770833326</v>
      </c>
      <c r="G85" t="s">
        <v>904</v>
      </c>
      <c r="L85" t="s">
        <v>215</v>
      </c>
      <c r="N85">
        <v>3000</v>
      </c>
      <c r="O85">
        <v>10</v>
      </c>
      <c r="P85">
        <v>50</v>
      </c>
      <c r="Q85">
        <v>10</v>
      </c>
      <c r="R85">
        <v>10</v>
      </c>
      <c r="S85">
        <v>10</v>
      </c>
      <c r="T85">
        <v>10</v>
      </c>
      <c r="U85" t="s">
        <v>401</v>
      </c>
      <c r="V85" t="s">
        <v>45</v>
      </c>
      <c r="W85" t="s">
        <v>45</v>
      </c>
      <c r="X85" t="s">
        <v>166</v>
      </c>
      <c r="Y85" t="s">
        <v>1420</v>
      </c>
    </row>
    <row r="86" spans="2:224" x14ac:dyDescent="0.25">
      <c r="B86">
        <v>10472238055</v>
      </c>
      <c r="C86" t="s">
        <v>2383</v>
      </c>
      <c r="D86">
        <v>223959985</v>
      </c>
      <c r="E86" s="2">
        <v>43482.648460648154</v>
      </c>
      <c r="F86" s="2">
        <v>43482.658819444441</v>
      </c>
      <c r="G86" t="s">
        <v>904</v>
      </c>
      <c r="L86" t="s">
        <v>310</v>
      </c>
      <c r="N86">
        <v>1822</v>
      </c>
      <c r="O86">
        <v>33</v>
      </c>
      <c r="P86">
        <v>33</v>
      </c>
      <c r="Q86">
        <v>0</v>
      </c>
      <c r="R86">
        <v>0</v>
      </c>
      <c r="S86">
        <v>33</v>
      </c>
      <c r="T86">
        <v>0</v>
      </c>
      <c r="U86" t="s">
        <v>216</v>
      </c>
      <c r="V86" t="s">
        <v>1516</v>
      </c>
      <c r="W86" t="s">
        <v>2399</v>
      </c>
      <c r="X86" t="s">
        <v>166</v>
      </c>
      <c r="Y86" t="s">
        <v>1499</v>
      </c>
      <c r="AC86" t="s">
        <v>238</v>
      </c>
      <c r="AE86" t="s">
        <v>238</v>
      </c>
      <c r="AG86" t="s">
        <v>1517</v>
      </c>
      <c r="AH86" t="s">
        <v>169</v>
      </c>
      <c r="AI86" t="s">
        <v>1518</v>
      </c>
      <c r="AJ86" t="s">
        <v>2439</v>
      </c>
      <c r="AK86" t="s">
        <v>1519</v>
      </c>
      <c r="AL86" t="s">
        <v>2438</v>
      </c>
      <c r="AM86" t="s">
        <v>1520</v>
      </c>
      <c r="AP86" t="s">
        <v>401</v>
      </c>
      <c r="AQ86" t="s">
        <v>401</v>
      </c>
      <c r="AR86" t="s">
        <v>401</v>
      </c>
      <c r="AS86" t="s">
        <v>401</v>
      </c>
      <c r="AU86" t="s">
        <v>176</v>
      </c>
      <c r="AV86">
        <v>1</v>
      </c>
      <c r="AW86" t="s">
        <v>223</v>
      </c>
      <c r="AX86" t="s">
        <v>402</v>
      </c>
      <c r="AY86">
        <v>1</v>
      </c>
      <c r="AZ86" t="s">
        <v>223</v>
      </c>
      <c r="BE86" t="s">
        <v>181</v>
      </c>
      <c r="BF86">
        <v>1</v>
      </c>
      <c r="BG86" t="s">
        <v>223</v>
      </c>
      <c r="BU86" t="s">
        <v>184</v>
      </c>
      <c r="BV86">
        <v>2</v>
      </c>
      <c r="BW86" t="s">
        <v>223</v>
      </c>
      <c r="CE86" t="s">
        <v>191</v>
      </c>
      <c r="CF86">
        <v>1</v>
      </c>
      <c r="CG86" t="s">
        <v>177</v>
      </c>
      <c r="DH86" t="s">
        <v>111</v>
      </c>
      <c r="DP86" t="s">
        <v>111</v>
      </c>
      <c r="DW86" t="s">
        <v>424</v>
      </c>
      <c r="DX86" t="s">
        <v>199</v>
      </c>
      <c r="DY86" t="s">
        <v>198</v>
      </c>
      <c r="EB86" t="s">
        <v>201</v>
      </c>
      <c r="ED86" t="s">
        <v>202</v>
      </c>
      <c r="EF86" t="s">
        <v>433</v>
      </c>
      <c r="GV86" t="s">
        <v>1521</v>
      </c>
      <c r="GX86" t="s">
        <v>151</v>
      </c>
      <c r="HB86" t="s">
        <v>155</v>
      </c>
      <c r="HD86" t="s">
        <v>157</v>
      </c>
      <c r="HG86" t="s">
        <v>160</v>
      </c>
      <c r="HK86" t="s">
        <v>1522</v>
      </c>
      <c r="HM86" t="s">
        <v>1523</v>
      </c>
      <c r="HN86" t="s">
        <v>1524</v>
      </c>
      <c r="HP86" t="s">
        <v>1525</v>
      </c>
    </row>
    <row r="87" spans="2:224" x14ac:dyDescent="0.25">
      <c r="B87">
        <v>10472215585</v>
      </c>
      <c r="C87" t="s">
        <v>2383</v>
      </c>
      <c r="D87">
        <v>223959985</v>
      </c>
      <c r="E87" s="2">
        <v>43482.634247685193</v>
      </c>
      <c r="F87" s="2">
        <v>43482.635011574072</v>
      </c>
      <c r="G87" t="s">
        <v>904</v>
      </c>
      <c r="L87" t="s">
        <v>215</v>
      </c>
      <c r="N87">
        <v>1</v>
      </c>
      <c r="O87">
        <v>0</v>
      </c>
      <c r="P87">
        <v>0</v>
      </c>
      <c r="Q87">
        <v>0</v>
      </c>
      <c r="R87">
        <v>20</v>
      </c>
      <c r="S87">
        <v>20</v>
      </c>
      <c r="T87">
        <v>60</v>
      </c>
      <c r="U87" t="s">
        <v>261</v>
      </c>
      <c r="X87" t="s">
        <v>312</v>
      </c>
    </row>
    <row r="88" spans="2:224" x14ac:dyDescent="0.25">
      <c r="B88">
        <v>10472135420</v>
      </c>
      <c r="C88" t="s">
        <v>2383</v>
      </c>
      <c r="D88">
        <v>223959985</v>
      </c>
      <c r="E88" s="2">
        <v>43482.577881944453</v>
      </c>
      <c r="F88" s="2">
        <v>43482.591284722221</v>
      </c>
      <c r="G88" t="s">
        <v>904</v>
      </c>
      <c r="L88" t="s">
        <v>291</v>
      </c>
      <c r="N88">
        <v>3000</v>
      </c>
      <c r="O88">
        <v>90</v>
      </c>
      <c r="P88">
        <v>10</v>
      </c>
      <c r="Q88">
        <v>0</v>
      </c>
      <c r="R88">
        <v>0</v>
      </c>
      <c r="S88">
        <v>0</v>
      </c>
      <c r="T88">
        <v>0</v>
      </c>
      <c r="U88" t="s">
        <v>494</v>
      </c>
      <c r="V88" t="s">
        <v>1527</v>
      </c>
      <c r="W88" t="s">
        <v>2400</v>
      </c>
      <c r="X88" t="s">
        <v>166</v>
      </c>
      <c r="Y88" t="s">
        <v>1499</v>
      </c>
      <c r="AC88" t="s">
        <v>168</v>
      </c>
      <c r="AE88" t="s">
        <v>238</v>
      </c>
      <c r="AG88" t="s">
        <v>1528</v>
      </c>
      <c r="AH88" t="s">
        <v>2445</v>
      </c>
      <c r="AI88" t="s">
        <v>1529</v>
      </c>
      <c r="AJ88" t="s">
        <v>1459</v>
      </c>
      <c r="AK88" t="s">
        <v>1530</v>
      </c>
      <c r="AL88" t="s">
        <v>2445</v>
      </c>
      <c r="AM88" t="s">
        <v>1531</v>
      </c>
      <c r="AN88" t="s">
        <v>1532</v>
      </c>
      <c r="AO88" t="s">
        <v>1533</v>
      </c>
      <c r="AP88" t="s">
        <v>401</v>
      </c>
      <c r="AQ88" t="s">
        <v>401</v>
      </c>
      <c r="AR88" t="s">
        <v>401</v>
      </c>
      <c r="AS88" t="s">
        <v>401</v>
      </c>
      <c r="AU88" t="s">
        <v>178</v>
      </c>
      <c r="AV88">
        <v>1</v>
      </c>
      <c r="AW88" t="s">
        <v>223</v>
      </c>
      <c r="AX88" t="s">
        <v>402</v>
      </c>
      <c r="AY88">
        <v>1</v>
      </c>
      <c r="AZ88" t="s">
        <v>223</v>
      </c>
      <c r="BE88" t="s">
        <v>182</v>
      </c>
      <c r="BF88">
        <v>1</v>
      </c>
      <c r="BG88" t="s">
        <v>223</v>
      </c>
      <c r="BH88" t="s">
        <v>183</v>
      </c>
      <c r="BI88">
        <v>1</v>
      </c>
      <c r="BJ88" t="s">
        <v>223</v>
      </c>
      <c r="DD88" t="s">
        <v>1534</v>
      </c>
      <c r="DE88" t="s">
        <v>1535</v>
      </c>
      <c r="DF88" t="s">
        <v>1536</v>
      </c>
      <c r="DG88" t="s">
        <v>110</v>
      </c>
      <c r="DO88" t="s">
        <v>110</v>
      </c>
      <c r="DW88" t="s">
        <v>198</v>
      </c>
      <c r="DX88" t="s">
        <v>199</v>
      </c>
      <c r="DY88" t="s">
        <v>198</v>
      </c>
      <c r="EB88" t="s">
        <v>201</v>
      </c>
      <c r="ED88" t="s">
        <v>202</v>
      </c>
      <c r="EF88" t="s">
        <v>233</v>
      </c>
      <c r="EH88" t="s">
        <v>1537</v>
      </c>
      <c r="EI88" t="s">
        <v>1538</v>
      </c>
      <c r="EM88" t="s">
        <v>123</v>
      </c>
      <c r="ES88" t="s">
        <v>1539</v>
      </c>
      <c r="ET88" t="s">
        <v>198</v>
      </c>
      <c r="EU88" t="s">
        <v>198</v>
      </c>
      <c r="EV88" t="s">
        <v>198</v>
      </c>
      <c r="EY88" t="s">
        <v>209</v>
      </c>
      <c r="FA88" t="s">
        <v>202</v>
      </c>
      <c r="FB88" t="s">
        <v>203</v>
      </c>
      <c r="FG88" t="s">
        <v>113</v>
      </c>
      <c r="FO88" t="s">
        <v>113</v>
      </c>
      <c r="FT88" t="s">
        <v>200</v>
      </c>
      <c r="FU88" t="s">
        <v>200</v>
      </c>
      <c r="FW88" t="s">
        <v>424</v>
      </c>
      <c r="FX88" t="s">
        <v>198</v>
      </c>
      <c r="FY88" t="s">
        <v>424</v>
      </c>
      <c r="FZ88" t="s">
        <v>198</v>
      </c>
      <c r="GB88" t="s">
        <v>198</v>
      </c>
      <c r="GC88" t="s">
        <v>198</v>
      </c>
      <c r="GE88" t="s">
        <v>198</v>
      </c>
      <c r="GF88" t="s">
        <v>198</v>
      </c>
      <c r="GI88" t="s">
        <v>1540</v>
      </c>
      <c r="GO88" t="s">
        <v>1540</v>
      </c>
      <c r="GV88" t="s">
        <v>1541</v>
      </c>
      <c r="GW88" t="s">
        <v>150</v>
      </c>
      <c r="GX88" t="s">
        <v>151</v>
      </c>
      <c r="HB88" t="s">
        <v>155</v>
      </c>
      <c r="HC88" t="s">
        <v>156</v>
      </c>
      <c r="HD88" t="s">
        <v>157</v>
      </c>
      <c r="HE88" t="s">
        <v>158</v>
      </c>
      <c r="HF88" t="s">
        <v>159</v>
      </c>
      <c r="HG88" t="s">
        <v>160</v>
      </c>
      <c r="HI88" t="s">
        <v>162</v>
      </c>
      <c r="HK88" t="s">
        <v>1542</v>
      </c>
      <c r="HM88" t="s">
        <v>1543</v>
      </c>
      <c r="HN88" t="s">
        <v>1544</v>
      </c>
      <c r="HP88" t="s">
        <v>1545</v>
      </c>
    </row>
    <row r="89" spans="2:224" x14ac:dyDescent="0.25">
      <c r="B89">
        <v>10472129112</v>
      </c>
      <c r="C89" t="s">
        <v>2383</v>
      </c>
      <c r="D89">
        <v>223959985</v>
      </c>
      <c r="E89" s="2">
        <v>43482.573935185188</v>
      </c>
      <c r="F89" s="2">
        <v>43482.594918981478</v>
      </c>
      <c r="G89" t="s">
        <v>904</v>
      </c>
      <c r="L89" t="s">
        <v>260</v>
      </c>
      <c r="N89">
        <v>200</v>
      </c>
      <c r="O89">
        <v>60</v>
      </c>
      <c r="P89">
        <v>0</v>
      </c>
      <c r="Q89">
        <v>40</v>
      </c>
      <c r="R89">
        <v>0</v>
      </c>
      <c r="S89">
        <v>0</v>
      </c>
      <c r="T89">
        <v>0</v>
      </c>
      <c r="U89" t="s">
        <v>322</v>
      </c>
      <c r="V89" t="s">
        <v>1546</v>
      </c>
      <c r="W89" t="s">
        <v>186</v>
      </c>
      <c r="X89" t="s">
        <v>166</v>
      </c>
      <c r="Y89" t="s">
        <v>1459</v>
      </c>
      <c r="AC89" t="s">
        <v>1547</v>
      </c>
      <c r="AE89" t="s">
        <v>1547</v>
      </c>
      <c r="AG89" t="s">
        <v>1459</v>
      </c>
      <c r="AH89" t="s">
        <v>1459</v>
      </c>
      <c r="AI89" t="s">
        <v>170</v>
      </c>
      <c r="AJ89" t="s">
        <v>2438</v>
      </c>
      <c r="AK89" t="s">
        <v>1548</v>
      </c>
      <c r="AL89" t="s">
        <v>2446</v>
      </c>
      <c r="AM89" t="s">
        <v>1549</v>
      </c>
      <c r="AN89" t="s">
        <v>1549</v>
      </c>
      <c r="AP89" t="s">
        <v>322</v>
      </c>
      <c r="AQ89" t="s">
        <v>322</v>
      </c>
      <c r="AR89" t="s">
        <v>322</v>
      </c>
      <c r="AS89" t="s">
        <v>322</v>
      </c>
      <c r="BD89" t="s">
        <v>1550</v>
      </c>
      <c r="BT89" t="s">
        <v>1550</v>
      </c>
      <c r="DD89" t="s">
        <v>1551</v>
      </c>
      <c r="DE89" t="s">
        <v>1552</v>
      </c>
      <c r="DF89" t="s">
        <v>1553</v>
      </c>
      <c r="DG89" t="s">
        <v>110</v>
      </c>
      <c r="DO89" t="s">
        <v>110</v>
      </c>
      <c r="DP89" t="s">
        <v>111</v>
      </c>
      <c r="DQ89" t="s">
        <v>112</v>
      </c>
      <c r="DW89" t="s">
        <v>200</v>
      </c>
      <c r="DX89" t="s">
        <v>198</v>
      </c>
      <c r="DY89" t="s">
        <v>200</v>
      </c>
      <c r="EB89" t="s">
        <v>201</v>
      </c>
      <c r="ED89" t="s">
        <v>228</v>
      </c>
      <c r="EF89" t="s">
        <v>233</v>
      </c>
      <c r="EG89" t="s">
        <v>1554</v>
      </c>
      <c r="EH89" t="s">
        <v>1555</v>
      </c>
      <c r="EI89" t="s">
        <v>1556</v>
      </c>
      <c r="EJ89" t="s">
        <v>1557</v>
      </c>
      <c r="EK89" t="s">
        <v>1558</v>
      </c>
      <c r="EL89" t="s">
        <v>122</v>
      </c>
      <c r="EM89" t="s">
        <v>123</v>
      </c>
      <c r="ET89" t="s">
        <v>200</v>
      </c>
      <c r="EU89" t="s">
        <v>200</v>
      </c>
      <c r="EV89" t="s">
        <v>198</v>
      </c>
      <c r="EY89" t="s">
        <v>209</v>
      </c>
      <c r="FA89" t="s">
        <v>228</v>
      </c>
      <c r="FB89" t="s">
        <v>203</v>
      </c>
      <c r="GV89" t="s">
        <v>1559</v>
      </c>
      <c r="GY89" t="s">
        <v>152</v>
      </c>
      <c r="HB89" t="s">
        <v>155</v>
      </c>
      <c r="HC89" t="s">
        <v>156</v>
      </c>
      <c r="HF89" t="s">
        <v>159</v>
      </c>
      <c r="HK89" t="s">
        <v>1560</v>
      </c>
      <c r="HM89" t="s">
        <v>1561</v>
      </c>
      <c r="HN89" t="s">
        <v>1562</v>
      </c>
      <c r="HO89" t="s">
        <v>1563</v>
      </c>
      <c r="HP89" t="s">
        <v>1564</v>
      </c>
    </row>
    <row r="90" spans="2:224" x14ac:dyDescent="0.25">
      <c r="B90">
        <v>10472012947</v>
      </c>
      <c r="C90" t="s">
        <v>2383</v>
      </c>
      <c r="D90">
        <v>223959985</v>
      </c>
      <c r="E90" s="2">
        <v>43482.411377314813</v>
      </c>
      <c r="F90" s="2">
        <v>43482.536041666674</v>
      </c>
      <c r="G90" t="s">
        <v>904</v>
      </c>
      <c r="L90" t="s">
        <v>215</v>
      </c>
      <c r="N90">
        <v>3000</v>
      </c>
      <c r="O90">
        <v>75</v>
      </c>
      <c r="P90">
        <v>25</v>
      </c>
      <c r="Q90">
        <v>0</v>
      </c>
      <c r="R90">
        <v>0</v>
      </c>
      <c r="S90">
        <v>0</v>
      </c>
      <c r="T90">
        <v>0</v>
      </c>
      <c r="U90" t="s">
        <v>2394</v>
      </c>
      <c r="V90" t="s">
        <v>1565</v>
      </c>
      <c r="W90" t="s">
        <v>45</v>
      </c>
      <c r="X90" t="s">
        <v>166</v>
      </c>
      <c r="Y90" t="s">
        <v>1420</v>
      </c>
      <c r="AC90" t="s">
        <v>238</v>
      </c>
      <c r="AE90" t="s">
        <v>263</v>
      </c>
      <c r="AG90" t="s">
        <v>1566</v>
      </c>
      <c r="AH90" t="s">
        <v>2438</v>
      </c>
      <c r="AI90" t="s">
        <v>1567</v>
      </c>
      <c r="AJ90" t="s">
        <v>2439</v>
      </c>
      <c r="AK90" t="s">
        <v>1568</v>
      </c>
      <c r="AL90" t="s">
        <v>2438</v>
      </c>
      <c r="AM90" t="s">
        <v>1569</v>
      </c>
      <c r="AN90" t="s">
        <v>1570</v>
      </c>
      <c r="AP90" t="s">
        <v>261</v>
      </c>
      <c r="AQ90" t="s">
        <v>261</v>
      </c>
      <c r="AR90" t="s">
        <v>261</v>
      </c>
      <c r="AS90" t="s">
        <v>261</v>
      </c>
      <c r="AU90" t="s">
        <v>178</v>
      </c>
      <c r="BD90" t="s">
        <v>1571</v>
      </c>
      <c r="BE90" t="s">
        <v>1572</v>
      </c>
      <c r="BT90" t="s">
        <v>1573</v>
      </c>
      <c r="CD90" t="s">
        <v>1574</v>
      </c>
      <c r="DC90" t="s">
        <v>1575</v>
      </c>
      <c r="DD90" t="s">
        <v>1576</v>
      </c>
      <c r="DE90" t="s">
        <v>1577</v>
      </c>
      <c r="DF90" t="s">
        <v>1578</v>
      </c>
      <c r="DK90" t="s">
        <v>114</v>
      </c>
      <c r="DV90" t="s">
        <v>1579</v>
      </c>
      <c r="DW90" t="s">
        <v>198</v>
      </c>
      <c r="DX90" t="s">
        <v>199</v>
      </c>
      <c r="DY90" t="s">
        <v>198</v>
      </c>
      <c r="EB90" t="s">
        <v>201</v>
      </c>
      <c r="EC90" t="s">
        <v>1580</v>
      </c>
      <c r="ED90" t="s">
        <v>202</v>
      </c>
      <c r="EF90" t="s">
        <v>233</v>
      </c>
      <c r="EG90" t="s">
        <v>1581</v>
      </c>
      <c r="EH90" t="s">
        <v>1582</v>
      </c>
      <c r="EI90" t="s">
        <v>1583</v>
      </c>
      <c r="EM90" t="s">
        <v>123</v>
      </c>
      <c r="ET90" t="s">
        <v>198</v>
      </c>
      <c r="EU90" t="s">
        <v>199</v>
      </c>
      <c r="EV90" t="s">
        <v>198</v>
      </c>
      <c r="EY90" t="s">
        <v>209</v>
      </c>
      <c r="FA90" t="s">
        <v>228</v>
      </c>
      <c r="FB90" t="s">
        <v>433</v>
      </c>
      <c r="GV90" t="s">
        <v>1584</v>
      </c>
      <c r="GX90" t="s">
        <v>151</v>
      </c>
      <c r="HK90" t="s">
        <v>1585</v>
      </c>
      <c r="HM90" t="s">
        <v>1586</v>
      </c>
      <c r="HN90" t="s">
        <v>1587</v>
      </c>
      <c r="HO90" t="s">
        <v>1588</v>
      </c>
      <c r="HP90">
        <v>407329019</v>
      </c>
    </row>
    <row r="91" spans="2:224" x14ac:dyDescent="0.25">
      <c r="B91">
        <v>10471946749</v>
      </c>
      <c r="C91" t="s">
        <v>2383</v>
      </c>
      <c r="D91">
        <v>223959985</v>
      </c>
      <c r="E91" s="2">
        <v>43482.488645833328</v>
      </c>
      <c r="F91" s="2">
        <v>43482.573761574073</v>
      </c>
      <c r="G91" t="s">
        <v>904</v>
      </c>
      <c r="L91" t="s">
        <v>260</v>
      </c>
      <c r="N91">
        <v>2000</v>
      </c>
      <c r="O91">
        <v>75</v>
      </c>
      <c r="P91">
        <v>0</v>
      </c>
      <c r="Q91">
        <v>25</v>
      </c>
      <c r="R91">
        <v>0</v>
      </c>
      <c r="S91">
        <v>0</v>
      </c>
      <c r="T91">
        <v>0</v>
      </c>
      <c r="U91" t="s">
        <v>313</v>
      </c>
      <c r="V91" t="s">
        <v>1589</v>
      </c>
      <c r="W91" t="s">
        <v>1337</v>
      </c>
      <c r="X91" t="s">
        <v>312</v>
      </c>
      <c r="DM91" t="s">
        <v>116</v>
      </c>
      <c r="FT91" t="s">
        <v>200</v>
      </c>
      <c r="FU91" t="s">
        <v>200</v>
      </c>
      <c r="FW91" t="s">
        <v>198</v>
      </c>
      <c r="FX91" t="s">
        <v>198</v>
      </c>
      <c r="FY91" t="s">
        <v>198</v>
      </c>
      <c r="FZ91" t="s">
        <v>200</v>
      </c>
      <c r="GA91" t="s">
        <v>200</v>
      </c>
      <c r="GB91" t="s">
        <v>198</v>
      </c>
      <c r="GC91" t="s">
        <v>198</v>
      </c>
      <c r="GE91" t="s">
        <v>200</v>
      </c>
      <c r="GF91" t="s">
        <v>200</v>
      </c>
      <c r="GH91" t="s">
        <v>1490</v>
      </c>
      <c r="GI91" t="s">
        <v>1540</v>
      </c>
      <c r="GN91" t="s">
        <v>1490</v>
      </c>
      <c r="GO91" t="s">
        <v>1540</v>
      </c>
      <c r="GV91" t="s">
        <v>1590</v>
      </c>
      <c r="HB91" t="s">
        <v>155</v>
      </c>
      <c r="HC91" t="s">
        <v>156</v>
      </c>
      <c r="HH91" t="s">
        <v>161</v>
      </c>
      <c r="HI91" t="s">
        <v>162</v>
      </c>
      <c r="HK91" t="s">
        <v>1591</v>
      </c>
      <c r="HM91" t="s">
        <v>1592</v>
      </c>
      <c r="HN91" t="s">
        <v>1593</v>
      </c>
      <c r="HO91" t="s">
        <v>1594</v>
      </c>
      <c r="HP91" t="s">
        <v>1595</v>
      </c>
    </row>
    <row r="92" spans="2:224" x14ac:dyDescent="0.25">
      <c r="B92">
        <v>10471819176</v>
      </c>
      <c r="C92" t="s">
        <v>2383</v>
      </c>
      <c r="D92">
        <v>223959985</v>
      </c>
      <c r="E92" s="2">
        <v>43482.406192129631</v>
      </c>
      <c r="F92" s="2">
        <v>43482.465763888889</v>
      </c>
      <c r="G92" t="s">
        <v>904</v>
      </c>
      <c r="L92" t="s">
        <v>366</v>
      </c>
      <c r="N92">
        <v>12000</v>
      </c>
      <c r="O92">
        <v>70</v>
      </c>
      <c r="P92">
        <v>10</v>
      </c>
      <c r="Q92">
        <v>20</v>
      </c>
      <c r="R92">
        <v>0</v>
      </c>
      <c r="S92">
        <v>0</v>
      </c>
      <c r="T92">
        <v>0</v>
      </c>
      <c r="U92" t="s">
        <v>322</v>
      </c>
      <c r="V92" t="s">
        <v>1596</v>
      </c>
      <c r="W92" t="s">
        <v>1364</v>
      </c>
      <c r="X92" t="s">
        <v>166</v>
      </c>
      <c r="Y92" t="s">
        <v>1420</v>
      </c>
      <c r="AC92" t="s">
        <v>167</v>
      </c>
      <c r="AE92" t="s">
        <v>167</v>
      </c>
      <c r="AG92" t="s">
        <v>1597</v>
      </c>
      <c r="AH92" t="s">
        <v>2442</v>
      </c>
      <c r="AI92" t="s">
        <v>1501</v>
      </c>
      <c r="AJ92" t="s">
        <v>2438</v>
      </c>
      <c r="AK92" t="s">
        <v>1598</v>
      </c>
      <c r="AL92" t="s">
        <v>1459</v>
      </c>
      <c r="AM92" t="s">
        <v>1599</v>
      </c>
      <c r="AN92" t="s">
        <v>1600</v>
      </c>
      <c r="AO92" t="s">
        <v>1601</v>
      </c>
      <c r="AP92" t="s">
        <v>261</v>
      </c>
      <c r="AQ92" t="s">
        <v>261</v>
      </c>
      <c r="AR92" t="s">
        <v>261</v>
      </c>
      <c r="AS92" t="s">
        <v>261</v>
      </c>
      <c r="AU92" t="s">
        <v>402</v>
      </c>
      <c r="AV92">
        <v>1</v>
      </c>
      <c r="AW92" t="s">
        <v>223</v>
      </c>
      <c r="BE92" t="s">
        <v>679</v>
      </c>
      <c r="BF92">
        <v>1</v>
      </c>
      <c r="BG92" t="s">
        <v>223</v>
      </c>
      <c r="CD92" t="s">
        <v>1602</v>
      </c>
      <c r="DC92" t="s">
        <v>1602</v>
      </c>
      <c r="DD92" t="s">
        <v>1603</v>
      </c>
      <c r="DE92" t="s">
        <v>1604</v>
      </c>
      <c r="DF92" t="s">
        <v>1605</v>
      </c>
      <c r="DU92" t="s">
        <v>116</v>
      </c>
      <c r="DW92" t="s">
        <v>199</v>
      </c>
      <c r="DX92" t="s">
        <v>424</v>
      </c>
      <c r="DY92" t="s">
        <v>198</v>
      </c>
      <c r="EA92" t="s">
        <v>1606</v>
      </c>
      <c r="EB92" t="s">
        <v>1451</v>
      </c>
      <c r="ED92" t="s">
        <v>202</v>
      </c>
      <c r="EF92" t="s">
        <v>233</v>
      </c>
      <c r="EH92" t="s">
        <v>1607</v>
      </c>
      <c r="ER92" t="s">
        <v>127</v>
      </c>
      <c r="ET92" t="s">
        <v>198</v>
      </c>
      <c r="EU92" t="s">
        <v>200</v>
      </c>
      <c r="EV92" t="s">
        <v>198</v>
      </c>
      <c r="EY92">
        <v>0</v>
      </c>
      <c r="FA92" t="s">
        <v>228</v>
      </c>
      <c r="FB92" t="s">
        <v>233</v>
      </c>
      <c r="FT92" t="s">
        <v>198</v>
      </c>
      <c r="FU92" t="s">
        <v>198</v>
      </c>
      <c r="FW92" t="s">
        <v>198</v>
      </c>
      <c r="FX92" t="s">
        <v>198</v>
      </c>
      <c r="FY92" t="s">
        <v>200</v>
      </c>
      <c r="FZ92" t="s">
        <v>200</v>
      </c>
      <c r="GA92" t="s">
        <v>200</v>
      </c>
      <c r="GB92" t="s">
        <v>198</v>
      </c>
      <c r="GC92" t="s">
        <v>424</v>
      </c>
      <c r="GE92" t="s">
        <v>198</v>
      </c>
      <c r="GF92" t="s">
        <v>424</v>
      </c>
      <c r="GR92" t="s">
        <v>1608</v>
      </c>
      <c r="GT92" t="s">
        <v>1609</v>
      </c>
      <c r="GU92" t="s">
        <v>1610</v>
      </c>
      <c r="GV92" t="s">
        <v>1611</v>
      </c>
      <c r="GX92" t="s">
        <v>151</v>
      </c>
      <c r="HB92" t="s">
        <v>155</v>
      </c>
      <c r="HC92" t="s">
        <v>156</v>
      </c>
      <c r="HI92" t="s">
        <v>162</v>
      </c>
      <c r="HJ92" t="s">
        <v>1612</v>
      </c>
      <c r="HK92" t="s">
        <v>1613</v>
      </c>
      <c r="HM92" t="s">
        <v>1614</v>
      </c>
      <c r="HN92" t="s">
        <v>258</v>
      </c>
      <c r="HO92" t="s">
        <v>1615</v>
      </c>
      <c r="HP92" t="s">
        <v>1616</v>
      </c>
    </row>
    <row r="93" spans="2:224" x14ac:dyDescent="0.25">
      <c r="B93">
        <v>10656132316</v>
      </c>
      <c r="C93" t="s">
        <v>2383</v>
      </c>
      <c r="D93">
        <v>224510252</v>
      </c>
      <c r="E93" s="2">
        <v>43566.479953703703</v>
      </c>
      <c r="F93" s="2">
        <v>43566.494062500002</v>
      </c>
      <c r="G93" t="s">
        <v>163</v>
      </c>
      <c r="L93" t="s">
        <v>310</v>
      </c>
      <c r="N93">
        <v>380</v>
      </c>
      <c r="O93">
        <v>70</v>
      </c>
      <c r="P93">
        <v>20</v>
      </c>
      <c r="Q93">
        <v>10</v>
      </c>
      <c r="R93">
        <v>0</v>
      </c>
      <c r="S93">
        <v>0</v>
      </c>
      <c r="T93">
        <v>0</v>
      </c>
      <c r="U93" t="s">
        <v>216</v>
      </c>
      <c r="V93" t="s">
        <v>1618</v>
      </c>
      <c r="W93" t="s">
        <v>2401</v>
      </c>
      <c r="X93" t="s">
        <v>166</v>
      </c>
      <c r="Y93" t="s">
        <v>1499</v>
      </c>
      <c r="AC93" t="s">
        <v>263</v>
      </c>
      <c r="AE93" t="s">
        <v>263</v>
      </c>
      <c r="AG93" t="s">
        <v>1619</v>
      </c>
      <c r="AH93" t="s">
        <v>169</v>
      </c>
      <c r="AI93" t="s">
        <v>1620</v>
      </c>
      <c r="AJ93" t="s">
        <v>2438</v>
      </c>
      <c r="AK93" t="s">
        <v>1621</v>
      </c>
      <c r="AL93" t="s">
        <v>1459</v>
      </c>
      <c r="AM93" t="s">
        <v>1622</v>
      </c>
      <c r="AN93" t="s">
        <v>1623</v>
      </c>
      <c r="AP93" t="s">
        <v>261</v>
      </c>
      <c r="AQ93" t="s">
        <v>261</v>
      </c>
      <c r="AR93">
        <v>0</v>
      </c>
      <c r="AS93" t="s">
        <v>261</v>
      </c>
      <c r="AU93" t="s">
        <v>402</v>
      </c>
      <c r="AW93" t="s">
        <v>223</v>
      </c>
      <c r="AX93" t="s">
        <v>178</v>
      </c>
      <c r="AZ93" t="s">
        <v>223</v>
      </c>
      <c r="BD93" t="s">
        <v>1624</v>
      </c>
      <c r="BE93" t="s">
        <v>182</v>
      </c>
      <c r="BG93" t="s">
        <v>223</v>
      </c>
      <c r="BH93" t="s">
        <v>180</v>
      </c>
      <c r="BJ93" t="s">
        <v>223</v>
      </c>
      <c r="BK93" t="s">
        <v>183</v>
      </c>
      <c r="BM93" t="s">
        <v>223</v>
      </c>
      <c r="BT93" t="s">
        <v>1625</v>
      </c>
      <c r="BU93" t="s">
        <v>184</v>
      </c>
      <c r="CE93" t="s">
        <v>186</v>
      </c>
      <c r="CH93" t="s">
        <v>189</v>
      </c>
      <c r="DD93" t="s">
        <v>1626</v>
      </c>
      <c r="DH93" t="s">
        <v>111</v>
      </c>
      <c r="DN93" t="s">
        <v>1627</v>
      </c>
      <c r="DV93" t="s">
        <v>1628</v>
      </c>
      <c r="DW93" t="s">
        <v>198</v>
      </c>
      <c r="DX93" t="s">
        <v>198</v>
      </c>
      <c r="DY93" t="s">
        <v>198</v>
      </c>
      <c r="DZ93" t="s">
        <v>198</v>
      </c>
      <c r="EB93" t="s">
        <v>201</v>
      </c>
      <c r="ED93" t="s">
        <v>228</v>
      </c>
      <c r="EF93" t="s">
        <v>233</v>
      </c>
      <c r="EG93" t="s">
        <v>1629</v>
      </c>
      <c r="EH93" t="s">
        <v>1630</v>
      </c>
      <c r="EO93" t="s">
        <v>113</v>
      </c>
      <c r="EQ93" t="s">
        <v>126</v>
      </c>
      <c r="ER93" t="s">
        <v>127</v>
      </c>
      <c r="ET93" t="s">
        <v>198</v>
      </c>
      <c r="EU93" t="s">
        <v>198</v>
      </c>
      <c r="EV93" t="s">
        <v>200</v>
      </c>
      <c r="EW93" t="s">
        <v>200</v>
      </c>
      <c r="EX93" t="s">
        <v>1631</v>
      </c>
      <c r="EY93">
        <v>0</v>
      </c>
      <c r="FA93" t="s">
        <v>202</v>
      </c>
      <c r="FB93" t="s">
        <v>433</v>
      </c>
      <c r="FC93" t="s">
        <v>1632</v>
      </c>
      <c r="GV93" t="s">
        <v>1633</v>
      </c>
      <c r="GX93" t="s">
        <v>151</v>
      </c>
      <c r="HG93" t="s">
        <v>160</v>
      </c>
      <c r="HH93" t="s">
        <v>161</v>
      </c>
      <c r="HK93" t="s">
        <v>1634</v>
      </c>
      <c r="HM93" t="s">
        <v>1635</v>
      </c>
      <c r="HN93" t="s">
        <v>1636</v>
      </c>
      <c r="HP93" t="s">
        <v>1637</v>
      </c>
    </row>
    <row r="94" spans="2:224" x14ac:dyDescent="0.25">
      <c r="B94">
        <v>10647674065</v>
      </c>
      <c r="C94" t="s">
        <v>2383</v>
      </c>
      <c r="D94">
        <v>224510252</v>
      </c>
      <c r="E94" s="2">
        <v>43563.596655092602</v>
      </c>
      <c r="F94" s="2">
        <v>43563.609340277777</v>
      </c>
      <c r="G94" t="s">
        <v>163</v>
      </c>
      <c r="L94" t="s">
        <v>215</v>
      </c>
      <c r="N94">
        <v>607</v>
      </c>
      <c r="O94">
        <v>70</v>
      </c>
      <c r="P94">
        <v>0</v>
      </c>
      <c r="Q94">
        <v>30</v>
      </c>
      <c r="R94">
        <v>0</v>
      </c>
      <c r="S94">
        <v>0</v>
      </c>
      <c r="T94">
        <v>0</v>
      </c>
      <c r="U94" t="s">
        <v>2394</v>
      </c>
      <c r="V94" t="s">
        <v>1639</v>
      </c>
      <c r="W94" t="s">
        <v>2397</v>
      </c>
      <c r="X94" t="s">
        <v>312</v>
      </c>
      <c r="FT94" t="s">
        <v>198</v>
      </c>
      <c r="FU94" t="s">
        <v>199</v>
      </c>
      <c r="FV94" t="s">
        <v>1640</v>
      </c>
      <c r="FW94" t="s">
        <v>198</v>
      </c>
      <c r="FX94" t="s">
        <v>198</v>
      </c>
      <c r="FY94" t="s">
        <v>198</v>
      </c>
      <c r="FZ94" t="s">
        <v>200</v>
      </c>
      <c r="GA94" t="s">
        <v>200</v>
      </c>
      <c r="GB94" t="s">
        <v>200</v>
      </c>
      <c r="GC94" t="s">
        <v>200</v>
      </c>
      <c r="GD94" t="s">
        <v>1641</v>
      </c>
      <c r="GE94" t="s">
        <v>198</v>
      </c>
      <c r="GF94" t="s">
        <v>199</v>
      </c>
      <c r="GH94" t="s">
        <v>1490</v>
      </c>
      <c r="GJ94" t="s">
        <v>772</v>
      </c>
      <c r="GK94" t="s">
        <v>1438</v>
      </c>
      <c r="GL94" t="s">
        <v>1608</v>
      </c>
      <c r="GN94" t="s">
        <v>1490</v>
      </c>
      <c r="GP94" t="s">
        <v>772</v>
      </c>
      <c r="GQ94" t="s">
        <v>1438</v>
      </c>
      <c r="GR94" t="s">
        <v>1608</v>
      </c>
      <c r="GT94" t="s">
        <v>1642</v>
      </c>
      <c r="GV94" t="s">
        <v>1643</v>
      </c>
      <c r="HB94" t="s">
        <v>155</v>
      </c>
      <c r="HD94" t="s">
        <v>157</v>
      </c>
      <c r="HK94" t="s">
        <v>1644</v>
      </c>
      <c r="HN94" t="s">
        <v>1645</v>
      </c>
      <c r="HP94" t="s">
        <v>1646</v>
      </c>
    </row>
    <row r="95" spans="2:224" x14ac:dyDescent="0.25">
      <c r="B95">
        <v>10647650652</v>
      </c>
      <c r="C95" t="s">
        <v>2383</v>
      </c>
      <c r="D95">
        <v>224510252</v>
      </c>
      <c r="E95" s="2">
        <v>43563.447685185187</v>
      </c>
      <c r="F95" s="2">
        <v>43563.586840277778</v>
      </c>
      <c r="G95" t="s">
        <v>163</v>
      </c>
      <c r="L95" t="s">
        <v>260</v>
      </c>
      <c r="N95">
        <v>2600</v>
      </c>
      <c r="O95">
        <v>75</v>
      </c>
      <c r="P95">
        <v>0</v>
      </c>
      <c r="Q95">
        <v>5</v>
      </c>
      <c r="R95">
        <v>0</v>
      </c>
      <c r="S95">
        <v>20</v>
      </c>
      <c r="T95">
        <v>0</v>
      </c>
      <c r="U95" t="s">
        <v>261</v>
      </c>
      <c r="V95" t="s">
        <v>905</v>
      </c>
      <c r="W95" t="s">
        <v>1334</v>
      </c>
      <c r="X95" t="s">
        <v>312</v>
      </c>
      <c r="FT95" t="s">
        <v>200</v>
      </c>
      <c r="FU95" t="s">
        <v>200</v>
      </c>
      <c r="FW95" t="s">
        <v>198</v>
      </c>
      <c r="FX95" t="s">
        <v>424</v>
      </c>
      <c r="FY95" t="s">
        <v>198</v>
      </c>
      <c r="FZ95" t="s">
        <v>199</v>
      </c>
      <c r="GA95" t="s">
        <v>199</v>
      </c>
      <c r="GB95" t="s">
        <v>198</v>
      </c>
      <c r="GC95" t="s">
        <v>198</v>
      </c>
      <c r="GE95" t="s">
        <v>200</v>
      </c>
      <c r="GF95" t="s">
        <v>198</v>
      </c>
      <c r="GH95" t="s">
        <v>1490</v>
      </c>
      <c r="GI95" t="s">
        <v>1540</v>
      </c>
      <c r="GL95" t="s">
        <v>1608</v>
      </c>
      <c r="GN95" t="s">
        <v>1490</v>
      </c>
      <c r="GO95" t="s">
        <v>1540</v>
      </c>
      <c r="GP95" t="s">
        <v>772</v>
      </c>
      <c r="GQ95" t="s">
        <v>1438</v>
      </c>
      <c r="GR95" t="s">
        <v>1608</v>
      </c>
      <c r="GV95" t="s">
        <v>1647</v>
      </c>
      <c r="GX95" t="s">
        <v>151</v>
      </c>
      <c r="HH95" t="s">
        <v>161</v>
      </c>
      <c r="HI95" t="s">
        <v>162</v>
      </c>
      <c r="HK95" t="s">
        <v>235</v>
      </c>
      <c r="HM95" t="s">
        <v>1648</v>
      </c>
      <c r="HN95" t="s">
        <v>1649</v>
      </c>
    </row>
    <row r="96" spans="2:224" x14ac:dyDescent="0.25">
      <c r="B96">
        <v>10647609012</v>
      </c>
      <c r="C96" t="s">
        <v>2383</v>
      </c>
      <c r="D96">
        <v>224510252</v>
      </c>
      <c r="E96" s="2">
        <v>43563.548391203702</v>
      </c>
      <c r="F96" s="2">
        <v>43563.555543981478</v>
      </c>
      <c r="G96" t="s">
        <v>163</v>
      </c>
      <c r="L96" t="s">
        <v>366</v>
      </c>
      <c r="N96">
        <v>1200</v>
      </c>
      <c r="O96">
        <v>50</v>
      </c>
      <c r="P96">
        <v>25</v>
      </c>
      <c r="Q96">
        <v>25</v>
      </c>
      <c r="R96">
        <v>0</v>
      </c>
      <c r="S96">
        <v>0</v>
      </c>
      <c r="T96">
        <v>0</v>
      </c>
      <c r="U96" t="s">
        <v>2394</v>
      </c>
      <c r="V96" t="s">
        <v>1650</v>
      </c>
      <c r="W96" t="s">
        <v>45</v>
      </c>
      <c r="X96" t="s">
        <v>166</v>
      </c>
      <c r="Y96" t="s">
        <v>1499</v>
      </c>
      <c r="AC96" t="s">
        <v>238</v>
      </c>
      <c r="AE96" t="s">
        <v>238</v>
      </c>
      <c r="AG96" t="s">
        <v>1651</v>
      </c>
      <c r="AH96" t="s">
        <v>169</v>
      </c>
      <c r="AI96" t="s">
        <v>1652</v>
      </c>
      <c r="AJ96" t="s">
        <v>169</v>
      </c>
      <c r="AK96" t="s">
        <v>1653</v>
      </c>
      <c r="AL96" t="s">
        <v>1459</v>
      </c>
      <c r="AN96" t="s">
        <v>1654</v>
      </c>
      <c r="AP96" t="s">
        <v>322</v>
      </c>
      <c r="AQ96" t="s">
        <v>322</v>
      </c>
      <c r="AR96" t="s">
        <v>401</v>
      </c>
      <c r="AS96" t="s">
        <v>322</v>
      </c>
      <c r="AU96" t="s">
        <v>176</v>
      </c>
      <c r="BD96" t="s">
        <v>1655</v>
      </c>
      <c r="BE96" t="s">
        <v>182</v>
      </c>
      <c r="DD96" t="s">
        <v>1656</v>
      </c>
      <c r="DE96" t="s">
        <v>595</v>
      </c>
      <c r="DF96" t="s">
        <v>1657</v>
      </c>
      <c r="DN96" t="s">
        <v>1658</v>
      </c>
      <c r="DW96" t="s">
        <v>199</v>
      </c>
      <c r="DX96" t="s">
        <v>199</v>
      </c>
      <c r="DY96" t="s">
        <v>198</v>
      </c>
      <c r="DZ96" t="s">
        <v>198</v>
      </c>
      <c r="EB96" t="s">
        <v>201</v>
      </c>
      <c r="ED96" t="s">
        <v>228</v>
      </c>
      <c r="EE96" t="s">
        <v>1659</v>
      </c>
      <c r="EF96" t="s">
        <v>233</v>
      </c>
      <c r="EH96" t="s">
        <v>1660</v>
      </c>
      <c r="GV96" t="s">
        <v>1661</v>
      </c>
      <c r="GX96" t="s">
        <v>151</v>
      </c>
      <c r="HD96" t="s">
        <v>157</v>
      </c>
      <c r="HF96" t="s">
        <v>159</v>
      </c>
      <c r="HK96" t="s">
        <v>1662</v>
      </c>
      <c r="HM96" t="s">
        <v>1663</v>
      </c>
      <c r="HN96" t="s">
        <v>1664</v>
      </c>
      <c r="HP96" t="s">
        <v>1665</v>
      </c>
    </row>
    <row r="97" spans="2:224" x14ac:dyDescent="0.25">
      <c r="B97">
        <v>10647559791</v>
      </c>
      <c r="C97" t="s">
        <v>2383</v>
      </c>
      <c r="D97">
        <v>224510252</v>
      </c>
      <c r="E97" s="2">
        <v>43563.500810185193</v>
      </c>
      <c r="F97" s="2">
        <v>43563.519479166673</v>
      </c>
      <c r="G97" t="s">
        <v>163</v>
      </c>
      <c r="L97" t="s">
        <v>366</v>
      </c>
      <c r="N97">
        <v>2500</v>
      </c>
      <c r="O97">
        <v>80</v>
      </c>
      <c r="P97">
        <v>10</v>
      </c>
      <c r="Q97">
        <v>10</v>
      </c>
      <c r="R97">
        <v>0</v>
      </c>
      <c r="S97">
        <v>0</v>
      </c>
      <c r="T97">
        <v>0</v>
      </c>
      <c r="U97" t="s">
        <v>216</v>
      </c>
      <c r="V97" t="s">
        <v>1666</v>
      </c>
      <c r="W97" t="s">
        <v>2398</v>
      </c>
      <c r="X97" t="s">
        <v>166</v>
      </c>
      <c r="Y97" t="s">
        <v>1420</v>
      </c>
      <c r="AC97" t="s">
        <v>238</v>
      </c>
      <c r="AE97" t="s">
        <v>238</v>
      </c>
      <c r="AG97" t="s">
        <v>1619</v>
      </c>
      <c r="AH97" t="s">
        <v>169</v>
      </c>
      <c r="AI97" t="s">
        <v>1667</v>
      </c>
      <c r="AJ97" t="s">
        <v>169</v>
      </c>
      <c r="AM97" t="s">
        <v>1668</v>
      </c>
      <c r="AN97" t="s">
        <v>1669</v>
      </c>
      <c r="AP97" t="s">
        <v>401</v>
      </c>
      <c r="AQ97" t="s">
        <v>401</v>
      </c>
      <c r="AR97" t="s">
        <v>401</v>
      </c>
      <c r="AS97" t="s">
        <v>401</v>
      </c>
      <c r="AU97" t="s">
        <v>178</v>
      </c>
      <c r="BD97" t="s">
        <v>1670</v>
      </c>
      <c r="BE97" t="s">
        <v>182</v>
      </c>
      <c r="BT97" t="s">
        <v>1671</v>
      </c>
      <c r="DD97" t="s">
        <v>1672</v>
      </c>
      <c r="DE97" t="s">
        <v>1673</v>
      </c>
      <c r="DH97" t="s">
        <v>111</v>
      </c>
      <c r="DP97" t="s">
        <v>111</v>
      </c>
      <c r="DW97" t="s">
        <v>198</v>
      </c>
      <c r="DX97" t="s">
        <v>199</v>
      </c>
      <c r="DY97" t="s">
        <v>198</v>
      </c>
      <c r="DZ97" t="s">
        <v>198</v>
      </c>
      <c r="EB97" t="s">
        <v>201</v>
      </c>
      <c r="ED97" t="s">
        <v>202</v>
      </c>
      <c r="EF97" t="s">
        <v>203</v>
      </c>
      <c r="EH97" t="s">
        <v>1674</v>
      </c>
      <c r="GV97" t="s">
        <v>1675</v>
      </c>
      <c r="GW97" t="s">
        <v>150</v>
      </c>
      <c r="GZ97" t="s">
        <v>153</v>
      </c>
      <c r="HB97" t="s">
        <v>155</v>
      </c>
      <c r="HH97" t="s">
        <v>161</v>
      </c>
      <c r="HK97" t="s">
        <v>1676</v>
      </c>
      <c r="HM97" t="s">
        <v>1677</v>
      </c>
      <c r="HN97" t="s">
        <v>308</v>
      </c>
      <c r="HP97" t="s">
        <v>1678</v>
      </c>
    </row>
    <row r="98" spans="2:224" x14ac:dyDescent="0.25">
      <c r="B98">
        <v>10647501623</v>
      </c>
      <c r="C98" t="s">
        <v>2383</v>
      </c>
      <c r="D98">
        <v>224510252</v>
      </c>
      <c r="E98" s="2">
        <v>43563.46770833333</v>
      </c>
      <c r="F98" s="2">
        <v>43563.478414351863</v>
      </c>
      <c r="G98" t="s">
        <v>163</v>
      </c>
      <c r="L98" t="s">
        <v>315</v>
      </c>
      <c r="N98">
        <v>1500</v>
      </c>
      <c r="O98">
        <v>55</v>
      </c>
      <c r="P98">
        <v>30</v>
      </c>
      <c r="Q98">
        <v>15</v>
      </c>
      <c r="R98">
        <v>0</v>
      </c>
      <c r="S98">
        <v>0</v>
      </c>
      <c r="T98">
        <v>0</v>
      </c>
      <c r="U98" t="s">
        <v>2394</v>
      </c>
      <c r="V98" t="s">
        <v>1679</v>
      </c>
      <c r="W98" t="s">
        <v>1336</v>
      </c>
      <c r="X98" t="s">
        <v>166</v>
      </c>
      <c r="Y98" t="s">
        <v>1420</v>
      </c>
      <c r="AC98" t="s">
        <v>263</v>
      </c>
      <c r="AE98" t="s">
        <v>263</v>
      </c>
      <c r="AG98" t="s">
        <v>1680</v>
      </c>
      <c r="AH98" t="s">
        <v>169</v>
      </c>
      <c r="AN98" t="s">
        <v>1681</v>
      </c>
      <c r="AP98" t="s">
        <v>175</v>
      </c>
      <c r="AQ98" t="s">
        <v>175</v>
      </c>
      <c r="AR98" t="s">
        <v>175</v>
      </c>
      <c r="AS98" t="s">
        <v>245</v>
      </c>
      <c r="AU98" t="s">
        <v>178</v>
      </c>
      <c r="AX98" t="s">
        <v>176</v>
      </c>
      <c r="BE98" t="s">
        <v>182</v>
      </c>
      <c r="CE98" t="s">
        <v>186</v>
      </c>
      <c r="CH98" t="s">
        <v>187</v>
      </c>
      <c r="DD98" t="s">
        <v>1684</v>
      </c>
      <c r="DE98" t="s">
        <v>1685</v>
      </c>
      <c r="DG98" t="s">
        <v>110</v>
      </c>
      <c r="DI98" t="s">
        <v>112</v>
      </c>
      <c r="DO98" t="s">
        <v>110</v>
      </c>
      <c r="DQ98" t="s">
        <v>112</v>
      </c>
      <c r="DW98" t="s">
        <v>199</v>
      </c>
      <c r="DX98" t="s">
        <v>199</v>
      </c>
      <c r="DY98" t="s">
        <v>198</v>
      </c>
      <c r="DZ98" t="s">
        <v>198</v>
      </c>
      <c r="EA98" t="s">
        <v>1686</v>
      </c>
      <c r="EB98" t="s">
        <v>201</v>
      </c>
      <c r="ED98" t="s">
        <v>228</v>
      </c>
      <c r="EF98" t="s">
        <v>203</v>
      </c>
      <c r="EH98" t="s">
        <v>1687</v>
      </c>
      <c r="EI98" t="s">
        <v>1688</v>
      </c>
      <c r="ES98" t="s">
        <v>1689</v>
      </c>
      <c r="ET98" t="s">
        <v>200</v>
      </c>
      <c r="EU98" t="s">
        <v>200</v>
      </c>
      <c r="EV98" t="s">
        <v>200</v>
      </c>
      <c r="EW98" t="s">
        <v>200</v>
      </c>
      <c r="EY98" t="s">
        <v>209</v>
      </c>
      <c r="FA98" t="s">
        <v>202</v>
      </c>
      <c r="GV98" t="s">
        <v>1690</v>
      </c>
      <c r="GW98" t="s">
        <v>150</v>
      </c>
      <c r="GX98" t="s">
        <v>151</v>
      </c>
      <c r="HD98" t="s">
        <v>157</v>
      </c>
      <c r="HF98" t="s">
        <v>159</v>
      </c>
      <c r="HK98" t="s">
        <v>1691</v>
      </c>
      <c r="HM98" t="s">
        <v>1692</v>
      </c>
      <c r="HN98" t="s">
        <v>1693</v>
      </c>
      <c r="HP98" t="s">
        <v>1694</v>
      </c>
    </row>
    <row r="99" spans="2:224" x14ac:dyDescent="0.25">
      <c r="B99">
        <v>10647473749</v>
      </c>
      <c r="C99" t="s">
        <v>2383</v>
      </c>
      <c r="D99">
        <v>224510252</v>
      </c>
      <c r="E99" s="2">
        <v>43563.4528125</v>
      </c>
      <c r="F99" s="2">
        <v>43563.458171296297</v>
      </c>
      <c r="G99" t="s">
        <v>163</v>
      </c>
      <c r="L99" t="s">
        <v>366</v>
      </c>
      <c r="N99">
        <v>600</v>
      </c>
      <c r="O99">
        <v>60</v>
      </c>
      <c r="P99">
        <v>30</v>
      </c>
      <c r="Q99">
        <v>10</v>
      </c>
      <c r="R99">
        <v>0</v>
      </c>
      <c r="S99">
        <v>0</v>
      </c>
      <c r="T99">
        <v>0</v>
      </c>
      <c r="U99" t="s">
        <v>330</v>
      </c>
      <c r="V99" t="s">
        <v>1696</v>
      </c>
      <c r="W99" t="s">
        <v>2402</v>
      </c>
      <c r="X99" t="s">
        <v>166</v>
      </c>
      <c r="Y99" t="s">
        <v>1420</v>
      </c>
      <c r="AC99" t="s">
        <v>263</v>
      </c>
      <c r="AE99" t="s">
        <v>238</v>
      </c>
      <c r="AG99" t="s">
        <v>1697</v>
      </c>
      <c r="AH99" t="s">
        <v>2438</v>
      </c>
      <c r="AI99" t="s">
        <v>1698</v>
      </c>
      <c r="AJ99" t="s">
        <v>2439</v>
      </c>
      <c r="AK99" t="s">
        <v>1680</v>
      </c>
      <c r="AL99" t="s">
        <v>169</v>
      </c>
      <c r="AM99" t="s">
        <v>1699</v>
      </c>
      <c r="AN99" t="s">
        <v>1699</v>
      </c>
      <c r="AO99" t="s">
        <v>1700</v>
      </c>
      <c r="AP99" t="s">
        <v>261</v>
      </c>
      <c r="AQ99" t="s">
        <v>261</v>
      </c>
      <c r="AR99">
        <v>0</v>
      </c>
      <c r="AS99" t="s">
        <v>261</v>
      </c>
      <c r="BD99" t="s">
        <v>1701</v>
      </c>
      <c r="BE99" t="s">
        <v>182</v>
      </c>
      <c r="BT99" t="s">
        <v>968</v>
      </c>
      <c r="CE99" t="s">
        <v>191</v>
      </c>
      <c r="CH99" t="s">
        <v>186</v>
      </c>
      <c r="DD99" t="s">
        <v>1702</v>
      </c>
      <c r="DE99" t="s">
        <v>1703</v>
      </c>
      <c r="DG99" t="s">
        <v>110</v>
      </c>
      <c r="DH99" t="s">
        <v>111</v>
      </c>
      <c r="DN99" t="s">
        <v>1704</v>
      </c>
      <c r="DV99" t="s">
        <v>1705</v>
      </c>
      <c r="DW99" t="s">
        <v>199</v>
      </c>
      <c r="DX99" t="s">
        <v>200</v>
      </c>
      <c r="DY99" t="s">
        <v>198</v>
      </c>
      <c r="DZ99" t="s">
        <v>198</v>
      </c>
      <c r="EB99" t="s">
        <v>201</v>
      </c>
      <c r="ED99" t="s">
        <v>228</v>
      </c>
      <c r="EF99" t="s">
        <v>233</v>
      </c>
      <c r="EG99" t="s">
        <v>1706</v>
      </c>
      <c r="EH99" t="s">
        <v>1707</v>
      </c>
      <c r="EQ99" t="s">
        <v>126</v>
      </c>
      <c r="ER99" t="s">
        <v>127</v>
      </c>
      <c r="ET99" t="s">
        <v>200</v>
      </c>
      <c r="EU99" t="s">
        <v>200</v>
      </c>
      <c r="EV99" t="s">
        <v>199</v>
      </c>
      <c r="EW99" t="s">
        <v>200</v>
      </c>
      <c r="EY99">
        <v>0</v>
      </c>
      <c r="FA99" t="s">
        <v>202</v>
      </c>
      <c r="FB99" t="s">
        <v>203</v>
      </c>
      <c r="FC99" t="s">
        <v>1708</v>
      </c>
      <c r="GV99" t="s">
        <v>1709</v>
      </c>
      <c r="GW99" t="s">
        <v>150</v>
      </c>
      <c r="GX99" t="s">
        <v>151</v>
      </c>
      <c r="HB99" t="s">
        <v>155</v>
      </c>
      <c r="HD99" t="s">
        <v>157</v>
      </c>
      <c r="HH99" t="s">
        <v>161</v>
      </c>
      <c r="HM99" t="s">
        <v>1710</v>
      </c>
      <c r="HN99" t="s">
        <v>1711</v>
      </c>
    </row>
    <row r="100" spans="2:224" x14ac:dyDescent="0.25">
      <c r="B100">
        <v>10640244373</v>
      </c>
      <c r="C100" t="s">
        <v>2383</v>
      </c>
      <c r="D100">
        <v>224510252</v>
      </c>
      <c r="E100" s="2">
        <v>43559.606793981482</v>
      </c>
      <c r="F100" s="2">
        <v>43559.636377314811</v>
      </c>
      <c r="G100" t="s">
        <v>163</v>
      </c>
      <c r="L100" t="s">
        <v>310</v>
      </c>
      <c r="N100">
        <v>650</v>
      </c>
      <c r="O100">
        <v>70</v>
      </c>
      <c r="P100">
        <v>10</v>
      </c>
      <c r="Q100">
        <v>20</v>
      </c>
      <c r="R100">
        <v>0</v>
      </c>
      <c r="S100">
        <v>0</v>
      </c>
      <c r="T100">
        <v>0</v>
      </c>
      <c r="U100" t="s">
        <v>261</v>
      </c>
      <c r="V100" t="s">
        <v>1712</v>
      </c>
      <c r="W100" t="s">
        <v>1334</v>
      </c>
      <c r="X100" t="s">
        <v>166</v>
      </c>
      <c r="Y100" t="s">
        <v>1420</v>
      </c>
      <c r="AC100" t="s">
        <v>263</v>
      </c>
      <c r="AE100" t="s">
        <v>263</v>
      </c>
      <c r="AG100" t="s">
        <v>1475</v>
      </c>
      <c r="AH100" t="s">
        <v>1459</v>
      </c>
      <c r="AI100" t="s">
        <v>1697</v>
      </c>
      <c r="AJ100" t="s">
        <v>2438</v>
      </c>
      <c r="AK100" t="s">
        <v>1713</v>
      </c>
      <c r="AL100" t="s">
        <v>2446</v>
      </c>
      <c r="AM100" t="s">
        <v>1714</v>
      </c>
      <c r="AN100" t="s">
        <v>1714</v>
      </c>
      <c r="AO100" t="s">
        <v>1714</v>
      </c>
      <c r="AP100" t="s">
        <v>261</v>
      </c>
      <c r="AQ100" t="s">
        <v>261</v>
      </c>
      <c r="AR100" t="s">
        <v>261</v>
      </c>
      <c r="AS100" t="s">
        <v>261</v>
      </c>
      <c r="AT100" t="s">
        <v>1715</v>
      </c>
      <c r="BE100" t="s">
        <v>182</v>
      </c>
      <c r="BU100" t="s">
        <v>184</v>
      </c>
      <c r="CE100" t="s">
        <v>186</v>
      </c>
      <c r="CH100" t="s">
        <v>188</v>
      </c>
      <c r="CK100" t="s">
        <v>190</v>
      </c>
      <c r="CN100" t="s">
        <v>189</v>
      </c>
      <c r="CQ100" t="s">
        <v>323</v>
      </c>
      <c r="CT100" t="s">
        <v>191</v>
      </c>
      <c r="CW100" t="s">
        <v>224</v>
      </c>
      <c r="CZ100" t="s">
        <v>192</v>
      </c>
      <c r="DD100" t="s">
        <v>1716</v>
      </c>
      <c r="DE100" t="s">
        <v>1717</v>
      </c>
      <c r="DG100" t="s">
        <v>110</v>
      </c>
      <c r="DH100" t="s">
        <v>111</v>
      </c>
      <c r="DI100" t="s">
        <v>112</v>
      </c>
      <c r="DL100" t="s">
        <v>115</v>
      </c>
      <c r="DO100" t="s">
        <v>110</v>
      </c>
      <c r="DP100" t="s">
        <v>111</v>
      </c>
      <c r="DQ100" t="s">
        <v>112</v>
      </c>
      <c r="DT100" t="s">
        <v>115</v>
      </c>
      <c r="DW100" t="s">
        <v>198</v>
      </c>
      <c r="DX100" t="s">
        <v>198</v>
      </c>
      <c r="DY100" t="s">
        <v>198</v>
      </c>
      <c r="DZ100" t="s">
        <v>198</v>
      </c>
      <c r="EB100" t="s">
        <v>201</v>
      </c>
      <c r="ED100" t="s">
        <v>228</v>
      </c>
      <c r="EE100" t="s">
        <v>1718</v>
      </c>
      <c r="EF100" t="s">
        <v>203</v>
      </c>
      <c r="EH100" t="s">
        <v>1719</v>
      </c>
      <c r="GV100" t="s">
        <v>1720</v>
      </c>
      <c r="GX100" t="s">
        <v>151</v>
      </c>
      <c r="HB100" t="s">
        <v>155</v>
      </c>
      <c r="HM100" t="s">
        <v>1721</v>
      </c>
      <c r="HN100" t="s">
        <v>1722</v>
      </c>
    </row>
    <row r="101" spans="2:224" x14ac:dyDescent="0.25">
      <c r="B101">
        <v>10640212604</v>
      </c>
      <c r="C101" t="s">
        <v>2383</v>
      </c>
      <c r="D101">
        <v>224510252</v>
      </c>
      <c r="E101" s="2">
        <v>43559.516030092593</v>
      </c>
      <c r="F101" s="2">
        <v>43559.613495370373</v>
      </c>
      <c r="G101" t="s">
        <v>163</v>
      </c>
      <c r="L101" t="s">
        <v>260</v>
      </c>
      <c r="N101">
        <v>2000</v>
      </c>
      <c r="O101">
        <v>80</v>
      </c>
      <c r="P101">
        <v>0</v>
      </c>
      <c r="Q101">
        <v>0</v>
      </c>
      <c r="R101">
        <v>0</v>
      </c>
      <c r="S101">
        <v>20</v>
      </c>
      <c r="T101">
        <v>0</v>
      </c>
      <c r="U101" t="s">
        <v>313</v>
      </c>
      <c r="V101" t="s">
        <v>905</v>
      </c>
      <c r="W101" t="s">
        <v>1334</v>
      </c>
      <c r="X101" t="s">
        <v>312</v>
      </c>
      <c r="FT101" t="s">
        <v>200</v>
      </c>
      <c r="FU101" t="s">
        <v>200</v>
      </c>
      <c r="FW101" t="s">
        <v>200</v>
      </c>
      <c r="FX101" t="s">
        <v>198</v>
      </c>
      <c r="FY101" t="s">
        <v>200</v>
      </c>
      <c r="FZ101" t="s">
        <v>200</v>
      </c>
      <c r="GA101" t="s">
        <v>199</v>
      </c>
      <c r="GB101" t="s">
        <v>198</v>
      </c>
      <c r="GC101" t="s">
        <v>198</v>
      </c>
      <c r="GE101" t="s">
        <v>200</v>
      </c>
      <c r="GF101" t="s">
        <v>198</v>
      </c>
      <c r="GJ101" t="s">
        <v>772</v>
      </c>
      <c r="GK101" t="s">
        <v>1438</v>
      </c>
      <c r="GL101" t="s">
        <v>1608</v>
      </c>
      <c r="GP101" t="s">
        <v>772</v>
      </c>
      <c r="GQ101" t="s">
        <v>1438</v>
      </c>
      <c r="GR101" t="s">
        <v>1608</v>
      </c>
      <c r="GV101" t="s">
        <v>1723</v>
      </c>
      <c r="GX101" t="s">
        <v>151</v>
      </c>
      <c r="HB101" t="s">
        <v>155</v>
      </c>
      <c r="HH101" t="s">
        <v>161</v>
      </c>
      <c r="HI101" t="s">
        <v>162</v>
      </c>
      <c r="HK101" t="s">
        <v>1724</v>
      </c>
      <c r="HM101" t="s">
        <v>1725</v>
      </c>
    </row>
    <row r="102" spans="2:224" x14ac:dyDescent="0.25">
      <c r="B102">
        <v>10640127025</v>
      </c>
      <c r="C102" t="s">
        <v>2383</v>
      </c>
      <c r="D102">
        <v>224510252</v>
      </c>
      <c r="E102" s="2">
        <v>43559.553078703713</v>
      </c>
      <c r="F102" s="2">
        <v>43559.573611111111</v>
      </c>
      <c r="G102" t="s">
        <v>163</v>
      </c>
      <c r="L102" t="s">
        <v>164</v>
      </c>
      <c r="N102">
        <v>1200</v>
      </c>
      <c r="O102">
        <v>80</v>
      </c>
      <c r="P102">
        <v>0</v>
      </c>
      <c r="Q102">
        <v>0</v>
      </c>
      <c r="R102">
        <v>0</v>
      </c>
      <c r="S102">
        <v>0</v>
      </c>
      <c r="T102">
        <v>0</v>
      </c>
      <c r="U102" t="s">
        <v>216</v>
      </c>
      <c r="V102" t="s">
        <v>1726</v>
      </c>
      <c r="W102" t="s">
        <v>2421</v>
      </c>
      <c r="X102" t="s">
        <v>166</v>
      </c>
      <c r="Y102" t="s">
        <v>1420</v>
      </c>
      <c r="AC102" t="s">
        <v>263</v>
      </c>
      <c r="AE102" t="s">
        <v>263</v>
      </c>
      <c r="AG102" t="s">
        <v>1727</v>
      </c>
      <c r="AH102" t="s">
        <v>2442</v>
      </c>
      <c r="AI102" t="s">
        <v>1728</v>
      </c>
      <c r="AJ102" t="s">
        <v>2446</v>
      </c>
      <c r="AK102" t="s">
        <v>1729</v>
      </c>
      <c r="AL102" t="s">
        <v>1459</v>
      </c>
      <c r="AN102" t="s">
        <v>1730</v>
      </c>
      <c r="AP102" t="s">
        <v>401</v>
      </c>
      <c r="AQ102" t="s">
        <v>401</v>
      </c>
      <c r="AR102" t="s">
        <v>401</v>
      </c>
      <c r="AS102" t="s">
        <v>401</v>
      </c>
      <c r="AU102" t="s">
        <v>178</v>
      </c>
      <c r="BE102" t="s">
        <v>182</v>
      </c>
      <c r="BU102" t="s">
        <v>184</v>
      </c>
      <c r="CE102" t="s">
        <v>191</v>
      </c>
      <c r="CH102" t="s">
        <v>323</v>
      </c>
      <c r="DD102" t="s">
        <v>1731</v>
      </c>
      <c r="DN102" t="s">
        <v>1732</v>
      </c>
      <c r="DV102" t="s">
        <v>1733</v>
      </c>
      <c r="DW102" t="s">
        <v>199</v>
      </c>
      <c r="DX102" t="s">
        <v>199</v>
      </c>
      <c r="DY102" t="s">
        <v>198</v>
      </c>
      <c r="DZ102" t="s">
        <v>198</v>
      </c>
      <c r="EB102" t="s">
        <v>201</v>
      </c>
      <c r="ED102" t="s">
        <v>228</v>
      </c>
      <c r="EF102" t="s">
        <v>233</v>
      </c>
      <c r="EH102" t="s">
        <v>1734</v>
      </c>
      <c r="EI102" t="s">
        <v>1735</v>
      </c>
      <c r="EL102" t="s">
        <v>122</v>
      </c>
      <c r="EM102" t="s">
        <v>123</v>
      </c>
      <c r="ET102" t="s">
        <v>198</v>
      </c>
      <c r="EU102" t="s">
        <v>199</v>
      </c>
      <c r="EV102" t="s">
        <v>198</v>
      </c>
      <c r="EW102" t="s">
        <v>198</v>
      </c>
      <c r="EY102" t="s">
        <v>209</v>
      </c>
      <c r="FA102" t="s">
        <v>228</v>
      </c>
      <c r="FB102" t="s">
        <v>233</v>
      </c>
      <c r="GV102" t="s">
        <v>1736</v>
      </c>
      <c r="GX102" t="s">
        <v>151</v>
      </c>
      <c r="GY102" t="s">
        <v>152</v>
      </c>
      <c r="HD102" t="s">
        <v>157</v>
      </c>
      <c r="HK102" t="s">
        <v>1737</v>
      </c>
      <c r="HM102" t="s">
        <v>1738</v>
      </c>
      <c r="HN102" t="s">
        <v>1711</v>
      </c>
      <c r="HP102" t="s">
        <v>1739</v>
      </c>
    </row>
    <row r="103" spans="2:224" x14ac:dyDescent="0.25">
      <c r="B103">
        <v>10640059086</v>
      </c>
      <c r="C103" t="s">
        <v>2383</v>
      </c>
      <c r="D103">
        <v>224510252</v>
      </c>
      <c r="E103" s="2">
        <v>43559.502997685187</v>
      </c>
      <c r="F103" s="2">
        <v>43559.522858796299</v>
      </c>
      <c r="G103" t="s">
        <v>163</v>
      </c>
      <c r="L103" t="s">
        <v>366</v>
      </c>
      <c r="N103">
        <v>2300</v>
      </c>
      <c r="O103">
        <v>70</v>
      </c>
      <c r="P103">
        <v>0</v>
      </c>
      <c r="Q103">
        <v>20</v>
      </c>
      <c r="R103">
        <v>0</v>
      </c>
      <c r="S103">
        <v>10</v>
      </c>
      <c r="T103">
        <v>0</v>
      </c>
      <c r="U103" t="s">
        <v>322</v>
      </c>
      <c r="V103" t="s">
        <v>1740</v>
      </c>
      <c r="W103" t="s">
        <v>1326</v>
      </c>
      <c r="X103" t="s">
        <v>166</v>
      </c>
      <c r="Y103" t="s">
        <v>1459</v>
      </c>
      <c r="AC103" t="s">
        <v>263</v>
      </c>
      <c r="AE103" t="s">
        <v>263</v>
      </c>
      <c r="AG103" t="s">
        <v>1741</v>
      </c>
      <c r="AH103" t="s">
        <v>169</v>
      </c>
      <c r="AN103" t="s">
        <v>1730</v>
      </c>
      <c r="AP103" t="s">
        <v>401</v>
      </c>
      <c r="AQ103" t="s">
        <v>401</v>
      </c>
      <c r="AR103" t="s">
        <v>401</v>
      </c>
      <c r="AS103" t="s">
        <v>401</v>
      </c>
      <c r="AU103" t="s">
        <v>178</v>
      </c>
      <c r="BD103" t="s">
        <v>1742</v>
      </c>
      <c r="BE103" t="s">
        <v>182</v>
      </c>
      <c r="DD103" t="s">
        <v>1743</v>
      </c>
      <c r="DE103" t="s">
        <v>1744</v>
      </c>
      <c r="DN103" t="s">
        <v>1745</v>
      </c>
      <c r="DO103" t="s">
        <v>110</v>
      </c>
      <c r="DW103" t="s">
        <v>199</v>
      </c>
      <c r="DX103" t="s">
        <v>199</v>
      </c>
      <c r="DY103" t="s">
        <v>198</v>
      </c>
      <c r="DZ103" t="s">
        <v>198</v>
      </c>
      <c r="EB103" t="s">
        <v>201</v>
      </c>
      <c r="ED103" t="s">
        <v>228</v>
      </c>
      <c r="EF103" t="s">
        <v>233</v>
      </c>
      <c r="EG103" t="s">
        <v>1746</v>
      </c>
      <c r="EH103" t="s">
        <v>1747</v>
      </c>
      <c r="EL103" t="s">
        <v>122</v>
      </c>
      <c r="EM103" t="s">
        <v>123</v>
      </c>
      <c r="GV103" t="s">
        <v>1748</v>
      </c>
      <c r="GX103" t="s">
        <v>151</v>
      </c>
      <c r="HB103" t="s">
        <v>155</v>
      </c>
      <c r="HK103" t="s">
        <v>1749</v>
      </c>
      <c r="HM103" t="s">
        <v>1750</v>
      </c>
      <c r="HN103" t="s">
        <v>1751</v>
      </c>
      <c r="HP103" t="s">
        <v>1752</v>
      </c>
    </row>
    <row r="104" spans="2:224" x14ac:dyDescent="0.25">
      <c r="B104">
        <v>10639977069</v>
      </c>
      <c r="C104" t="s">
        <v>2383</v>
      </c>
      <c r="D104">
        <v>224510252</v>
      </c>
      <c r="E104" s="2">
        <v>43559.474803240737</v>
      </c>
      <c r="F104" s="2">
        <v>43559.481840277767</v>
      </c>
      <c r="G104" t="s">
        <v>163</v>
      </c>
      <c r="L104" t="s">
        <v>260</v>
      </c>
      <c r="N104">
        <v>50</v>
      </c>
      <c r="O104">
        <v>100</v>
      </c>
      <c r="P104">
        <v>0</v>
      </c>
      <c r="Q104">
        <v>0</v>
      </c>
      <c r="R104">
        <v>0</v>
      </c>
      <c r="S104">
        <v>0</v>
      </c>
      <c r="T104">
        <v>0</v>
      </c>
      <c r="U104" t="s">
        <v>401</v>
      </c>
      <c r="V104" t="s">
        <v>44</v>
      </c>
      <c r="W104" t="s">
        <v>44</v>
      </c>
      <c r="X104" t="s">
        <v>312</v>
      </c>
      <c r="FT104" t="s">
        <v>200</v>
      </c>
      <c r="FU104" t="s">
        <v>199</v>
      </c>
      <c r="FW104" t="s">
        <v>200</v>
      </c>
      <c r="FX104" t="s">
        <v>198</v>
      </c>
      <c r="FY104" t="s">
        <v>200</v>
      </c>
      <c r="FZ104" t="s">
        <v>200</v>
      </c>
      <c r="GA104" t="s">
        <v>200</v>
      </c>
      <c r="GB104" t="s">
        <v>200</v>
      </c>
      <c r="GC104" t="s">
        <v>200</v>
      </c>
      <c r="GD104" t="s">
        <v>1753</v>
      </c>
      <c r="GE104" t="s">
        <v>200</v>
      </c>
      <c r="GF104" t="s">
        <v>199</v>
      </c>
      <c r="GT104" t="s">
        <v>1754</v>
      </c>
      <c r="GV104" t="s">
        <v>1755</v>
      </c>
      <c r="GW104" t="s">
        <v>150</v>
      </c>
      <c r="GX104" t="s">
        <v>151</v>
      </c>
      <c r="HC104" t="s">
        <v>156</v>
      </c>
      <c r="HK104" t="s">
        <v>313</v>
      </c>
      <c r="HM104" t="s">
        <v>653</v>
      </c>
      <c r="HN104" t="s">
        <v>1756</v>
      </c>
      <c r="HP104" t="s">
        <v>1757</v>
      </c>
    </row>
    <row r="105" spans="2:224" x14ac:dyDescent="0.25">
      <c r="B105">
        <v>10639943258</v>
      </c>
      <c r="C105" t="s">
        <v>2383</v>
      </c>
      <c r="D105">
        <v>224510252</v>
      </c>
      <c r="E105" s="2">
        <v>43559.459421296298</v>
      </c>
      <c r="F105" s="2">
        <v>43559.463576388887</v>
      </c>
      <c r="G105" t="s">
        <v>163</v>
      </c>
      <c r="L105" t="s">
        <v>310</v>
      </c>
      <c r="N105">
        <v>200</v>
      </c>
      <c r="O105">
        <v>765</v>
      </c>
      <c r="P105">
        <v>25</v>
      </c>
      <c r="Q105">
        <v>0</v>
      </c>
      <c r="R105">
        <v>0</v>
      </c>
      <c r="S105">
        <v>0</v>
      </c>
      <c r="T105">
        <v>0</v>
      </c>
      <c r="U105" t="s">
        <v>322</v>
      </c>
      <c r="V105" t="s">
        <v>1208</v>
      </c>
      <c r="W105" t="s">
        <v>1334</v>
      </c>
      <c r="X105" t="s">
        <v>312</v>
      </c>
      <c r="FT105" t="s">
        <v>199</v>
      </c>
      <c r="FU105" t="s">
        <v>199</v>
      </c>
      <c r="FV105" t="s">
        <v>1759</v>
      </c>
      <c r="FW105" t="s">
        <v>424</v>
      </c>
      <c r="FX105" t="s">
        <v>424</v>
      </c>
      <c r="FY105" t="s">
        <v>424</v>
      </c>
      <c r="FZ105" t="s">
        <v>200</v>
      </c>
      <c r="GA105" t="s">
        <v>200</v>
      </c>
      <c r="GB105" t="s">
        <v>200</v>
      </c>
      <c r="GC105" t="s">
        <v>200</v>
      </c>
      <c r="GE105" t="s">
        <v>199</v>
      </c>
      <c r="GF105" t="s">
        <v>199</v>
      </c>
      <c r="GH105" t="s">
        <v>1490</v>
      </c>
      <c r="GI105" t="s">
        <v>1540</v>
      </c>
      <c r="GN105" t="s">
        <v>1490</v>
      </c>
      <c r="GO105" t="s">
        <v>1540</v>
      </c>
      <c r="GT105" t="s">
        <v>1760</v>
      </c>
      <c r="GV105" t="s">
        <v>1761</v>
      </c>
      <c r="HB105" t="s">
        <v>155</v>
      </c>
      <c r="HG105" t="s">
        <v>160</v>
      </c>
      <c r="HI105" t="s">
        <v>162</v>
      </c>
      <c r="HJ105" t="s">
        <v>1762</v>
      </c>
      <c r="HK105" t="s">
        <v>1763</v>
      </c>
      <c r="HM105" t="s">
        <v>1764</v>
      </c>
      <c r="HN105" t="s">
        <v>806</v>
      </c>
      <c r="HP105" t="s">
        <v>1765</v>
      </c>
    </row>
    <row r="106" spans="2:224" x14ac:dyDescent="0.25">
      <c r="B106">
        <v>10637330774</v>
      </c>
      <c r="C106" t="s">
        <v>2383</v>
      </c>
      <c r="D106">
        <v>224510252</v>
      </c>
      <c r="E106" s="2">
        <v>43558.591643518521</v>
      </c>
      <c r="F106" s="2">
        <v>43558.592824074083</v>
      </c>
      <c r="G106" t="s">
        <v>163</v>
      </c>
      <c r="L106" t="s">
        <v>366</v>
      </c>
      <c r="N106">
        <v>1400</v>
      </c>
      <c r="O106">
        <v>60</v>
      </c>
      <c r="P106">
        <v>20</v>
      </c>
      <c r="Q106">
        <v>20</v>
      </c>
      <c r="R106">
        <v>0</v>
      </c>
      <c r="S106">
        <v>0</v>
      </c>
      <c r="T106">
        <v>0</v>
      </c>
      <c r="U106" t="s">
        <v>494</v>
      </c>
      <c r="V106" t="s">
        <v>1767</v>
      </c>
      <c r="W106" t="s">
        <v>1365</v>
      </c>
      <c r="X106" t="s">
        <v>312</v>
      </c>
      <c r="FT106" t="s">
        <v>198</v>
      </c>
      <c r="FU106" t="s">
        <v>198</v>
      </c>
      <c r="FW106" t="s">
        <v>200</v>
      </c>
      <c r="FX106" t="s">
        <v>200</v>
      </c>
      <c r="FY106" t="s">
        <v>200</v>
      </c>
      <c r="FZ106" t="s">
        <v>200</v>
      </c>
      <c r="GA106" t="s">
        <v>200</v>
      </c>
      <c r="GB106" t="s">
        <v>200</v>
      </c>
      <c r="GC106" t="s">
        <v>200</v>
      </c>
      <c r="GD106" t="s">
        <v>1768</v>
      </c>
      <c r="GE106" t="s">
        <v>200</v>
      </c>
      <c r="GF106" t="s">
        <v>198</v>
      </c>
      <c r="GH106" t="s">
        <v>1490</v>
      </c>
      <c r="GI106" t="s">
        <v>1540</v>
      </c>
      <c r="GN106" t="s">
        <v>1490</v>
      </c>
      <c r="GO106" t="s">
        <v>1540</v>
      </c>
    </row>
    <row r="107" spans="2:224" x14ac:dyDescent="0.25">
      <c r="B107">
        <v>10637309319</v>
      </c>
      <c r="C107" t="s">
        <v>2383</v>
      </c>
      <c r="D107">
        <v>224510252</v>
      </c>
      <c r="E107" s="2">
        <v>43558.57539351852</v>
      </c>
      <c r="F107" s="2">
        <v>43558.584722222222</v>
      </c>
      <c r="G107" t="s">
        <v>163</v>
      </c>
      <c r="L107" t="s">
        <v>366</v>
      </c>
      <c r="N107">
        <v>2200</v>
      </c>
      <c r="O107">
        <v>50</v>
      </c>
      <c r="P107">
        <v>25</v>
      </c>
      <c r="Q107">
        <v>25</v>
      </c>
      <c r="R107">
        <v>0</v>
      </c>
      <c r="S107">
        <v>0</v>
      </c>
      <c r="T107">
        <v>0</v>
      </c>
      <c r="U107" t="s">
        <v>2394</v>
      </c>
      <c r="V107" t="s">
        <v>1769</v>
      </c>
      <c r="W107" t="s">
        <v>2403</v>
      </c>
      <c r="X107" t="s">
        <v>166</v>
      </c>
      <c r="Y107" t="s">
        <v>1420</v>
      </c>
      <c r="AC107" t="s">
        <v>238</v>
      </c>
      <c r="AE107" t="s">
        <v>238</v>
      </c>
      <c r="AG107" t="s">
        <v>171</v>
      </c>
      <c r="AH107" t="s">
        <v>2438</v>
      </c>
      <c r="AI107" t="s">
        <v>1475</v>
      </c>
      <c r="AJ107" t="s">
        <v>1459</v>
      </c>
      <c r="AK107" t="s">
        <v>1770</v>
      </c>
      <c r="AL107" t="s">
        <v>2442</v>
      </c>
      <c r="AM107" t="s">
        <v>1771</v>
      </c>
      <c r="AN107" t="s">
        <v>1772</v>
      </c>
      <c r="AP107" t="s">
        <v>401</v>
      </c>
      <c r="AQ107" t="s">
        <v>401</v>
      </c>
      <c r="AR107" t="s">
        <v>401</v>
      </c>
      <c r="AS107" t="s">
        <v>401</v>
      </c>
      <c r="AU107" t="s">
        <v>178</v>
      </c>
      <c r="BE107" t="s">
        <v>182</v>
      </c>
      <c r="BT107" t="s">
        <v>1773</v>
      </c>
      <c r="BU107" t="s">
        <v>184</v>
      </c>
      <c r="CE107" t="s">
        <v>186</v>
      </c>
      <c r="CH107" t="s">
        <v>191</v>
      </c>
      <c r="DD107" t="s">
        <v>1774</v>
      </c>
      <c r="DG107" t="s">
        <v>110</v>
      </c>
      <c r="DO107" t="s">
        <v>110</v>
      </c>
      <c r="DV107" t="s">
        <v>1775</v>
      </c>
      <c r="DW107" t="s">
        <v>199</v>
      </c>
      <c r="DX107" t="s">
        <v>199</v>
      </c>
      <c r="DY107" t="s">
        <v>198</v>
      </c>
      <c r="DZ107" t="s">
        <v>198</v>
      </c>
      <c r="EB107" t="s">
        <v>201</v>
      </c>
      <c r="ED107" t="s">
        <v>228</v>
      </c>
      <c r="EE107" t="s">
        <v>1776</v>
      </c>
      <c r="EF107" t="s">
        <v>203</v>
      </c>
      <c r="EH107" t="s">
        <v>1777</v>
      </c>
      <c r="EL107" t="s">
        <v>122</v>
      </c>
      <c r="ES107" t="s">
        <v>1778</v>
      </c>
      <c r="ET107" t="s">
        <v>200</v>
      </c>
      <c r="EU107" t="s">
        <v>200</v>
      </c>
      <c r="EV107" t="s">
        <v>200</v>
      </c>
      <c r="EW107" t="s">
        <v>200</v>
      </c>
      <c r="FA107" t="s">
        <v>202</v>
      </c>
      <c r="FB107" t="s">
        <v>203</v>
      </c>
      <c r="GV107" t="s">
        <v>1779</v>
      </c>
      <c r="GX107" t="s">
        <v>151</v>
      </c>
      <c r="GY107" t="s">
        <v>152</v>
      </c>
      <c r="HB107" t="s">
        <v>155</v>
      </c>
      <c r="HM107" t="s">
        <v>1780</v>
      </c>
      <c r="HN107" t="s">
        <v>1781</v>
      </c>
      <c r="HP107" t="s">
        <v>1782</v>
      </c>
    </row>
    <row r="108" spans="2:224" x14ac:dyDescent="0.25">
      <c r="B108">
        <v>10637306986</v>
      </c>
      <c r="C108" t="s">
        <v>2383</v>
      </c>
      <c r="D108">
        <v>224510252</v>
      </c>
      <c r="E108" s="2">
        <v>43558.574618055558</v>
      </c>
      <c r="F108" s="2">
        <v>43558.575300925928</v>
      </c>
      <c r="G108" t="s">
        <v>163</v>
      </c>
      <c r="L108" t="s">
        <v>366</v>
      </c>
      <c r="N108">
        <v>1400</v>
      </c>
      <c r="O108">
        <v>60</v>
      </c>
      <c r="P108">
        <v>20</v>
      </c>
      <c r="Q108">
        <v>20</v>
      </c>
      <c r="R108">
        <v>0</v>
      </c>
      <c r="S108">
        <v>0</v>
      </c>
      <c r="T108">
        <v>0</v>
      </c>
      <c r="U108" t="s">
        <v>494</v>
      </c>
      <c r="V108" t="s">
        <v>1767</v>
      </c>
      <c r="W108" t="s">
        <v>2403</v>
      </c>
      <c r="X108" t="s">
        <v>312</v>
      </c>
    </row>
    <row r="109" spans="2:224" x14ac:dyDescent="0.25">
      <c r="B109">
        <v>10637289803</v>
      </c>
      <c r="C109" t="s">
        <v>2383</v>
      </c>
      <c r="D109">
        <v>224510252</v>
      </c>
      <c r="E109" s="2">
        <v>43558.562361111108</v>
      </c>
      <c r="F109" s="2">
        <v>43558.566365740742</v>
      </c>
      <c r="G109" t="s">
        <v>163</v>
      </c>
      <c r="L109" t="s">
        <v>366</v>
      </c>
      <c r="N109">
        <v>590</v>
      </c>
      <c r="O109">
        <v>80</v>
      </c>
      <c r="P109">
        <v>10</v>
      </c>
      <c r="Q109">
        <v>5</v>
      </c>
      <c r="R109">
        <v>5</v>
      </c>
      <c r="S109">
        <v>0</v>
      </c>
      <c r="T109">
        <v>0</v>
      </c>
      <c r="U109" t="s">
        <v>216</v>
      </c>
      <c r="V109" t="s">
        <v>905</v>
      </c>
      <c r="W109" t="s">
        <v>1334</v>
      </c>
      <c r="X109" t="s">
        <v>312</v>
      </c>
      <c r="FT109" t="s">
        <v>198</v>
      </c>
      <c r="FU109" t="s">
        <v>199</v>
      </c>
      <c r="FV109" t="s">
        <v>1783</v>
      </c>
      <c r="FW109" t="s">
        <v>200</v>
      </c>
      <c r="FX109" t="s">
        <v>198</v>
      </c>
      <c r="FY109" t="s">
        <v>200</v>
      </c>
      <c r="FZ109" t="s">
        <v>198</v>
      </c>
      <c r="GA109" t="s">
        <v>200</v>
      </c>
      <c r="GB109" t="s">
        <v>198</v>
      </c>
      <c r="GC109" t="s">
        <v>198</v>
      </c>
      <c r="GD109" t="s">
        <v>1784</v>
      </c>
      <c r="GE109" t="s">
        <v>198</v>
      </c>
      <c r="GF109" t="s">
        <v>198</v>
      </c>
      <c r="GH109" t="s">
        <v>1490</v>
      </c>
      <c r="GI109" t="s">
        <v>1540</v>
      </c>
      <c r="GJ109" t="s">
        <v>772</v>
      </c>
      <c r="GK109" t="s">
        <v>1438</v>
      </c>
      <c r="GL109" t="s">
        <v>1608</v>
      </c>
      <c r="GN109" t="s">
        <v>1490</v>
      </c>
      <c r="GO109" t="s">
        <v>1540</v>
      </c>
      <c r="GP109" t="s">
        <v>772</v>
      </c>
      <c r="GQ109" t="s">
        <v>1438</v>
      </c>
      <c r="GR109" t="s">
        <v>1608</v>
      </c>
      <c r="GV109" t="s">
        <v>1785</v>
      </c>
      <c r="GX109" t="s">
        <v>151</v>
      </c>
      <c r="GY109" t="s">
        <v>152</v>
      </c>
      <c r="HB109" t="s">
        <v>155</v>
      </c>
      <c r="HD109" t="s">
        <v>157</v>
      </c>
      <c r="HK109" t="s">
        <v>1786</v>
      </c>
    </row>
    <row r="110" spans="2:224" x14ac:dyDescent="0.25">
      <c r="B110">
        <v>10637269306</v>
      </c>
      <c r="C110" t="s">
        <v>2383</v>
      </c>
      <c r="D110">
        <v>224510252</v>
      </c>
      <c r="E110" s="2">
        <v>43558.548194444447</v>
      </c>
      <c r="F110" s="2">
        <v>43558.561099537037</v>
      </c>
      <c r="G110" t="s">
        <v>163</v>
      </c>
      <c r="L110" t="s">
        <v>366</v>
      </c>
      <c r="N110">
        <v>1200</v>
      </c>
      <c r="O110">
        <v>80</v>
      </c>
      <c r="P110">
        <v>10</v>
      </c>
      <c r="Q110">
        <v>5</v>
      </c>
      <c r="R110">
        <v>0</v>
      </c>
      <c r="S110">
        <v>5</v>
      </c>
      <c r="T110">
        <v>0</v>
      </c>
      <c r="U110" t="s">
        <v>261</v>
      </c>
      <c r="V110" t="s">
        <v>1787</v>
      </c>
      <c r="W110" t="s">
        <v>1365</v>
      </c>
      <c r="X110" t="s">
        <v>166</v>
      </c>
      <c r="Y110" t="s">
        <v>1499</v>
      </c>
      <c r="AC110" t="s">
        <v>168</v>
      </c>
      <c r="AE110" t="s">
        <v>168</v>
      </c>
      <c r="AG110" t="s">
        <v>1788</v>
      </c>
      <c r="AH110" t="s">
        <v>2438</v>
      </c>
      <c r="AI110" t="s">
        <v>1621</v>
      </c>
      <c r="AJ110" t="s">
        <v>1459</v>
      </c>
      <c r="AK110" t="s">
        <v>1789</v>
      </c>
      <c r="AL110" t="s">
        <v>169</v>
      </c>
      <c r="AN110" t="s">
        <v>1790</v>
      </c>
      <c r="AP110" t="s">
        <v>245</v>
      </c>
      <c r="AQ110" t="s">
        <v>245</v>
      </c>
      <c r="AR110" t="s">
        <v>245</v>
      </c>
      <c r="AS110" t="s">
        <v>245</v>
      </c>
      <c r="AU110" t="s">
        <v>178</v>
      </c>
      <c r="BE110" t="s">
        <v>182</v>
      </c>
      <c r="BU110" t="s">
        <v>184</v>
      </c>
      <c r="CE110" t="s">
        <v>186</v>
      </c>
      <c r="CH110" t="s">
        <v>188</v>
      </c>
      <c r="CK110" t="s">
        <v>191</v>
      </c>
      <c r="DD110" t="s">
        <v>1791</v>
      </c>
      <c r="DH110" t="s">
        <v>111</v>
      </c>
      <c r="DP110" t="s">
        <v>111</v>
      </c>
      <c r="DW110" t="s">
        <v>198</v>
      </c>
      <c r="DX110" t="s">
        <v>200</v>
      </c>
      <c r="DY110" t="s">
        <v>198</v>
      </c>
      <c r="DZ110" t="s">
        <v>198</v>
      </c>
      <c r="EB110" t="s">
        <v>201</v>
      </c>
      <c r="ED110" t="s">
        <v>254</v>
      </c>
      <c r="EF110" t="s">
        <v>203</v>
      </c>
      <c r="EG110" t="s">
        <v>1792</v>
      </c>
      <c r="EH110" t="s">
        <v>1793</v>
      </c>
      <c r="GV110" t="s">
        <v>1794</v>
      </c>
      <c r="GY110" t="s">
        <v>152</v>
      </c>
      <c r="HE110" t="s">
        <v>158</v>
      </c>
      <c r="HF110" t="s">
        <v>159</v>
      </c>
      <c r="HK110" t="s">
        <v>1795</v>
      </c>
      <c r="HM110" t="s">
        <v>1796</v>
      </c>
      <c r="HN110" t="s">
        <v>1797</v>
      </c>
      <c r="HP110" t="s">
        <v>1798</v>
      </c>
    </row>
    <row r="111" spans="2:224" x14ac:dyDescent="0.25">
      <c r="B111">
        <v>10637154285</v>
      </c>
      <c r="C111" t="s">
        <v>2383</v>
      </c>
      <c r="D111">
        <v>224510252</v>
      </c>
      <c r="E111" s="2">
        <v>43558.480775462973</v>
      </c>
      <c r="F111" s="2">
        <v>43558.498472222222</v>
      </c>
      <c r="G111" t="s">
        <v>163</v>
      </c>
      <c r="L111" t="s">
        <v>310</v>
      </c>
      <c r="N111">
        <v>340</v>
      </c>
      <c r="O111">
        <v>100</v>
      </c>
      <c r="P111">
        <v>0</v>
      </c>
      <c r="Q111">
        <v>0</v>
      </c>
      <c r="R111">
        <v>0</v>
      </c>
      <c r="S111">
        <v>0</v>
      </c>
      <c r="T111">
        <v>0</v>
      </c>
      <c r="U111" t="s">
        <v>322</v>
      </c>
      <c r="V111" t="s">
        <v>1799</v>
      </c>
      <c r="W111" t="s">
        <v>1365</v>
      </c>
      <c r="X111" t="s">
        <v>166</v>
      </c>
      <c r="Y111" t="s">
        <v>1420</v>
      </c>
      <c r="AC111" t="s">
        <v>263</v>
      </c>
      <c r="AE111" t="s">
        <v>263</v>
      </c>
      <c r="AG111" t="s">
        <v>1475</v>
      </c>
      <c r="AH111" t="s">
        <v>1459</v>
      </c>
      <c r="AI111" t="s">
        <v>1800</v>
      </c>
      <c r="AJ111" t="s">
        <v>2438</v>
      </c>
      <c r="AM111" t="s">
        <v>1801</v>
      </c>
      <c r="AN111" t="s">
        <v>1802</v>
      </c>
      <c r="AP111" t="s">
        <v>401</v>
      </c>
      <c r="AQ111" t="s">
        <v>401</v>
      </c>
      <c r="AR111" t="s">
        <v>401</v>
      </c>
      <c r="AS111" t="s">
        <v>401</v>
      </c>
      <c r="AU111" t="s">
        <v>178</v>
      </c>
      <c r="BE111" t="s">
        <v>182</v>
      </c>
      <c r="DD111" t="s">
        <v>1803</v>
      </c>
      <c r="DE111" t="s">
        <v>1804</v>
      </c>
      <c r="DF111" t="s">
        <v>1805</v>
      </c>
      <c r="DH111" t="s">
        <v>111</v>
      </c>
      <c r="DI111" t="s">
        <v>112</v>
      </c>
      <c r="DN111" t="s">
        <v>1806</v>
      </c>
      <c r="DO111" t="s">
        <v>110</v>
      </c>
      <c r="DP111" t="s">
        <v>111</v>
      </c>
      <c r="DV111" t="s">
        <v>1807</v>
      </c>
      <c r="DW111" t="s">
        <v>199</v>
      </c>
      <c r="DX111" t="s">
        <v>199</v>
      </c>
      <c r="DY111" t="s">
        <v>198</v>
      </c>
      <c r="DZ111" t="s">
        <v>198</v>
      </c>
      <c r="EA111" t="s">
        <v>1808</v>
      </c>
      <c r="EB111" t="s">
        <v>201</v>
      </c>
      <c r="ED111" t="s">
        <v>202</v>
      </c>
      <c r="EE111" t="s">
        <v>1809</v>
      </c>
      <c r="EF111" t="s">
        <v>203</v>
      </c>
      <c r="EL111" t="s">
        <v>122</v>
      </c>
      <c r="EM111" t="s">
        <v>123</v>
      </c>
      <c r="EO111" t="s">
        <v>113</v>
      </c>
      <c r="ET111" t="s">
        <v>200</v>
      </c>
      <c r="EU111" t="s">
        <v>200</v>
      </c>
      <c r="EV111" t="s">
        <v>200</v>
      </c>
      <c r="EW111" t="s">
        <v>200</v>
      </c>
      <c r="EX111" t="s">
        <v>1810</v>
      </c>
      <c r="EY111">
        <v>0</v>
      </c>
      <c r="GV111" t="s">
        <v>1811</v>
      </c>
      <c r="HB111" t="s">
        <v>155</v>
      </c>
      <c r="HD111" t="s">
        <v>157</v>
      </c>
      <c r="HK111" t="s">
        <v>1812</v>
      </c>
      <c r="HM111" t="s">
        <v>1813</v>
      </c>
      <c r="HN111" t="s">
        <v>1814</v>
      </c>
      <c r="HP111" t="s">
        <v>1815</v>
      </c>
    </row>
    <row r="112" spans="2:224" x14ac:dyDescent="0.25">
      <c r="B112">
        <v>10637085835</v>
      </c>
      <c r="C112" t="s">
        <v>2383</v>
      </c>
      <c r="D112">
        <v>224510252</v>
      </c>
      <c r="E112" s="2">
        <v>43558.457731481481</v>
      </c>
      <c r="F112" s="2">
        <v>43558.479305555556</v>
      </c>
      <c r="G112" t="s">
        <v>163</v>
      </c>
      <c r="L112" t="s">
        <v>366</v>
      </c>
      <c r="N112">
        <v>5000</v>
      </c>
      <c r="O112">
        <v>80</v>
      </c>
      <c r="P112">
        <v>10</v>
      </c>
      <c r="Q112">
        <v>10</v>
      </c>
      <c r="R112">
        <v>0</v>
      </c>
      <c r="S112">
        <v>0</v>
      </c>
      <c r="T112">
        <v>0</v>
      </c>
      <c r="U112" t="s">
        <v>216</v>
      </c>
      <c r="V112" t="s">
        <v>905</v>
      </c>
      <c r="W112" t="s">
        <v>1334</v>
      </c>
      <c r="X112" t="s">
        <v>166</v>
      </c>
      <c r="Y112" t="s">
        <v>1499</v>
      </c>
      <c r="AC112" t="s">
        <v>263</v>
      </c>
      <c r="AE112" t="s">
        <v>263</v>
      </c>
      <c r="AG112" t="s">
        <v>1816</v>
      </c>
      <c r="AH112" t="s">
        <v>2438</v>
      </c>
      <c r="AI112" t="s">
        <v>1680</v>
      </c>
      <c r="AJ112" t="s">
        <v>169</v>
      </c>
      <c r="AN112" t="s">
        <v>1817</v>
      </c>
      <c r="AP112" t="s">
        <v>401</v>
      </c>
      <c r="AQ112" t="s">
        <v>401</v>
      </c>
      <c r="AR112" t="s">
        <v>401</v>
      </c>
      <c r="AS112" t="s">
        <v>401</v>
      </c>
      <c r="AT112" t="s">
        <v>1818</v>
      </c>
      <c r="AU112" t="s">
        <v>178</v>
      </c>
      <c r="BE112" t="s">
        <v>182</v>
      </c>
      <c r="BU112" t="s">
        <v>184</v>
      </c>
      <c r="CE112" t="s">
        <v>186</v>
      </c>
      <c r="CH112" t="s">
        <v>191</v>
      </c>
      <c r="CK112" t="s">
        <v>191</v>
      </c>
      <c r="DD112" t="s">
        <v>1819</v>
      </c>
      <c r="DE112" t="s">
        <v>1820</v>
      </c>
      <c r="DG112" t="s">
        <v>110</v>
      </c>
      <c r="DH112" t="s">
        <v>111</v>
      </c>
      <c r="DI112" t="s">
        <v>112</v>
      </c>
      <c r="DO112" t="s">
        <v>110</v>
      </c>
      <c r="DP112" t="s">
        <v>111</v>
      </c>
      <c r="DQ112" t="s">
        <v>112</v>
      </c>
      <c r="DW112" t="s">
        <v>198</v>
      </c>
      <c r="DX112" t="s">
        <v>200</v>
      </c>
      <c r="DY112" t="s">
        <v>198</v>
      </c>
      <c r="DZ112" t="s">
        <v>198</v>
      </c>
      <c r="EB112" t="s">
        <v>201</v>
      </c>
      <c r="ED112" t="s">
        <v>228</v>
      </c>
      <c r="EF112" t="s">
        <v>233</v>
      </c>
      <c r="EH112" t="s">
        <v>930</v>
      </c>
      <c r="ET112" t="s">
        <v>198</v>
      </c>
      <c r="EU112" t="s">
        <v>198</v>
      </c>
      <c r="EV112" t="s">
        <v>200</v>
      </c>
      <c r="EW112" t="s">
        <v>200</v>
      </c>
      <c r="EY112" t="s">
        <v>249</v>
      </c>
      <c r="FA112" t="s">
        <v>202</v>
      </c>
      <c r="FB112" t="s">
        <v>233</v>
      </c>
      <c r="HN112" t="s">
        <v>1821</v>
      </c>
      <c r="HP112" t="s">
        <v>1822</v>
      </c>
    </row>
    <row r="113" spans="2:224" x14ac:dyDescent="0.25">
      <c r="B113">
        <v>10637062096</v>
      </c>
      <c r="C113" t="s">
        <v>2383</v>
      </c>
      <c r="D113">
        <v>224510252</v>
      </c>
      <c r="E113" s="2">
        <v>43558.434155092589</v>
      </c>
      <c r="F113" s="2">
        <v>43558.454918981479</v>
      </c>
      <c r="G113" t="s">
        <v>163</v>
      </c>
      <c r="L113" t="s">
        <v>366</v>
      </c>
      <c r="N113">
        <v>514</v>
      </c>
      <c r="O113">
        <v>60</v>
      </c>
      <c r="P113">
        <v>10</v>
      </c>
      <c r="Q113">
        <v>30</v>
      </c>
      <c r="R113">
        <v>0</v>
      </c>
      <c r="S113">
        <v>0</v>
      </c>
      <c r="T113">
        <v>0</v>
      </c>
      <c r="U113" t="s">
        <v>330</v>
      </c>
      <c r="V113" t="s">
        <v>1208</v>
      </c>
      <c r="W113" t="s">
        <v>1334</v>
      </c>
      <c r="X113" t="s">
        <v>312</v>
      </c>
      <c r="FT113" t="s">
        <v>198</v>
      </c>
      <c r="FU113" t="s">
        <v>198</v>
      </c>
      <c r="FW113" t="s">
        <v>424</v>
      </c>
      <c r="FX113" t="s">
        <v>424</v>
      </c>
      <c r="FY113" t="s">
        <v>424</v>
      </c>
      <c r="GE113" t="s">
        <v>198</v>
      </c>
      <c r="GF113" t="s">
        <v>198</v>
      </c>
      <c r="GH113" t="s">
        <v>1490</v>
      </c>
      <c r="GI113" t="s">
        <v>1540</v>
      </c>
      <c r="GN113" t="s">
        <v>1490</v>
      </c>
      <c r="GO113" t="s">
        <v>1540</v>
      </c>
      <c r="GT113" t="s">
        <v>1824</v>
      </c>
      <c r="GV113" t="s">
        <v>1825</v>
      </c>
      <c r="HB113" t="s">
        <v>155</v>
      </c>
      <c r="HH113" t="s">
        <v>161</v>
      </c>
      <c r="HI113" t="s">
        <v>162</v>
      </c>
      <c r="HJ113" t="s">
        <v>1826</v>
      </c>
      <c r="HK113" t="s">
        <v>1827</v>
      </c>
      <c r="HM113" t="s">
        <v>1828</v>
      </c>
      <c r="HN113" t="s">
        <v>1829</v>
      </c>
      <c r="HP113" t="s">
        <v>1830</v>
      </c>
    </row>
    <row r="114" spans="2:224" x14ac:dyDescent="0.25">
      <c r="B114">
        <v>10631392492</v>
      </c>
      <c r="C114" t="s">
        <v>2383</v>
      </c>
      <c r="D114">
        <v>224510252</v>
      </c>
      <c r="E114" s="2">
        <v>43556.411446759259</v>
      </c>
      <c r="F114" s="2">
        <v>43556.417164351849</v>
      </c>
      <c r="G114" t="s">
        <v>163</v>
      </c>
      <c r="L114" t="s">
        <v>366</v>
      </c>
      <c r="N114">
        <v>600</v>
      </c>
      <c r="O114">
        <v>70</v>
      </c>
      <c r="P114">
        <v>10</v>
      </c>
      <c r="Q114">
        <v>20</v>
      </c>
      <c r="R114">
        <v>0</v>
      </c>
      <c r="S114">
        <v>0</v>
      </c>
      <c r="T114">
        <v>0</v>
      </c>
      <c r="U114" t="s">
        <v>261</v>
      </c>
      <c r="V114" t="s">
        <v>1832</v>
      </c>
      <c r="W114" t="s">
        <v>2422</v>
      </c>
      <c r="X114" t="s">
        <v>312</v>
      </c>
      <c r="FT114" t="s">
        <v>200</v>
      </c>
      <c r="FU114" t="s">
        <v>200</v>
      </c>
      <c r="FW114" t="s">
        <v>198</v>
      </c>
      <c r="FX114" t="s">
        <v>198</v>
      </c>
      <c r="FY114" t="s">
        <v>198</v>
      </c>
      <c r="FZ114" t="s">
        <v>200</v>
      </c>
      <c r="GA114" t="s">
        <v>198</v>
      </c>
      <c r="GB114" t="s">
        <v>198</v>
      </c>
      <c r="GC114" t="s">
        <v>198</v>
      </c>
      <c r="GE114" t="s">
        <v>199</v>
      </c>
      <c r="GF114" t="s">
        <v>199</v>
      </c>
      <c r="GI114" t="s">
        <v>1540</v>
      </c>
      <c r="GJ114" t="s">
        <v>772</v>
      </c>
      <c r="GO114" t="s">
        <v>1540</v>
      </c>
      <c r="GP114" t="s">
        <v>772</v>
      </c>
      <c r="GV114" t="s">
        <v>1833</v>
      </c>
      <c r="GX114" t="s">
        <v>151</v>
      </c>
      <c r="GY114" t="s">
        <v>152</v>
      </c>
      <c r="HB114" t="s">
        <v>155</v>
      </c>
      <c r="HC114" t="s">
        <v>156</v>
      </c>
      <c r="HE114" t="s">
        <v>158</v>
      </c>
      <c r="HJ114" t="s">
        <v>1834</v>
      </c>
      <c r="HK114" t="s">
        <v>1835</v>
      </c>
    </row>
    <row r="115" spans="2:224" x14ac:dyDescent="0.25">
      <c r="B115">
        <v>10627054454</v>
      </c>
      <c r="C115" t="s">
        <v>2383</v>
      </c>
      <c r="D115">
        <v>224510252</v>
      </c>
      <c r="E115" s="2">
        <v>43553.650150462963</v>
      </c>
      <c r="F115" s="2">
        <v>43553.656828703701</v>
      </c>
      <c r="G115" t="s">
        <v>163</v>
      </c>
      <c r="L115" t="s">
        <v>215</v>
      </c>
      <c r="N115">
        <v>1300</v>
      </c>
      <c r="O115">
        <v>60</v>
      </c>
      <c r="P115">
        <v>0</v>
      </c>
      <c r="Q115">
        <v>20</v>
      </c>
      <c r="R115">
        <v>10</v>
      </c>
      <c r="S115">
        <v>10</v>
      </c>
      <c r="T115">
        <v>0</v>
      </c>
      <c r="U115" t="s">
        <v>216</v>
      </c>
      <c r="V115" t="s">
        <v>1836</v>
      </c>
      <c r="W115" t="s">
        <v>1334</v>
      </c>
      <c r="X115" t="s">
        <v>312</v>
      </c>
      <c r="FT115" t="s">
        <v>200</v>
      </c>
      <c r="FU115" t="s">
        <v>200</v>
      </c>
      <c r="FW115" t="s">
        <v>200</v>
      </c>
      <c r="FX115" t="s">
        <v>198</v>
      </c>
      <c r="FY115" t="s">
        <v>200</v>
      </c>
      <c r="FZ115" t="s">
        <v>200</v>
      </c>
      <c r="GA115" t="s">
        <v>200</v>
      </c>
      <c r="GB115" t="s">
        <v>424</v>
      </c>
      <c r="GC115" t="s">
        <v>198</v>
      </c>
      <c r="GE115" t="s">
        <v>200</v>
      </c>
      <c r="GF115" t="s">
        <v>198</v>
      </c>
      <c r="GL115" t="s">
        <v>1608</v>
      </c>
      <c r="GP115" t="s">
        <v>772</v>
      </c>
      <c r="GQ115" t="s">
        <v>1438</v>
      </c>
      <c r="GV115" t="s">
        <v>1837</v>
      </c>
      <c r="GW115" t="s">
        <v>150</v>
      </c>
      <c r="GX115" t="s">
        <v>151</v>
      </c>
      <c r="HB115" t="s">
        <v>155</v>
      </c>
      <c r="HK115" t="s">
        <v>1838</v>
      </c>
      <c r="HM115" t="s">
        <v>1839</v>
      </c>
      <c r="HN115" t="s">
        <v>872</v>
      </c>
    </row>
    <row r="116" spans="2:224" x14ac:dyDescent="0.25">
      <c r="B116">
        <v>10626907274</v>
      </c>
      <c r="C116" t="s">
        <v>2383</v>
      </c>
      <c r="D116">
        <v>224510252</v>
      </c>
      <c r="E116" s="2">
        <v>43553.534432870372</v>
      </c>
      <c r="F116" s="2">
        <v>43553.552708333344</v>
      </c>
      <c r="G116" t="s">
        <v>163</v>
      </c>
      <c r="L116" t="s">
        <v>164</v>
      </c>
      <c r="N116">
        <v>400</v>
      </c>
      <c r="O116">
        <v>100</v>
      </c>
      <c r="P116">
        <v>0</v>
      </c>
      <c r="Q116">
        <v>0</v>
      </c>
      <c r="R116">
        <v>0</v>
      </c>
      <c r="S116">
        <v>0</v>
      </c>
      <c r="T116">
        <v>0</v>
      </c>
      <c r="U116" t="s">
        <v>401</v>
      </c>
      <c r="V116" t="s">
        <v>1841</v>
      </c>
      <c r="W116" t="s">
        <v>2423</v>
      </c>
      <c r="X116" t="s">
        <v>312</v>
      </c>
      <c r="FT116" t="s">
        <v>199</v>
      </c>
      <c r="FU116" t="s">
        <v>199</v>
      </c>
      <c r="FV116" t="s">
        <v>1842</v>
      </c>
      <c r="FW116" t="s">
        <v>199</v>
      </c>
      <c r="FX116" t="s">
        <v>199</v>
      </c>
      <c r="FY116" t="s">
        <v>199</v>
      </c>
      <c r="FZ116" t="s">
        <v>199</v>
      </c>
      <c r="GA116" t="s">
        <v>199</v>
      </c>
      <c r="GB116" t="s">
        <v>199</v>
      </c>
      <c r="GC116" t="s">
        <v>199</v>
      </c>
      <c r="GE116" t="s">
        <v>199</v>
      </c>
      <c r="GF116" t="s">
        <v>199</v>
      </c>
      <c r="GH116" t="s">
        <v>1490</v>
      </c>
      <c r="GN116" t="s">
        <v>1490</v>
      </c>
      <c r="GV116" t="s">
        <v>1843</v>
      </c>
      <c r="GX116" t="s">
        <v>151</v>
      </c>
      <c r="GY116" t="s">
        <v>152</v>
      </c>
      <c r="HB116" t="s">
        <v>155</v>
      </c>
      <c r="HE116" t="s">
        <v>158</v>
      </c>
      <c r="HK116" t="s">
        <v>1844</v>
      </c>
      <c r="HM116" t="s">
        <v>1845</v>
      </c>
      <c r="HN116" t="s">
        <v>1846</v>
      </c>
      <c r="HP116" t="s">
        <v>1847</v>
      </c>
    </row>
    <row r="117" spans="2:224" x14ac:dyDescent="0.25">
      <c r="B117">
        <v>10626805003</v>
      </c>
      <c r="C117" t="s">
        <v>2383</v>
      </c>
      <c r="D117">
        <v>224510252</v>
      </c>
      <c r="E117" s="2">
        <v>43553.481944444437</v>
      </c>
      <c r="F117" s="2">
        <v>43553.491562499999</v>
      </c>
      <c r="G117" t="s">
        <v>163</v>
      </c>
      <c r="L117" t="s">
        <v>366</v>
      </c>
      <c r="N117">
        <v>1500</v>
      </c>
      <c r="O117">
        <v>80</v>
      </c>
      <c r="P117">
        <v>20</v>
      </c>
      <c r="Q117">
        <v>0</v>
      </c>
      <c r="R117">
        <v>0</v>
      </c>
      <c r="S117">
        <v>0</v>
      </c>
      <c r="T117">
        <v>0</v>
      </c>
      <c r="U117" t="s">
        <v>216</v>
      </c>
      <c r="V117" t="s">
        <v>1208</v>
      </c>
      <c r="W117" t="s">
        <v>1334</v>
      </c>
      <c r="X117" t="s">
        <v>312</v>
      </c>
      <c r="FT117" t="s">
        <v>198</v>
      </c>
      <c r="FU117" t="s">
        <v>199</v>
      </c>
      <c r="FW117" t="s">
        <v>198</v>
      </c>
      <c r="FX117" t="s">
        <v>198</v>
      </c>
      <c r="GE117" t="s">
        <v>198</v>
      </c>
      <c r="GF117" t="s">
        <v>200</v>
      </c>
      <c r="GL117" t="s">
        <v>1608</v>
      </c>
      <c r="GR117" t="s">
        <v>1608</v>
      </c>
      <c r="GT117" t="s">
        <v>1848</v>
      </c>
      <c r="GU117" t="s">
        <v>1849</v>
      </c>
      <c r="GV117" t="s">
        <v>1850</v>
      </c>
      <c r="GY117" t="s">
        <v>152</v>
      </c>
      <c r="HB117" t="s">
        <v>155</v>
      </c>
      <c r="HJ117" t="s">
        <v>1851</v>
      </c>
      <c r="HK117" t="s">
        <v>1852</v>
      </c>
      <c r="HM117" t="s">
        <v>1853</v>
      </c>
      <c r="HN117" t="s">
        <v>806</v>
      </c>
      <c r="HP117" t="s">
        <v>1854</v>
      </c>
    </row>
    <row r="118" spans="2:224" x14ac:dyDescent="0.25">
      <c r="B118">
        <v>10626748032</v>
      </c>
      <c r="C118" t="s">
        <v>2383</v>
      </c>
      <c r="D118">
        <v>224510252</v>
      </c>
      <c r="E118" s="2">
        <v>43553.428483796299</v>
      </c>
      <c r="F118" s="2">
        <v>43553.462222222217</v>
      </c>
      <c r="G118" t="s">
        <v>163</v>
      </c>
      <c r="L118" t="s">
        <v>366</v>
      </c>
      <c r="N118">
        <v>550</v>
      </c>
      <c r="O118">
        <v>80</v>
      </c>
      <c r="P118">
        <v>0</v>
      </c>
      <c r="Q118">
        <v>20</v>
      </c>
      <c r="R118">
        <v>0</v>
      </c>
      <c r="S118">
        <v>0</v>
      </c>
      <c r="T118">
        <v>0</v>
      </c>
      <c r="U118" t="s">
        <v>216</v>
      </c>
      <c r="V118" t="s">
        <v>1856</v>
      </c>
      <c r="W118" t="s">
        <v>1365</v>
      </c>
      <c r="X118" t="s">
        <v>166</v>
      </c>
      <c r="Y118" t="s">
        <v>1420</v>
      </c>
      <c r="AC118" t="s">
        <v>263</v>
      </c>
      <c r="AE118" t="s">
        <v>263</v>
      </c>
      <c r="AG118" t="s">
        <v>1475</v>
      </c>
      <c r="AH118" t="s">
        <v>1459</v>
      </c>
      <c r="AI118" t="s">
        <v>1857</v>
      </c>
      <c r="AJ118" t="s">
        <v>2445</v>
      </c>
      <c r="AN118" t="s">
        <v>1858</v>
      </c>
      <c r="AP118">
        <v>0</v>
      </c>
      <c r="AQ118" t="s">
        <v>401</v>
      </c>
      <c r="AR118" t="s">
        <v>401</v>
      </c>
      <c r="AS118">
        <v>0</v>
      </c>
      <c r="AU118" t="s">
        <v>178</v>
      </c>
      <c r="BD118" t="s">
        <v>1859</v>
      </c>
      <c r="DD118" t="s">
        <v>1860</v>
      </c>
      <c r="DN118" t="s">
        <v>1861</v>
      </c>
      <c r="DW118" t="s">
        <v>199</v>
      </c>
      <c r="DX118" t="s">
        <v>199</v>
      </c>
      <c r="DY118" t="s">
        <v>198</v>
      </c>
      <c r="DZ118" t="s">
        <v>198</v>
      </c>
      <c r="EB118" t="s">
        <v>201</v>
      </c>
      <c r="ED118" t="s">
        <v>202</v>
      </c>
      <c r="EF118" t="s">
        <v>203</v>
      </c>
      <c r="EH118" t="s">
        <v>1862</v>
      </c>
      <c r="GV118" t="s">
        <v>1863</v>
      </c>
      <c r="GX118" t="s">
        <v>151</v>
      </c>
      <c r="GY118" t="s">
        <v>152</v>
      </c>
      <c r="HG118" t="s">
        <v>160</v>
      </c>
      <c r="HK118" t="s">
        <v>1864</v>
      </c>
      <c r="HM118" t="s">
        <v>1865</v>
      </c>
      <c r="HN118" t="s">
        <v>822</v>
      </c>
      <c r="HP118" t="s">
        <v>1866</v>
      </c>
    </row>
    <row r="119" spans="2:224" x14ac:dyDescent="0.25">
      <c r="B119">
        <v>10626675976</v>
      </c>
      <c r="C119" t="s">
        <v>2383</v>
      </c>
      <c r="D119">
        <v>224510252</v>
      </c>
      <c r="E119" s="2">
        <v>43553.416805555556</v>
      </c>
      <c r="F119" s="2">
        <v>43553.427233796298</v>
      </c>
      <c r="G119" t="s">
        <v>163</v>
      </c>
      <c r="L119" t="s">
        <v>366</v>
      </c>
      <c r="N119">
        <v>3000</v>
      </c>
      <c r="O119">
        <v>80</v>
      </c>
      <c r="P119">
        <v>0</v>
      </c>
      <c r="Q119">
        <v>20</v>
      </c>
      <c r="R119">
        <v>0</v>
      </c>
      <c r="S119">
        <v>0</v>
      </c>
      <c r="T119">
        <v>0</v>
      </c>
      <c r="U119" t="s">
        <v>330</v>
      </c>
      <c r="V119" t="s">
        <v>1868</v>
      </c>
      <c r="W119" t="s">
        <v>2423</v>
      </c>
      <c r="X119" t="s">
        <v>312</v>
      </c>
      <c r="FT119" t="s">
        <v>198</v>
      </c>
      <c r="FU119" t="s">
        <v>199</v>
      </c>
      <c r="FV119" t="s">
        <v>1869</v>
      </c>
      <c r="FW119" t="s">
        <v>424</v>
      </c>
      <c r="FX119" t="s">
        <v>424</v>
      </c>
      <c r="FY119" t="s">
        <v>200</v>
      </c>
      <c r="FZ119" t="s">
        <v>200</v>
      </c>
      <c r="GA119" t="s">
        <v>200</v>
      </c>
      <c r="GB119" t="s">
        <v>200</v>
      </c>
      <c r="GC119" t="s">
        <v>200</v>
      </c>
      <c r="GE119" t="s">
        <v>198</v>
      </c>
      <c r="GF119" t="s">
        <v>199</v>
      </c>
      <c r="GH119" t="s">
        <v>1490</v>
      </c>
      <c r="GI119" t="s">
        <v>1540</v>
      </c>
      <c r="GJ119" t="s">
        <v>772</v>
      </c>
      <c r="GK119" t="s">
        <v>1438</v>
      </c>
      <c r="GN119" t="s">
        <v>1490</v>
      </c>
      <c r="GO119" t="s">
        <v>1540</v>
      </c>
      <c r="GP119" t="s">
        <v>772</v>
      </c>
      <c r="GQ119" t="s">
        <v>1438</v>
      </c>
      <c r="GT119" t="s">
        <v>1870</v>
      </c>
      <c r="GV119" t="s">
        <v>1871</v>
      </c>
      <c r="GX119" t="s">
        <v>151</v>
      </c>
      <c r="HE119" t="s">
        <v>158</v>
      </c>
      <c r="HG119" t="s">
        <v>160</v>
      </c>
      <c r="HK119" t="s">
        <v>1872</v>
      </c>
      <c r="HM119" t="s">
        <v>1873</v>
      </c>
      <c r="HN119" t="s">
        <v>1874</v>
      </c>
      <c r="HP119" t="s">
        <v>1875</v>
      </c>
    </row>
    <row r="120" spans="2:224" x14ac:dyDescent="0.25">
      <c r="B120">
        <v>10624329537</v>
      </c>
      <c r="C120" t="s">
        <v>2383</v>
      </c>
      <c r="D120">
        <v>224510252</v>
      </c>
      <c r="E120" s="2">
        <v>43552.655925925923</v>
      </c>
      <c r="F120" s="2">
        <v>43552.669432870367</v>
      </c>
      <c r="G120" t="s">
        <v>163</v>
      </c>
      <c r="L120" t="s">
        <v>315</v>
      </c>
      <c r="N120">
        <v>670</v>
      </c>
      <c r="O120">
        <v>60</v>
      </c>
      <c r="P120">
        <v>0</v>
      </c>
      <c r="Q120">
        <v>40</v>
      </c>
      <c r="R120">
        <v>0</v>
      </c>
      <c r="S120">
        <v>0</v>
      </c>
      <c r="T120">
        <v>0</v>
      </c>
      <c r="U120" t="s">
        <v>494</v>
      </c>
      <c r="V120" t="s">
        <v>1876</v>
      </c>
      <c r="W120" t="s">
        <v>2404</v>
      </c>
      <c r="X120" t="s">
        <v>166</v>
      </c>
      <c r="Y120" t="s">
        <v>1420</v>
      </c>
      <c r="AC120" t="s">
        <v>263</v>
      </c>
      <c r="AE120" t="s">
        <v>263</v>
      </c>
      <c r="AG120" t="s">
        <v>1877</v>
      </c>
      <c r="AH120" t="s">
        <v>2439</v>
      </c>
      <c r="AI120" t="s">
        <v>1878</v>
      </c>
      <c r="AJ120" t="s">
        <v>1459</v>
      </c>
      <c r="AM120" t="s">
        <v>1714</v>
      </c>
      <c r="AN120" t="s">
        <v>1714</v>
      </c>
      <c r="AO120" t="s">
        <v>1714</v>
      </c>
      <c r="AP120" t="s">
        <v>401</v>
      </c>
      <c r="AQ120" t="s">
        <v>401</v>
      </c>
      <c r="AR120" t="s">
        <v>401</v>
      </c>
      <c r="AS120" t="s">
        <v>401</v>
      </c>
      <c r="AU120" t="s">
        <v>176</v>
      </c>
      <c r="BE120" t="s">
        <v>182</v>
      </c>
      <c r="BU120" t="s">
        <v>184</v>
      </c>
      <c r="CE120" t="s">
        <v>186</v>
      </c>
      <c r="CH120" t="s">
        <v>191</v>
      </c>
      <c r="DD120" t="s">
        <v>1879</v>
      </c>
      <c r="DE120" t="s">
        <v>1880</v>
      </c>
      <c r="DG120" t="s">
        <v>110</v>
      </c>
      <c r="DH120" t="s">
        <v>111</v>
      </c>
      <c r="DO120" t="s">
        <v>110</v>
      </c>
      <c r="DP120" t="s">
        <v>111</v>
      </c>
      <c r="DW120" t="s">
        <v>198</v>
      </c>
      <c r="DX120" t="s">
        <v>198</v>
      </c>
      <c r="DY120" t="s">
        <v>198</v>
      </c>
      <c r="DZ120" t="s">
        <v>198</v>
      </c>
      <c r="EB120" t="s">
        <v>249</v>
      </c>
      <c r="ED120" t="s">
        <v>228</v>
      </c>
      <c r="EE120" t="s">
        <v>1881</v>
      </c>
      <c r="EF120" t="s">
        <v>203</v>
      </c>
      <c r="EH120" t="s">
        <v>1882</v>
      </c>
      <c r="FK120" t="s">
        <v>1883</v>
      </c>
      <c r="FT120" t="s">
        <v>198</v>
      </c>
      <c r="FU120" t="s">
        <v>198</v>
      </c>
      <c r="FW120" t="s">
        <v>198</v>
      </c>
      <c r="FX120" t="s">
        <v>198</v>
      </c>
      <c r="FY120" t="s">
        <v>198</v>
      </c>
      <c r="FZ120" t="s">
        <v>198</v>
      </c>
      <c r="GA120" t="s">
        <v>198</v>
      </c>
      <c r="GB120" t="s">
        <v>198</v>
      </c>
      <c r="GC120" t="s">
        <v>198</v>
      </c>
      <c r="GE120" t="s">
        <v>198</v>
      </c>
      <c r="GF120" t="s">
        <v>198</v>
      </c>
      <c r="GI120" t="s">
        <v>1540</v>
      </c>
      <c r="GO120" t="s">
        <v>1540</v>
      </c>
      <c r="GV120" t="s">
        <v>1884</v>
      </c>
      <c r="GW120" t="s">
        <v>150</v>
      </c>
      <c r="HA120" t="s">
        <v>154</v>
      </c>
      <c r="HK120" t="s">
        <v>1885</v>
      </c>
      <c r="HL120" t="s">
        <v>1886</v>
      </c>
      <c r="HM120" t="s">
        <v>1887</v>
      </c>
      <c r="HN120" t="s">
        <v>1888</v>
      </c>
      <c r="HP120" t="s">
        <v>1889</v>
      </c>
    </row>
    <row r="121" spans="2:224" x14ac:dyDescent="0.25">
      <c r="B121">
        <v>10624297294</v>
      </c>
      <c r="C121" t="s">
        <v>2383</v>
      </c>
      <c r="D121">
        <v>224510252</v>
      </c>
      <c r="E121" s="2">
        <v>43552.62059027778</v>
      </c>
      <c r="F121" s="2">
        <v>43552.649756944447</v>
      </c>
      <c r="G121" t="s">
        <v>163</v>
      </c>
      <c r="L121" t="s">
        <v>366</v>
      </c>
      <c r="N121">
        <v>3000</v>
      </c>
      <c r="O121">
        <v>80</v>
      </c>
      <c r="P121">
        <v>20</v>
      </c>
      <c r="Q121">
        <v>0</v>
      </c>
      <c r="R121">
        <v>0</v>
      </c>
      <c r="S121">
        <v>0</v>
      </c>
      <c r="T121">
        <v>0</v>
      </c>
      <c r="U121" t="s">
        <v>216</v>
      </c>
      <c r="V121" t="s">
        <v>1712</v>
      </c>
      <c r="W121" t="s">
        <v>1334</v>
      </c>
      <c r="X121" t="s">
        <v>312</v>
      </c>
      <c r="FT121" t="s">
        <v>198</v>
      </c>
      <c r="FU121" t="s">
        <v>198</v>
      </c>
      <c r="FV121" t="s">
        <v>1890</v>
      </c>
      <c r="FW121" t="s">
        <v>198</v>
      </c>
      <c r="GB121" t="s">
        <v>198</v>
      </c>
      <c r="GC121" t="s">
        <v>198</v>
      </c>
      <c r="GD121" t="s">
        <v>1891</v>
      </c>
      <c r="GE121" t="s">
        <v>198</v>
      </c>
      <c r="GF121" t="s">
        <v>198</v>
      </c>
      <c r="GI121" t="s">
        <v>1540</v>
      </c>
      <c r="GL121" t="s">
        <v>1608</v>
      </c>
      <c r="GO121" t="s">
        <v>1540</v>
      </c>
      <c r="GR121" t="s">
        <v>1608</v>
      </c>
      <c r="GV121" t="s">
        <v>1892</v>
      </c>
      <c r="HD121" t="s">
        <v>157</v>
      </c>
      <c r="HG121" t="s">
        <v>160</v>
      </c>
      <c r="HK121" t="s">
        <v>1893</v>
      </c>
      <c r="HM121" t="s">
        <v>1894</v>
      </c>
      <c r="HN121" t="s">
        <v>1895</v>
      </c>
      <c r="HP121" t="s">
        <v>1896</v>
      </c>
    </row>
    <row r="122" spans="2:224" x14ac:dyDescent="0.25">
      <c r="B122">
        <v>10618571407</v>
      </c>
      <c r="C122" t="s">
        <v>2383</v>
      </c>
      <c r="D122">
        <v>224510252</v>
      </c>
      <c r="E122" s="2">
        <v>43550.62840277778</v>
      </c>
      <c r="F122" s="2">
        <v>43550.63354166667</v>
      </c>
      <c r="G122" t="s">
        <v>163</v>
      </c>
      <c r="L122" t="s">
        <v>315</v>
      </c>
      <c r="N122">
        <v>5000</v>
      </c>
      <c r="O122">
        <v>30</v>
      </c>
      <c r="P122">
        <v>10</v>
      </c>
      <c r="Q122">
        <v>0</v>
      </c>
      <c r="R122">
        <v>0</v>
      </c>
      <c r="S122">
        <v>60</v>
      </c>
      <c r="T122">
        <v>0</v>
      </c>
      <c r="U122" t="s">
        <v>494</v>
      </c>
      <c r="V122" t="s">
        <v>1767</v>
      </c>
      <c r="W122" t="s">
        <v>1365</v>
      </c>
      <c r="X122" t="s">
        <v>166</v>
      </c>
      <c r="Y122" t="s">
        <v>1420</v>
      </c>
      <c r="AC122" t="s">
        <v>238</v>
      </c>
      <c r="AE122" t="s">
        <v>238</v>
      </c>
      <c r="AG122" t="s">
        <v>1898</v>
      </c>
      <c r="AH122" t="s">
        <v>169</v>
      </c>
      <c r="AI122" t="s">
        <v>1899</v>
      </c>
      <c r="AJ122" t="s">
        <v>2439</v>
      </c>
      <c r="AM122" t="s">
        <v>1900</v>
      </c>
      <c r="AN122" t="s">
        <v>1901</v>
      </c>
      <c r="AP122" t="s">
        <v>261</v>
      </c>
      <c r="AQ122" t="s">
        <v>261</v>
      </c>
      <c r="AR122">
        <v>0</v>
      </c>
      <c r="AS122" t="s">
        <v>261</v>
      </c>
      <c r="AU122" t="s">
        <v>178</v>
      </c>
      <c r="AX122" t="s">
        <v>176</v>
      </c>
      <c r="BE122" t="s">
        <v>180</v>
      </c>
      <c r="BH122" t="s">
        <v>182</v>
      </c>
      <c r="BU122" t="s">
        <v>185</v>
      </c>
      <c r="DD122" t="s">
        <v>1902</v>
      </c>
      <c r="DE122" t="s">
        <v>1880</v>
      </c>
      <c r="DG122" t="s">
        <v>110</v>
      </c>
      <c r="DH122" t="s">
        <v>111</v>
      </c>
      <c r="DI122" t="s">
        <v>112</v>
      </c>
      <c r="DO122" t="s">
        <v>110</v>
      </c>
      <c r="DP122" t="s">
        <v>111</v>
      </c>
      <c r="DQ122" t="s">
        <v>112</v>
      </c>
      <c r="DW122" t="s">
        <v>198</v>
      </c>
      <c r="DX122" t="s">
        <v>199</v>
      </c>
      <c r="DY122" t="s">
        <v>198</v>
      </c>
      <c r="DZ122" t="s">
        <v>198</v>
      </c>
      <c r="EA122" t="s">
        <v>1903</v>
      </c>
      <c r="EB122" t="s">
        <v>201</v>
      </c>
      <c r="ED122" t="s">
        <v>202</v>
      </c>
      <c r="EF122" t="s">
        <v>233</v>
      </c>
      <c r="EH122" t="s">
        <v>1904</v>
      </c>
      <c r="GV122" t="s">
        <v>1905</v>
      </c>
      <c r="HB122" t="s">
        <v>155</v>
      </c>
      <c r="HG122" t="s">
        <v>160</v>
      </c>
      <c r="HH122" t="s">
        <v>161</v>
      </c>
      <c r="HM122" t="s">
        <v>1721</v>
      </c>
      <c r="HN122" t="s">
        <v>1906</v>
      </c>
    </row>
    <row r="123" spans="2:224" x14ac:dyDescent="0.25">
      <c r="B123">
        <v>10618470197</v>
      </c>
      <c r="C123" t="s">
        <v>2383</v>
      </c>
      <c r="D123">
        <v>224510252</v>
      </c>
      <c r="E123" s="2">
        <v>43550.551574074067</v>
      </c>
      <c r="F123" s="2">
        <v>43550.564421296287</v>
      </c>
      <c r="G123" t="s">
        <v>163</v>
      </c>
      <c r="L123" t="s">
        <v>366</v>
      </c>
      <c r="N123">
        <v>900</v>
      </c>
      <c r="O123">
        <v>80</v>
      </c>
      <c r="P123">
        <v>20</v>
      </c>
      <c r="Q123">
        <v>0</v>
      </c>
      <c r="R123">
        <v>0</v>
      </c>
      <c r="S123">
        <v>0</v>
      </c>
      <c r="T123">
        <v>0</v>
      </c>
      <c r="U123" t="s">
        <v>216</v>
      </c>
      <c r="V123" t="s">
        <v>45</v>
      </c>
      <c r="W123" t="s">
        <v>45</v>
      </c>
      <c r="X123" t="s">
        <v>312</v>
      </c>
      <c r="FT123" t="s">
        <v>198</v>
      </c>
      <c r="FU123" t="s">
        <v>200</v>
      </c>
      <c r="FW123" t="s">
        <v>198</v>
      </c>
      <c r="GE123" t="s">
        <v>198</v>
      </c>
      <c r="GF123" t="s">
        <v>200</v>
      </c>
      <c r="GH123" t="s">
        <v>1490</v>
      </c>
      <c r="GN123" t="s">
        <v>1490</v>
      </c>
      <c r="GR123" t="s">
        <v>1608</v>
      </c>
      <c r="GV123" t="s">
        <v>1908</v>
      </c>
      <c r="GX123" t="s">
        <v>151</v>
      </c>
      <c r="HB123" t="s">
        <v>155</v>
      </c>
      <c r="HK123" t="s">
        <v>1909</v>
      </c>
      <c r="HN123" t="s">
        <v>1910</v>
      </c>
    </row>
    <row r="124" spans="2:224" x14ac:dyDescent="0.25">
      <c r="B124">
        <v>10618256242</v>
      </c>
      <c r="C124" t="s">
        <v>2383</v>
      </c>
      <c r="D124">
        <v>224510252</v>
      </c>
      <c r="E124" s="2">
        <v>43550.448333333326</v>
      </c>
      <c r="F124" s="2">
        <v>43550.457245370373</v>
      </c>
      <c r="G124" t="s">
        <v>163</v>
      </c>
      <c r="L124" t="s">
        <v>310</v>
      </c>
      <c r="N124">
        <v>1500</v>
      </c>
      <c r="O124">
        <v>70</v>
      </c>
      <c r="P124">
        <v>10</v>
      </c>
      <c r="Q124">
        <v>20</v>
      </c>
      <c r="R124">
        <v>0</v>
      </c>
      <c r="S124">
        <v>0</v>
      </c>
      <c r="T124">
        <v>0</v>
      </c>
      <c r="U124" t="s">
        <v>261</v>
      </c>
      <c r="V124" t="s">
        <v>905</v>
      </c>
      <c r="W124" t="s">
        <v>1334</v>
      </c>
      <c r="X124" t="s">
        <v>166</v>
      </c>
      <c r="Y124" t="s">
        <v>1420</v>
      </c>
      <c r="AC124" t="s">
        <v>263</v>
      </c>
      <c r="AE124" t="s">
        <v>238</v>
      </c>
      <c r="AG124" t="s">
        <v>1912</v>
      </c>
      <c r="AH124" t="s">
        <v>2439</v>
      </c>
      <c r="AI124" t="s">
        <v>1913</v>
      </c>
      <c r="AJ124" t="s">
        <v>2442</v>
      </c>
      <c r="AM124" t="s">
        <v>1714</v>
      </c>
      <c r="AN124" t="s">
        <v>1714</v>
      </c>
      <c r="AO124" t="s">
        <v>1714</v>
      </c>
      <c r="AP124" t="s">
        <v>401</v>
      </c>
      <c r="AQ124" t="s">
        <v>401</v>
      </c>
      <c r="AR124">
        <v>0</v>
      </c>
      <c r="AS124" t="s">
        <v>401</v>
      </c>
      <c r="AU124" t="s">
        <v>402</v>
      </c>
      <c r="AW124" t="s">
        <v>177</v>
      </c>
      <c r="BE124" t="s">
        <v>182</v>
      </c>
      <c r="BG124" t="s">
        <v>177</v>
      </c>
      <c r="CE124" t="s">
        <v>192</v>
      </c>
      <c r="CG124" t="s">
        <v>177</v>
      </c>
      <c r="CH124" t="s">
        <v>191</v>
      </c>
      <c r="CJ124" t="s">
        <v>177</v>
      </c>
      <c r="CK124" t="s">
        <v>186</v>
      </c>
      <c r="CM124" t="s">
        <v>177</v>
      </c>
      <c r="DD124" t="s">
        <v>1914</v>
      </c>
      <c r="DE124" t="s">
        <v>1915</v>
      </c>
      <c r="DG124" t="s">
        <v>110</v>
      </c>
      <c r="DH124" t="s">
        <v>111</v>
      </c>
      <c r="DO124" t="s">
        <v>110</v>
      </c>
      <c r="DP124" t="s">
        <v>111</v>
      </c>
      <c r="DW124" t="s">
        <v>198</v>
      </c>
      <c r="DX124" t="s">
        <v>198</v>
      </c>
      <c r="DY124" t="s">
        <v>198</v>
      </c>
      <c r="DZ124" t="s">
        <v>198</v>
      </c>
      <c r="EB124" t="s">
        <v>201</v>
      </c>
      <c r="ED124" t="s">
        <v>202</v>
      </c>
      <c r="EF124" t="s">
        <v>203</v>
      </c>
      <c r="EH124" t="s">
        <v>1916</v>
      </c>
      <c r="GV124" t="s">
        <v>1917</v>
      </c>
      <c r="GX124" t="s">
        <v>151</v>
      </c>
      <c r="HD124" t="s">
        <v>157</v>
      </c>
      <c r="HE124" t="s">
        <v>158</v>
      </c>
    </row>
    <row r="125" spans="2:224" x14ac:dyDescent="0.25">
      <c r="B125">
        <v>10615820903</v>
      </c>
      <c r="C125" t="s">
        <v>2383</v>
      </c>
      <c r="D125">
        <v>224510252</v>
      </c>
      <c r="E125" s="2">
        <v>43549.440555555557</v>
      </c>
      <c r="F125" s="2">
        <v>43549.649247685193</v>
      </c>
      <c r="G125" t="s">
        <v>163</v>
      </c>
      <c r="L125" t="s">
        <v>260</v>
      </c>
      <c r="N125">
        <v>1800</v>
      </c>
      <c r="O125">
        <v>60</v>
      </c>
      <c r="P125">
        <v>0</v>
      </c>
      <c r="Q125">
        <v>10</v>
      </c>
      <c r="R125">
        <v>10</v>
      </c>
      <c r="S125">
        <v>20</v>
      </c>
      <c r="T125">
        <v>0</v>
      </c>
      <c r="U125" t="s">
        <v>261</v>
      </c>
      <c r="V125" t="s">
        <v>1918</v>
      </c>
      <c r="W125" t="s">
        <v>1336</v>
      </c>
      <c r="X125" t="s">
        <v>312</v>
      </c>
      <c r="FT125" t="s">
        <v>200</v>
      </c>
      <c r="FU125" t="s">
        <v>198</v>
      </c>
      <c r="FW125" t="s">
        <v>198</v>
      </c>
      <c r="FX125" t="s">
        <v>198</v>
      </c>
      <c r="FY125" t="s">
        <v>198</v>
      </c>
      <c r="FZ125" t="s">
        <v>200</v>
      </c>
      <c r="GA125" t="s">
        <v>199</v>
      </c>
      <c r="GB125" t="s">
        <v>200</v>
      </c>
      <c r="GC125" t="s">
        <v>198</v>
      </c>
      <c r="GE125" t="s">
        <v>200</v>
      </c>
      <c r="GF125" t="s">
        <v>198</v>
      </c>
      <c r="GH125" t="s">
        <v>1490</v>
      </c>
      <c r="GI125" t="s">
        <v>1540</v>
      </c>
      <c r="GJ125" t="s">
        <v>772</v>
      </c>
      <c r="GN125" t="s">
        <v>1490</v>
      </c>
      <c r="GO125" t="s">
        <v>1540</v>
      </c>
      <c r="GP125" t="s">
        <v>772</v>
      </c>
      <c r="GV125" t="s">
        <v>1919</v>
      </c>
      <c r="GW125" t="s">
        <v>150</v>
      </c>
      <c r="GY125" t="s">
        <v>152</v>
      </c>
      <c r="HE125" t="s">
        <v>158</v>
      </c>
      <c r="HK125" t="s">
        <v>1920</v>
      </c>
      <c r="HM125" t="s">
        <v>1921</v>
      </c>
      <c r="HN125" t="s">
        <v>1922</v>
      </c>
    </row>
    <row r="126" spans="2:224" x14ac:dyDescent="0.25">
      <c r="B126">
        <v>10598777156</v>
      </c>
      <c r="C126" t="s">
        <v>2383</v>
      </c>
      <c r="D126">
        <v>224510252</v>
      </c>
      <c r="E126" s="2">
        <v>43542.367013888892</v>
      </c>
      <c r="F126" s="2">
        <v>43542.384143518517</v>
      </c>
      <c r="G126" t="s">
        <v>163</v>
      </c>
      <c r="L126" t="s">
        <v>310</v>
      </c>
      <c r="N126">
        <v>1200</v>
      </c>
      <c r="O126">
        <v>80</v>
      </c>
      <c r="P126">
        <v>10</v>
      </c>
      <c r="Q126">
        <v>10</v>
      </c>
      <c r="R126">
        <v>0</v>
      </c>
      <c r="S126">
        <v>0</v>
      </c>
      <c r="T126">
        <v>0</v>
      </c>
      <c r="U126" t="s">
        <v>216</v>
      </c>
      <c r="V126" t="s">
        <v>905</v>
      </c>
      <c r="W126" t="s">
        <v>1334</v>
      </c>
      <c r="X126" t="s">
        <v>312</v>
      </c>
      <c r="FT126" t="s">
        <v>198</v>
      </c>
      <c r="FU126" t="s">
        <v>200</v>
      </c>
      <c r="FW126" t="s">
        <v>198</v>
      </c>
      <c r="FX126" t="s">
        <v>198</v>
      </c>
      <c r="GB126" t="s">
        <v>198</v>
      </c>
      <c r="GE126" t="s">
        <v>198</v>
      </c>
      <c r="GF126" t="s">
        <v>198</v>
      </c>
      <c r="GH126" t="s">
        <v>1490</v>
      </c>
      <c r="GL126" t="s">
        <v>1608</v>
      </c>
      <c r="GN126" t="s">
        <v>1490</v>
      </c>
      <c r="GQ126" t="s">
        <v>1438</v>
      </c>
      <c r="GR126" t="s">
        <v>1608</v>
      </c>
      <c r="GV126" t="s">
        <v>1924</v>
      </c>
      <c r="GX126" t="s">
        <v>151</v>
      </c>
      <c r="HB126" t="s">
        <v>155</v>
      </c>
      <c r="HD126" t="s">
        <v>157</v>
      </c>
      <c r="HK126" t="s">
        <v>1925</v>
      </c>
      <c r="HN126" t="s">
        <v>1435</v>
      </c>
    </row>
    <row r="127" spans="2:224" x14ac:dyDescent="0.25">
      <c r="B127">
        <v>10591899046</v>
      </c>
      <c r="C127" t="s">
        <v>2383</v>
      </c>
      <c r="D127">
        <v>224510252</v>
      </c>
      <c r="E127" s="2">
        <v>43538.629618055558</v>
      </c>
      <c r="F127" s="2">
        <v>43538.640196759261</v>
      </c>
      <c r="G127" t="s">
        <v>163</v>
      </c>
      <c r="L127" t="s">
        <v>260</v>
      </c>
      <c r="N127">
        <v>1400</v>
      </c>
      <c r="O127">
        <v>80</v>
      </c>
      <c r="P127">
        <v>10</v>
      </c>
      <c r="Q127">
        <v>8</v>
      </c>
      <c r="R127">
        <v>0</v>
      </c>
      <c r="S127">
        <v>2</v>
      </c>
      <c r="T127">
        <v>0</v>
      </c>
      <c r="U127" t="s">
        <v>261</v>
      </c>
      <c r="V127" t="s">
        <v>905</v>
      </c>
      <c r="W127" t="s">
        <v>1334</v>
      </c>
      <c r="X127" t="s">
        <v>312</v>
      </c>
      <c r="FT127" t="s">
        <v>198</v>
      </c>
      <c r="FU127" t="s">
        <v>199</v>
      </c>
      <c r="FW127" t="s">
        <v>198</v>
      </c>
      <c r="FX127" t="s">
        <v>198</v>
      </c>
      <c r="FY127" t="s">
        <v>200</v>
      </c>
      <c r="FZ127" t="s">
        <v>200</v>
      </c>
      <c r="GA127" t="s">
        <v>200</v>
      </c>
      <c r="GB127" t="s">
        <v>198</v>
      </c>
      <c r="GC127" t="s">
        <v>198</v>
      </c>
      <c r="GE127" t="s">
        <v>198</v>
      </c>
      <c r="GF127" t="s">
        <v>200</v>
      </c>
      <c r="GH127" t="s">
        <v>1490</v>
      </c>
      <c r="GV127" t="s">
        <v>1926</v>
      </c>
      <c r="GX127" t="s">
        <v>151</v>
      </c>
      <c r="HD127" t="s">
        <v>157</v>
      </c>
      <c r="HG127" t="s">
        <v>160</v>
      </c>
    </row>
    <row r="128" spans="2:224" x14ac:dyDescent="0.25">
      <c r="B128">
        <v>10591795167</v>
      </c>
      <c r="C128" t="s">
        <v>2383</v>
      </c>
      <c r="D128">
        <v>224510252</v>
      </c>
      <c r="E128" s="2">
        <v>43538.482974537037</v>
      </c>
      <c r="F128" s="2">
        <v>43538.577824074076</v>
      </c>
      <c r="G128" t="s">
        <v>163</v>
      </c>
      <c r="L128" t="s">
        <v>260</v>
      </c>
      <c r="N128">
        <v>1700</v>
      </c>
      <c r="O128">
        <v>80</v>
      </c>
      <c r="P128">
        <v>0</v>
      </c>
      <c r="Q128">
        <v>20</v>
      </c>
      <c r="R128">
        <v>0</v>
      </c>
      <c r="S128">
        <v>0</v>
      </c>
      <c r="T128">
        <v>0</v>
      </c>
      <c r="U128" t="s">
        <v>322</v>
      </c>
      <c r="V128" t="s">
        <v>905</v>
      </c>
      <c r="W128" t="s">
        <v>1334</v>
      </c>
      <c r="X128" t="s">
        <v>312</v>
      </c>
      <c r="FT128" t="s">
        <v>424</v>
      </c>
      <c r="FU128" t="s">
        <v>424</v>
      </c>
      <c r="FW128" t="s">
        <v>200</v>
      </c>
      <c r="FX128" t="s">
        <v>200</v>
      </c>
      <c r="FY128" t="s">
        <v>200</v>
      </c>
      <c r="FZ128" t="s">
        <v>200</v>
      </c>
      <c r="GA128" t="s">
        <v>200</v>
      </c>
      <c r="GB128" t="s">
        <v>200</v>
      </c>
      <c r="GC128" t="s">
        <v>200</v>
      </c>
      <c r="GD128" t="s">
        <v>1928</v>
      </c>
      <c r="GE128" t="s">
        <v>199</v>
      </c>
      <c r="GF128" t="s">
        <v>200</v>
      </c>
      <c r="GL128" t="s">
        <v>1608</v>
      </c>
      <c r="GR128" t="s">
        <v>1608</v>
      </c>
      <c r="GU128" t="s">
        <v>1929</v>
      </c>
      <c r="GV128" t="s">
        <v>1930</v>
      </c>
      <c r="HB128" t="s">
        <v>155</v>
      </c>
      <c r="HD128" t="s">
        <v>157</v>
      </c>
      <c r="HI128" t="s">
        <v>162</v>
      </c>
      <c r="HK128" t="s">
        <v>1931</v>
      </c>
      <c r="HM128" t="s">
        <v>1932</v>
      </c>
      <c r="HN128" t="s">
        <v>1933</v>
      </c>
      <c r="HO128" t="s">
        <v>1934</v>
      </c>
      <c r="HP128" t="s">
        <v>1935</v>
      </c>
    </row>
    <row r="129" spans="2:224" x14ac:dyDescent="0.25">
      <c r="B129">
        <v>10562997684</v>
      </c>
      <c r="C129" t="s">
        <v>2383</v>
      </c>
      <c r="D129">
        <v>224510252</v>
      </c>
      <c r="E129" s="2">
        <v>43525.552488425928</v>
      </c>
      <c r="F129" s="2">
        <v>43525.593518518523</v>
      </c>
      <c r="G129" t="s">
        <v>163</v>
      </c>
      <c r="L129" t="s">
        <v>948</v>
      </c>
      <c r="N129">
        <v>5000</v>
      </c>
      <c r="O129">
        <v>60</v>
      </c>
      <c r="P129">
        <v>15</v>
      </c>
      <c r="Q129">
        <v>10</v>
      </c>
      <c r="R129">
        <v>15</v>
      </c>
      <c r="S129">
        <v>0</v>
      </c>
      <c r="T129">
        <v>0</v>
      </c>
      <c r="U129" t="s">
        <v>261</v>
      </c>
      <c r="V129" t="s">
        <v>1936</v>
      </c>
      <c r="W129" t="s">
        <v>2405</v>
      </c>
      <c r="X129" t="s">
        <v>166</v>
      </c>
      <c r="Y129" t="s">
        <v>1420</v>
      </c>
      <c r="AC129" t="s">
        <v>263</v>
      </c>
      <c r="AE129" t="s">
        <v>238</v>
      </c>
      <c r="AG129" t="s">
        <v>1937</v>
      </c>
      <c r="AH129" t="s">
        <v>2438</v>
      </c>
      <c r="AI129" t="s">
        <v>1938</v>
      </c>
      <c r="AJ129" t="s">
        <v>2438</v>
      </c>
      <c r="AK129" t="s">
        <v>1459</v>
      </c>
      <c r="AL129" t="s">
        <v>1459</v>
      </c>
      <c r="AM129" t="s">
        <v>1939</v>
      </c>
      <c r="AN129" t="s">
        <v>1940</v>
      </c>
      <c r="AO129" t="s">
        <v>1941</v>
      </c>
      <c r="AP129" t="s">
        <v>401</v>
      </c>
      <c r="AQ129" t="s">
        <v>401</v>
      </c>
      <c r="AR129">
        <v>0</v>
      </c>
      <c r="AS129" t="s">
        <v>401</v>
      </c>
      <c r="AU129" t="s">
        <v>178</v>
      </c>
      <c r="AW129" t="s">
        <v>177</v>
      </c>
      <c r="BD129" t="s">
        <v>1942</v>
      </c>
      <c r="BE129" t="s">
        <v>181</v>
      </c>
      <c r="BG129" t="s">
        <v>177</v>
      </c>
      <c r="BH129" t="s">
        <v>182</v>
      </c>
      <c r="BJ129" t="s">
        <v>177</v>
      </c>
      <c r="BT129" t="s">
        <v>1942</v>
      </c>
      <c r="CD129" t="s">
        <v>1943</v>
      </c>
      <c r="CE129" t="s">
        <v>191</v>
      </c>
      <c r="CG129" t="s">
        <v>177</v>
      </c>
      <c r="CH129" t="s">
        <v>323</v>
      </c>
      <c r="CJ129" t="s">
        <v>177</v>
      </c>
      <c r="CK129" t="s">
        <v>186</v>
      </c>
      <c r="CM129" t="s">
        <v>177</v>
      </c>
      <c r="CN129" t="s">
        <v>190</v>
      </c>
      <c r="CP129" t="s">
        <v>177</v>
      </c>
      <c r="DC129" t="s">
        <v>1942</v>
      </c>
      <c r="DD129" t="s">
        <v>1944</v>
      </c>
      <c r="DE129" t="s">
        <v>1945</v>
      </c>
      <c r="DF129" t="s">
        <v>1946</v>
      </c>
      <c r="DG129" t="s">
        <v>110</v>
      </c>
      <c r="DH129" t="s">
        <v>111</v>
      </c>
      <c r="DI129" t="s">
        <v>112</v>
      </c>
      <c r="DO129" t="s">
        <v>110</v>
      </c>
      <c r="DP129" t="s">
        <v>111</v>
      </c>
      <c r="DQ129" t="s">
        <v>112</v>
      </c>
      <c r="DW129" t="s">
        <v>200</v>
      </c>
      <c r="DX129" t="s">
        <v>200</v>
      </c>
      <c r="DY129" t="s">
        <v>198</v>
      </c>
      <c r="DZ129" t="s">
        <v>198</v>
      </c>
      <c r="EB129" t="s">
        <v>201</v>
      </c>
      <c r="ED129" t="s">
        <v>202</v>
      </c>
      <c r="EF129" t="s">
        <v>203</v>
      </c>
      <c r="EH129" t="s">
        <v>1947</v>
      </c>
      <c r="GV129" t="s">
        <v>1948</v>
      </c>
      <c r="GW129" t="s">
        <v>150</v>
      </c>
      <c r="HB129" t="s">
        <v>155</v>
      </c>
      <c r="HD129" t="s">
        <v>157</v>
      </c>
      <c r="HK129" t="s">
        <v>1949</v>
      </c>
      <c r="HM129" t="s">
        <v>1950</v>
      </c>
      <c r="HN129" t="s">
        <v>792</v>
      </c>
    </row>
    <row r="130" spans="2:224" x14ac:dyDescent="0.25">
      <c r="B130">
        <v>10562930986</v>
      </c>
      <c r="C130" t="s">
        <v>2383</v>
      </c>
      <c r="D130">
        <v>224510252</v>
      </c>
      <c r="E130" s="2">
        <v>43525.527685185189</v>
      </c>
      <c r="F130" s="2">
        <v>43525.552291666667</v>
      </c>
      <c r="G130" t="s">
        <v>163</v>
      </c>
      <c r="L130" t="s">
        <v>215</v>
      </c>
      <c r="N130">
        <v>2500</v>
      </c>
      <c r="O130">
        <v>80</v>
      </c>
      <c r="P130">
        <v>0</v>
      </c>
      <c r="Q130">
        <v>10</v>
      </c>
      <c r="R130">
        <v>10</v>
      </c>
      <c r="S130">
        <v>0</v>
      </c>
      <c r="T130">
        <v>0</v>
      </c>
      <c r="U130" t="s">
        <v>322</v>
      </c>
      <c r="V130" t="s">
        <v>1951</v>
      </c>
      <c r="W130" t="s">
        <v>1336</v>
      </c>
      <c r="X130" t="s">
        <v>166</v>
      </c>
      <c r="Y130" t="s">
        <v>1420</v>
      </c>
      <c r="AC130" t="s">
        <v>167</v>
      </c>
      <c r="AE130" t="s">
        <v>1547</v>
      </c>
      <c r="AG130" t="s">
        <v>1459</v>
      </c>
      <c r="AH130" t="s">
        <v>1459</v>
      </c>
      <c r="AI130" t="s">
        <v>170</v>
      </c>
      <c r="AJ130" t="s">
        <v>2438</v>
      </c>
      <c r="AK130" t="s">
        <v>1952</v>
      </c>
      <c r="AL130" t="s">
        <v>2438</v>
      </c>
      <c r="AM130" t="s">
        <v>1953</v>
      </c>
      <c r="AN130" t="s">
        <v>1954</v>
      </c>
      <c r="AO130" t="s">
        <v>1955</v>
      </c>
      <c r="AP130" t="s">
        <v>401</v>
      </c>
      <c r="AQ130" t="s">
        <v>401</v>
      </c>
      <c r="AR130" t="s">
        <v>401</v>
      </c>
      <c r="AS130" t="s">
        <v>401</v>
      </c>
      <c r="AU130" t="s">
        <v>178</v>
      </c>
      <c r="AW130" t="s">
        <v>177</v>
      </c>
      <c r="AX130" t="s">
        <v>402</v>
      </c>
      <c r="AZ130" t="s">
        <v>177</v>
      </c>
      <c r="BD130" t="s">
        <v>1956</v>
      </c>
      <c r="BE130" t="s">
        <v>182</v>
      </c>
      <c r="BG130" t="s">
        <v>177</v>
      </c>
      <c r="BT130" t="s">
        <v>1957</v>
      </c>
      <c r="CD130" t="s">
        <v>313</v>
      </c>
      <c r="CE130" t="s">
        <v>191</v>
      </c>
      <c r="CG130" t="s">
        <v>177</v>
      </c>
      <c r="CH130" t="s">
        <v>186</v>
      </c>
      <c r="CJ130" t="s">
        <v>177</v>
      </c>
      <c r="DD130" t="s">
        <v>1958</v>
      </c>
      <c r="DE130" t="s">
        <v>1959</v>
      </c>
      <c r="DF130" t="s">
        <v>1960</v>
      </c>
      <c r="DN130" t="s">
        <v>1961</v>
      </c>
      <c r="DO130" t="s">
        <v>110</v>
      </c>
      <c r="DP130" t="s">
        <v>111</v>
      </c>
      <c r="DQ130" t="s">
        <v>112</v>
      </c>
      <c r="DT130" t="s">
        <v>115</v>
      </c>
      <c r="DW130" t="s">
        <v>200</v>
      </c>
      <c r="DX130" t="s">
        <v>199</v>
      </c>
      <c r="DY130" t="s">
        <v>198</v>
      </c>
      <c r="DZ130" t="s">
        <v>198</v>
      </c>
      <c r="EB130" t="s">
        <v>249</v>
      </c>
      <c r="ED130" t="s">
        <v>228</v>
      </c>
      <c r="EF130" t="s">
        <v>203</v>
      </c>
      <c r="EH130" t="s">
        <v>1962</v>
      </c>
      <c r="EL130" t="s">
        <v>122</v>
      </c>
      <c r="EM130" t="s">
        <v>123</v>
      </c>
      <c r="ER130" t="s">
        <v>127</v>
      </c>
      <c r="ET130" t="s">
        <v>200</v>
      </c>
      <c r="EU130" t="s">
        <v>200</v>
      </c>
      <c r="EV130" t="s">
        <v>200</v>
      </c>
      <c r="EW130" t="s">
        <v>200</v>
      </c>
      <c r="EY130" t="s">
        <v>209</v>
      </c>
      <c r="FA130" t="s">
        <v>202</v>
      </c>
      <c r="FB130" t="s">
        <v>203</v>
      </c>
      <c r="FC130" t="s">
        <v>166</v>
      </c>
      <c r="GV130" t="s">
        <v>1963</v>
      </c>
      <c r="GX130" t="s">
        <v>151</v>
      </c>
      <c r="GY130" t="s">
        <v>152</v>
      </c>
      <c r="HB130" t="s">
        <v>155</v>
      </c>
      <c r="HD130" t="s">
        <v>157</v>
      </c>
      <c r="HH130" t="s">
        <v>161</v>
      </c>
      <c r="HI130" t="s">
        <v>162</v>
      </c>
      <c r="HK130" t="s">
        <v>1964</v>
      </c>
      <c r="HM130" t="s">
        <v>1965</v>
      </c>
    </row>
    <row r="131" spans="2:224" x14ac:dyDescent="0.25">
      <c r="B131">
        <v>10538317015</v>
      </c>
      <c r="C131" t="s">
        <v>2383</v>
      </c>
      <c r="D131">
        <v>224510252</v>
      </c>
      <c r="E131" s="2">
        <v>43515.584363425929</v>
      </c>
      <c r="F131" s="2">
        <v>43515.588310185187</v>
      </c>
      <c r="G131" t="s">
        <v>904</v>
      </c>
      <c r="L131" t="s">
        <v>315</v>
      </c>
      <c r="N131">
        <v>500</v>
      </c>
      <c r="O131">
        <v>60</v>
      </c>
      <c r="P131">
        <v>20</v>
      </c>
      <c r="Q131">
        <v>10</v>
      </c>
      <c r="R131">
        <v>5</v>
      </c>
      <c r="S131">
        <v>5</v>
      </c>
      <c r="T131">
        <v>0</v>
      </c>
      <c r="U131" t="s">
        <v>330</v>
      </c>
      <c r="V131" t="s">
        <v>45</v>
      </c>
      <c r="W131" t="s">
        <v>45</v>
      </c>
      <c r="X131" t="s">
        <v>312</v>
      </c>
      <c r="FT131" t="s">
        <v>198</v>
      </c>
      <c r="FU131" t="s">
        <v>200</v>
      </c>
      <c r="FW131" t="s">
        <v>198</v>
      </c>
      <c r="FX131" t="s">
        <v>198</v>
      </c>
      <c r="FY131" t="s">
        <v>198</v>
      </c>
      <c r="GA131" t="s">
        <v>198</v>
      </c>
      <c r="GB131" t="s">
        <v>198</v>
      </c>
      <c r="GC131" t="s">
        <v>198</v>
      </c>
      <c r="GE131" t="s">
        <v>198</v>
      </c>
      <c r="GF131" t="s">
        <v>198</v>
      </c>
      <c r="GH131" t="s">
        <v>1490</v>
      </c>
      <c r="GI131" t="s">
        <v>1540</v>
      </c>
      <c r="GJ131" t="s">
        <v>772</v>
      </c>
      <c r="GK131" t="s">
        <v>1438</v>
      </c>
      <c r="GL131" t="s">
        <v>1608</v>
      </c>
      <c r="GN131" t="s">
        <v>1490</v>
      </c>
      <c r="GO131" t="s">
        <v>1540</v>
      </c>
      <c r="GP131" t="s">
        <v>772</v>
      </c>
      <c r="GQ131" t="s">
        <v>1438</v>
      </c>
      <c r="GR131" t="s">
        <v>1608</v>
      </c>
      <c r="GV131" t="s">
        <v>1967</v>
      </c>
      <c r="GX131" t="s">
        <v>151</v>
      </c>
      <c r="HD131" t="s">
        <v>157</v>
      </c>
      <c r="HG131" t="s">
        <v>160</v>
      </c>
      <c r="HK131" t="s">
        <v>1968</v>
      </c>
    </row>
    <row r="132" spans="2:224" x14ac:dyDescent="0.25">
      <c r="B132">
        <v>10538294878</v>
      </c>
      <c r="C132" t="s">
        <v>2383</v>
      </c>
      <c r="D132">
        <v>224510252</v>
      </c>
      <c r="E132" s="2">
        <v>43515.562650462962</v>
      </c>
      <c r="F132" s="2">
        <v>43515.575335648151</v>
      </c>
      <c r="G132" t="s">
        <v>904</v>
      </c>
      <c r="L132" t="s">
        <v>315</v>
      </c>
      <c r="N132">
        <v>1250</v>
      </c>
      <c r="O132">
        <v>40</v>
      </c>
      <c r="P132">
        <v>20</v>
      </c>
      <c r="Q132">
        <v>0</v>
      </c>
      <c r="R132">
        <v>0</v>
      </c>
      <c r="S132">
        <v>40</v>
      </c>
      <c r="T132">
        <v>0</v>
      </c>
      <c r="U132" t="s">
        <v>494</v>
      </c>
      <c r="V132" t="s">
        <v>217</v>
      </c>
      <c r="W132" t="s">
        <v>1334</v>
      </c>
      <c r="X132" t="s">
        <v>166</v>
      </c>
      <c r="Y132" t="s">
        <v>1499</v>
      </c>
      <c r="AC132" t="s">
        <v>168</v>
      </c>
      <c r="AE132" t="s">
        <v>263</v>
      </c>
      <c r="AG132" t="s">
        <v>1970</v>
      </c>
      <c r="AH132" t="s">
        <v>2438</v>
      </c>
      <c r="AI132" t="s">
        <v>934</v>
      </c>
      <c r="AJ132" t="s">
        <v>169</v>
      </c>
      <c r="AK132" t="s">
        <v>1971</v>
      </c>
      <c r="AL132" t="s">
        <v>2445</v>
      </c>
      <c r="AM132" t="s">
        <v>1972</v>
      </c>
      <c r="AN132" t="s">
        <v>1973</v>
      </c>
      <c r="AO132" t="s">
        <v>1974</v>
      </c>
      <c r="AP132" t="s">
        <v>401</v>
      </c>
      <c r="AQ132" t="s">
        <v>401</v>
      </c>
      <c r="AR132" t="s">
        <v>401</v>
      </c>
      <c r="AS132" t="s">
        <v>401</v>
      </c>
      <c r="AU132" t="s">
        <v>178</v>
      </c>
      <c r="AW132" t="s">
        <v>223</v>
      </c>
      <c r="AX132" t="s">
        <v>176</v>
      </c>
      <c r="AZ132" t="s">
        <v>223</v>
      </c>
      <c r="BD132" t="s">
        <v>1975</v>
      </c>
      <c r="BE132" t="s">
        <v>182</v>
      </c>
      <c r="BG132" t="s">
        <v>223</v>
      </c>
      <c r="BH132" t="s">
        <v>183</v>
      </c>
      <c r="BJ132" t="s">
        <v>223</v>
      </c>
      <c r="BT132" t="s">
        <v>1976</v>
      </c>
      <c r="DD132" t="s">
        <v>1977</v>
      </c>
      <c r="DE132" t="s">
        <v>1978</v>
      </c>
      <c r="DH132" t="s">
        <v>111</v>
      </c>
      <c r="DL132" t="s">
        <v>115</v>
      </c>
      <c r="DP132" t="s">
        <v>111</v>
      </c>
      <c r="DT132" t="s">
        <v>115</v>
      </c>
      <c r="DW132" t="s">
        <v>198</v>
      </c>
      <c r="DX132" t="s">
        <v>199</v>
      </c>
      <c r="DY132" t="s">
        <v>198</v>
      </c>
      <c r="DZ132" t="s">
        <v>198</v>
      </c>
      <c r="EB132" t="s">
        <v>201</v>
      </c>
      <c r="ED132" t="s">
        <v>228</v>
      </c>
      <c r="EF132" t="s">
        <v>233</v>
      </c>
      <c r="EH132" t="s">
        <v>1979</v>
      </c>
      <c r="GY132" t="s">
        <v>152</v>
      </c>
      <c r="HB132" t="s">
        <v>155</v>
      </c>
      <c r="HD132" t="s">
        <v>157</v>
      </c>
      <c r="HG132" t="s">
        <v>160</v>
      </c>
      <c r="HH132" t="s">
        <v>161</v>
      </c>
      <c r="HI132" t="s">
        <v>162</v>
      </c>
      <c r="HK132" t="s">
        <v>1980</v>
      </c>
    </row>
    <row r="133" spans="2:224" x14ac:dyDescent="0.25">
      <c r="B133">
        <v>10538211357</v>
      </c>
      <c r="C133" t="s">
        <v>2383</v>
      </c>
      <c r="D133">
        <v>224510252</v>
      </c>
      <c r="E133" s="2">
        <v>43515.517870370371</v>
      </c>
      <c r="F133" s="2">
        <v>43515.525925925933</v>
      </c>
      <c r="G133" t="s">
        <v>904</v>
      </c>
      <c r="L133" t="s">
        <v>315</v>
      </c>
      <c r="N133">
        <v>7700</v>
      </c>
      <c r="O133">
        <v>25</v>
      </c>
      <c r="P133">
        <v>10</v>
      </c>
      <c r="Q133">
        <v>0</v>
      </c>
      <c r="R133">
        <v>0</v>
      </c>
      <c r="S133">
        <v>65</v>
      </c>
      <c r="T133">
        <v>0</v>
      </c>
      <c r="U133" t="s">
        <v>216</v>
      </c>
      <c r="V133" t="s">
        <v>1982</v>
      </c>
      <c r="W133" t="s">
        <v>1365</v>
      </c>
      <c r="X133" t="s">
        <v>166</v>
      </c>
      <c r="Y133" t="s">
        <v>1420</v>
      </c>
      <c r="AC133" t="s">
        <v>263</v>
      </c>
      <c r="AE133" t="s">
        <v>167</v>
      </c>
      <c r="AG133" t="s">
        <v>1680</v>
      </c>
      <c r="AH133" t="s">
        <v>169</v>
      </c>
      <c r="AI133" t="s">
        <v>1983</v>
      </c>
      <c r="AJ133" t="s">
        <v>1459</v>
      </c>
      <c r="AM133" t="s">
        <v>1984</v>
      </c>
      <c r="AN133" t="s">
        <v>1985</v>
      </c>
      <c r="AO133" t="s">
        <v>1986</v>
      </c>
      <c r="AP133" t="s">
        <v>322</v>
      </c>
      <c r="AQ133" t="s">
        <v>322</v>
      </c>
      <c r="AR133">
        <v>0</v>
      </c>
      <c r="AS133" t="s">
        <v>322</v>
      </c>
      <c r="AU133" t="s">
        <v>178</v>
      </c>
      <c r="AW133" t="s">
        <v>540</v>
      </c>
      <c r="AX133" t="s">
        <v>176</v>
      </c>
      <c r="AZ133" t="s">
        <v>540</v>
      </c>
      <c r="BA133" t="s">
        <v>402</v>
      </c>
      <c r="BC133" t="s">
        <v>540</v>
      </c>
      <c r="BD133" t="s">
        <v>1987</v>
      </c>
      <c r="BE133" t="s">
        <v>180</v>
      </c>
      <c r="BG133" t="s">
        <v>540</v>
      </c>
      <c r="BH133" t="s">
        <v>182</v>
      </c>
      <c r="BJ133" t="s">
        <v>540</v>
      </c>
      <c r="BT133" t="s">
        <v>917</v>
      </c>
      <c r="BU133" t="s">
        <v>184</v>
      </c>
      <c r="BW133" t="s">
        <v>540</v>
      </c>
      <c r="BX133" t="s">
        <v>185</v>
      </c>
      <c r="BZ133" t="s">
        <v>540</v>
      </c>
      <c r="CD133" t="s">
        <v>917</v>
      </c>
      <c r="CE133" t="s">
        <v>186</v>
      </c>
      <c r="CG133" t="s">
        <v>540</v>
      </c>
      <c r="CH133" t="s">
        <v>187</v>
      </c>
      <c r="CJ133" t="s">
        <v>540</v>
      </c>
      <c r="CK133" t="s">
        <v>190</v>
      </c>
      <c r="CM133" t="s">
        <v>540</v>
      </c>
      <c r="CN133" t="s">
        <v>191</v>
      </c>
      <c r="CP133" t="s">
        <v>540</v>
      </c>
      <c r="CQ133" t="s">
        <v>224</v>
      </c>
      <c r="CS133" t="s">
        <v>540</v>
      </c>
      <c r="CT133" t="s">
        <v>192</v>
      </c>
      <c r="CV133" t="s">
        <v>540</v>
      </c>
      <c r="CW133" t="s">
        <v>193</v>
      </c>
      <c r="CY133" t="s">
        <v>540</v>
      </c>
      <c r="DC133" t="s">
        <v>917</v>
      </c>
      <c r="DD133" t="s">
        <v>1988</v>
      </c>
      <c r="DE133" t="s">
        <v>1989</v>
      </c>
      <c r="DF133" t="s">
        <v>1990</v>
      </c>
      <c r="DG133" t="s">
        <v>110</v>
      </c>
      <c r="DH133" t="s">
        <v>111</v>
      </c>
      <c r="DI133" t="s">
        <v>112</v>
      </c>
      <c r="DJ133" t="s">
        <v>113</v>
      </c>
      <c r="DN133" t="s">
        <v>1991</v>
      </c>
      <c r="DO133" t="s">
        <v>110</v>
      </c>
      <c r="DP133" t="s">
        <v>111</v>
      </c>
      <c r="DQ133" t="s">
        <v>112</v>
      </c>
      <c r="DR133" t="s">
        <v>113</v>
      </c>
      <c r="DW133" t="s">
        <v>198</v>
      </c>
      <c r="DX133" t="s">
        <v>198</v>
      </c>
      <c r="DY133" t="s">
        <v>198</v>
      </c>
      <c r="DZ133" t="s">
        <v>198</v>
      </c>
      <c r="EB133" t="s">
        <v>201</v>
      </c>
      <c r="ED133" t="s">
        <v>228</v>
      </c>
      <c r="EF133" t="s">
        <v>233</v>
      </c>
      <c r="EH133" t="s">
        <v>1992</v>
      </c>
      <c r="GV133" t="s">
        <v>1993</v>
      </c>
      <c r="GY133" t="s">
        <v>152</v>
      </c>
      <c r="HD133" t="s">
        <v>157</v>
      </c>
      <c r="HK133" t="s">
        <v>1994</v>
      </c>
      <c r="HM133" t="s">
        <v>1995</v>
      </c>
      <c r="HN133" t="s">
        <v>1996</v>
      </c>
      <c r="HO133" t="s">
        <v>1997</v>
      </c>
      <c r="HP133" t="s">
        <v>1998</v>
      </c>
    </row>
    <row r="134" spans="2:224" x14ac:dyDescent="0.25">
      <c r="B134">
        <v>10526891829</v>
      </c>
      <c r="C134" t="s">
        <v>2383</v>
      </c>
      <c r="D134">
        <v>224510252</v>
      </c>
      <c r="E134" s="2">
        <v>43509.598067129627</v>
      </c>
      <c r="F134" s="2">
        <v>43509.604641203703</v>
      </c>
      <c r="G134" t="s">
        <v>904</v>
      </c>
      <c r="L134" t="s">
        <v>310</v>
      </c>
      <c r="N134">
        <v>1800</v>
      </c>
      <c r="O134">
        <v>60</v>
      </c>
      <c r="P134">
        <v>20</v>
      </c>
      <c r="Q134">
        <v>5</v>
      </c>
      <c r="R134">
        <v>0</v>
      </c>
      <c r="S134">
        <v>15</v>
      </c>
      <c r="T134">
        <v>0</v>
      </c>
      <c r="U134" t="s">
        <v>261</v>
      </c>
      <c r="V134" t="s">
        <v>2000</v>
      </c>
      <c r="W134" t="s">
        <v>2406</v>
      </c>
      <c r="X134" t="s">
        <v>166</v>
      </c>
      <c r="Y134" t="s">
        <v>1499</v>
      </c>
      <c r="AC134" t="s">
        <v>1473</v>
      </c>
      <c r="AE134" t="s">
        <v>263</v>
      </c>
      <c r="AG134" t="s">
        <v>2001</v>
      </c>
      <c r="AH134" t="s">
        <v>2442</v>
      </c>
      <c r="AI134" t="s">
        <v>2002</v>
      </c>
      <c r="AJ134" t="s">
        <v>2442</v>
      </c>
      <c r="AK134" t="s">
        <v>2003</v>
      </c>
      <c r="AL134" t="s">
        <v>1459</v>
      </c>
      <c r="AM134" t="s">
        <v>2004</v>
      </c>
      <c r="AP134" t="s">
        <v>401</v>
      </c>
      <c r="AQ134" t="s">
        <v>401</v>
      </c>
      <c r="AR134" t="s">
        <v>401</v>
      </c>
      <c r="AS134" t="s">
        <v>401</v>
      </c>
      <c r="AU134" t="s">
        <v>402</v>
      </c>
      <c r="BE134" t="s">
        <v>180</v>
      </c>
      <c r="DD134" t="s">
        <v>2005</v>
      </c>
      <c r="DG134" t="s">
        <v>110</v>
      </c>
      <c r="DI134" t="s">
        <v>112</v>
      </c>
      <c r="DO134" t="s">
        <v>110</v>
      </c>
      <c r="DQ134" t="s">
        <v>112</v>
      </c>
      <c r="DW134" t="s">
        <v>424</v>
      </c>
      <c r="DX134" t="s">
        <v>199</v>
      </c>
      <c r="DY134" t="s">
        <v>424</v>
      </c>
      <c r="DZ134" t="s">
        <v>424</v>
      </c>
      <c r="EB134" t="s">
        <v>249</v>
      </c>
      <c r="ED134" t="s">
        <v>228</v>
      </c>
      <c r="EF134" t="s">
        <v>433</v>
      </c>
      <c r="EH134" t="s">
        <v>1101</v>
      </c>
      <c r="GV134" t="s">
        <v>2006</v>
      </c>
      <c r="GW134" t="s">
        <v>150</v>
      </c>
      <c r="GY134" t="s">
        <v>152</v>
      </c>
      <c r="HA134" t="s">
        <v>154</v>
      </c>
      <c r="HB134" t="s">
        <v>155</v>
      </c>
      <c r="HC134" t="s">
        <v>156</v>
      </c>
      <c r="HE134" t="s">
        <v>158</v>
      </c>
      <c r="HG134" t="s">
        <v>160</v>
      </c>
      <c r="HH134" t="s">
        <v>161</v>
      </c>
    </row>
    <row r="135" spans="2:224" x14ac:dyDescent="0.25">
      <c r="B135">
        <v>10526880014</v>
      </c>
      <c r="C135" t="s">
        <v>2383</v>
      </c>
      <c r="D135">
        <v>224510252</v>
      </c>
      <c r="E135" s="2">
        <v>43509.59034722222</v>
      </c>
      <c r="F135" s="2">
        <v>43509.597939814812</v>
      </c>
      <c r="G135" t="s">
        <v>904</v>
      </c>
      <c r="L135" t="s">
        <v>310</v>
      </c>
      <c r="N135">
        <v>1100</v>
      </c>
      <c r="O135">
        <v>60</v>
      </c>
      <c r="P135">
        <v>30</v>
      </c>
      <c r="Q135">
        <v>10</v>
      </c>
      <c r="R135">
        <v>0</v>
      </c>
      <c r="S135">
        <v>0</v>
      </c>
      <c r="T135">
        <v>0</v>
      </c>
      <c r="U135" t="s">
        <v>494</v>
      </c>
      <c r="V135" t="s">
        <v>2008</v>
      </c>
      <c r="W135" t="s">
        <v>2407</v>
      </c>
      <c r="X135" t="s">
        <v>166</v>
      </c>
      <c r="Y135" t="s">
        <v>1420</v>
      </c>
      <c r="AC135" t="s">
        <v>263</v>
      </c>
      <c r="AE135" t="s">
        <v>263</v>
      </c>
      <c r="AG135" t="s">
        <v>575</v>
      </c>
      <c r="AH135" t="s">
        <v>169</v>
      </c>
      <c r="AI135" t="s">
        <v>2009</v>
      </c>
      <c r="AJ135" t="s">
        <v>2438</v>
      </c>
      <c r="AK135" t="s">
        <v>2010</v>
      </c>
      <c r="AL135" t="s">
        <v>1459</v>
      </c>
      <c r="AM135" t="s">
        <v>2011</v>
      </c>
      <c r="AP135" t="s">
        <v>322</v>
      </c>
      <c r="AQ135" t="s">
        <v>322</v>
      </c>
      <c r="AR135" t="s">
        <v>322</v>
      </c>
      <c r="AS135" t="s">
        <v>322</v>
      </c>
      <c r="AT135" t="s">
        <v>2012</v>
      </c>
      <c r="AU135" t="s">
        <v>178</v>
      </c>
      <c r="AW135" t="s">
        <v>223</v>
      </c>
      <c r="BD135">
        <v>5</v>
      </c>
      <c r="BE135" t="s">
        <v>182</v>
      </c>
      <c r="BG135" t="s">
        <v>223</v>
      </c>
      <c r="BU135" t="s">
        <v>184</v>
      </c>
      <c r="BW135" t="s">
        <v>223</v>
      </c>
      <c r="CE135" t="s">
        <v>187</v>
      </c>
      <c r="CG135" t="s">
        <v>223</v>
      </c>
      <c r="DD135" t="s">
        <v>2013</v>
      </c>
      <c r="DE135" t="s">
        <v>2014</v>
      </c>
      <c r="DF135" t="s">
        <v>2015</v>
      </c>
      <c r="DN135" t="s">
        <v>2016</v>
      </c>
      <c r="DV135" t="s">
        <v>2017</v>
      </c>
      <c r="DW135" t="s">
        <v>424</v>
      </c>
      <c r="DX135" t="s">
        <v>199</v>
      </c>
      <c r="DY135" t="s">
        <v>424</v>
      </c>
      <c r="DZ135" t="s">
        <v>424</v>
      </c>
      <c r="EB135" t="s">
        <v>201</v>
      </c>
      <c r="ED135" t="s">
        <v>202</v>
      </c>
      <c r="EF135" t="s">
        <v>203</v>
      </c>
      <c r="EH135" t="s">
        <v>2018</v>
      </c>
      <c r="EI135" t="s">
        <v>2019</v>
      </c>
      <c r="ES135" t="s">
        <v>2020</v>
      </c>
      <c r="GV135" t="s">
        <v>2021</v>
      </c>
      <c r="GX135" t="s">
        <v>151</v>
      </c>
      <c r="GY135" t="s">
        <v>152</v>
      </c>
      <c r="HA135" t="s">
        <v>154</v>
      </c>
      <c r="HB135" t="s">
        <v>155</v>
      </c>
      <c r="HC135" t="s">
        <v>156</v>
      </c>
      <c r="HD135" t="s">
        <v>157</v>
      </c>
      <c r="HE135" t="s">
        <v>158</v>
      </c>
      <c r="HF135" t="s">
        <v>159</v>
      </c>
      <c r="HG135" t="s">
        <v>160</v>
      </c>
      <c r="HH135" t="s">
        <v>161</v>
      </c>
      <c r="HI135" t="s">
        <v>162</v>
      </c>
      <c r="HK135" t="s">
        <v>2022</v>
      </c>
      <c r="HM135" t="s">
        <v>2023</v>
      </c>
      <c r="HN135" t="s">
        <v>2024</v>
      </c>
      <c r="HP135" t="s">
        <v>2025</v>
      </c>
    </row>
    <row r="136" spans="2:224" x14ac:dyDescent="0.25">
      <c r="B136">
        <v>10526854584</v>
      </c>
      <c r="C136" t="s">
        <v>2383</v>
      </c>
      <c r="D136">
        <v>224510252</v>
      </c>
      <c r="E136" s="2">
        <v>43509.559270833342</v>
      </c>
      <c r="F136" s="2">
        <v>43509.579722222217</v>
      </c>
      <c r="G136" t="s">
        <v>904</v>
      </c>
      <c r="L136" t="s">
        <v>279</v>
      </c>
      <c r="N136">
        <v>1600</v>
      </c>
      <c r="O136">
        <v>99</v>
      </c>
      <c r="P136">
        <v>33</v>
      </c>
      <c r="Q136">
        <v>1</v>
      </c>
      <c r="R136">
        <v>0</v>
      </c>
      <c r="S136">
        <v>0</v>
      </c>
      <c r="T136">
        <v>0</v>
      </c>
      <c r="U136" t="s">
        <v>216</v>
      </c>
      <c r="V136" t="s">
        <v>2026</v>
      </c>
      <c r="W136" t="s">
        <v>2424</v>
      </c>
      <c r="X136" t="s">
        <v>166</v>
      </c>
      <c r="Y136" t="s">
        <v>1420</v>
      </c>
      <c r="AC136" t="s">
        <v>263</v>
      </c>
      <c r="AE136" t="s">
        <v>263</v>
      </c>
      <c r="AG136" t="s">
        <v>1475</v>
      </c>
      <c r="AH136" t="s">
        <v>1459</v>
      </c>
      <c r="AI136" t="s">
        <v>2027</v>
      </c>
      <c r="AJ136" t="s">
        <v>2445</v>
      </c>
      <c r="AK136" t="s">
        <v>2028</v>
      </c>
      <c r="AL136" t="s">
        <v>2442</v>
      </c>
      <c r="AO136" t="s">
        <v>2029</v>
      </c>
      <c r="AP136" t="s">
        <v>401</v>
      </c>
      <c r="AQ136" t="s">
        <v>401</v>
      </c>
      <c r="AR136" t="s">
        <v>401</v>
      </c>
      <c r="AS136" t="s">
        <v>401</v>
      </c>
      <c r="AU136" t="s">
        <v>176</v>
      </c>
      <c r="BE136" t="s">
        <v>180</v>
      </c>
      <c r="BU136" t="s">
        <v>184</v>
      </c>
      <c r="DD136" t="s">
        <v>2030</v>
      </c>
      <c r="DL136" t="s">
        <v>115</v>
      </c>
      <c r="DT136" t="s">
        <v>115</v>
      </c>
      <c r="DW136" t="s">
        <v>198</v>
      </c>
      <c r="DX136" t="s">
        <v>199</v>
      </c>
      <c r="DY136" t="s">
        <v>200</v>
      </c>
      <c r="DZ136" t="s">
        <v>198</v>
      </c>
      <c r="EB136" t="s">
        <v>201</v>
      </c>
      <c r="ED136" t="s">
        <v>202</v>
      </c>
      <c r="EF136" t="s">
        <v>433</v>
      </c>
      <c r="EH136" t="s">
        <v>2031</v>
      </c>
      <c r="GW136" t="s">
        <v>150</v>
      </c>
      <c r="GY136" t="s">
        <v>152</v>
      </c>
      <c r="HB136" t="s">
        <v>155</v>
      </c>
      <c r="HD136" t="s">
        <v>157</v>
      </c>
      <c r="HG136" t="s">
        <v>160</v>
      </c>
      <c r="HH136" t="s">
        <v>161</v>
      </c>
      <c r="HI136" t="s">
        <v>162</v>
      </c>
      <c r="HK136" t="s">
        <v>2032</v>
      </c>
      <c r="HM136" t="s">
        <v>1721</v>
      </c>
      <c r="HN136" t="s">
        <v>2033</v>
      </c>
    </row>
    <row r="137" spans="2:224" x14ac:dyDescent="0.25">
      <c r="B137">
        <v>10526710480</v>
      </c>
      <c r="C137" t="s">
        <v>2383</v>
      </c>
      <c r="D137">
        <v>224510252</v>
      </c>
      <c r="E137" s="2">
        <v>43509.491863425923</v>
      </c>
      <c r="F137" s="2">
        <v>43509.498425925929</v>
      </c>
      <c r="G137" t="s">
        <v>904</v>
      </c>
      <c r="L137" t="s">
        <v>948</v>
      </c>
      <c r="N137">
        <v>4200</v>
      </c>
      <c r="O137">
        <v>70</v>
      </c>
      <c r="P137">
        <v>0</v>
      </c>
      <c r="Q137">
        <v>20</v>
      </c>
      <c r="R137">
        <v>5</v>
      </c>
      <c r="S137">
        <v>5</v>
      </c>
      <c r="T137">
        <v>0</v>
      </c>
      <c r="U137" t="s">
        <v>216</v>
      </c>
      <c r="V137" t="s">
        <v>2035</v>
      </c>
      <c r="W137" t="s">
        <v>1337</v>
      </c>
      <c r="X137" t="s">
        <v>166</v>
      </c>
      <c r="Y137" t="s">
        <v>1420</v>
      </c>
      <c r="AC137" t="s">
        <v>168</v>
      </c>
      <c r="AE137" t="s">
        <v>238</v>
      </c>
      <c r="AG137" t="s">
        <v>1475</v>
      </c>
      <c r="AH137" t="s">
        <v>1459</v>
      </c>
      <c r="AI137" t="s">
        <v>2036</v>
      </c>
      <c r="AJ137" t="s">
        <v>2438</v>
      </c>
      <c r="AK137" t="s">
        <v>2037</v>
      </c>
      <c r="AL137" t="s">
        <v>2442</v>
      </c>
      <c r="AM137" t="s">
        <v>2038</v>
      </c>
      <c r="EH137" t="s">
        <v>2039</v>
      </c>
      <c r="EI137" t="s">
        <v>2040</v>
      </c>
      <c r="EJ137" t="s">
        <v>2041</v>
      </c>
      <c r="EK137" t="s">
        <v>2042</v>
      </c>
      <c r="EM137" t="s">
        <v>123</v>
      </c>
      <c r="EO137" t="s">
        <v>113</v>
      </c>
      <c r="ET137" t="s">
        <v>198</v>
      </c>
      <c r="EU137" t="s">
        <v>200</v>
      </c>
      <c r="EV137" t="s">
        <v>198</v>
      </c>
      <c r="EW137" t="s">
        <v>198</v>
      </c>
      <c r="EY137" t="s">
        <v>209</v>
      </c>
      <c r="FA137" t="s">
        <v>254</v>
      </c>
      <c r="FB137" t="s">
        <v>233</v>
      </c>
      <c r="FC137" t="s">
        <v>2043</v>
      </c>
      <c r="GX137" t="s">
        <v>151</v>
      </c>
      <c r="HD137" t="s">
        <v>157</v>
      </c>
      <c r="HJ137" t="s">
        <v>2044</v>
      </c>
      <c r="HK137" t="s">
        <v>2045</v>
      </c>
      <c r="HL137" t="s">
        <v>2046</v>
      </c>
      <c r="HM137" t="s">
        <v>2047</v>
      </c>
      <c r="HN137" t="s">
        <v>2048</v>
      </c>
      <c r="HO137" t="s">
        <v>2049</v>
      </c>
      <c r="HP137">
        <v>429421819</v>
      </c>
    </row>
    <row r="138" spans="2:224" x14ac:dyDescent="0.25">
      <c r="B138">
        <v>10521490875</v>
      </c>
      <c r="C138" t="s">
        <v>2383</v>
      </c>
      <c r="D138">
        <v>224510252</v>
      </c>
      <c r="E138" s="2">
        <v>43507.411122685182</v>
      </c>
      <c r="F138" s="2">
        <v>43507.412881944438</v>
      </c>
      <c r="G138" t="s">
        <v>904</v>
      </c>
      <c r="L138" t="s">
        <v>366</v>
      </c>
      <c r="N138">
        <v>600</v>
      </c>
      <c r="O138">
        <v>70</v>
      </c>
      <c r="P138">
        <v>10</v>
      </c>
      <c r="Q138">
        <v>15</v>
      </c>
      <c r="R138">
        <v>5</v>
      </c>
      <c r="S138">
        <v>0</v>
      </c>
      <c r="T138">
        <v>0</v>
      </c>
      <c r="U138" t="s">
        <v>494</v>
      </c>
      <c r="V138" t="s">
        <v>2050</v>
      </c>
      <c r="W138" t="s">
        <v>2397</v>
      </c>
      <c r="X138" t="s">
        <v>312</v>
      </c>
      <c r="FT138" t="s">
        <v>198</v>
      </c>
      <c r="FU138" t="s">
        <v>199</v>
      </c>
      <c r="FX138" t="s">
        <v>424</v>
      </c>
      <c r="FY138" t="s">
        <v>198</v>
      </c>
      <c r="FZ138" t="s">
        <v>198</v>
      </c>
      <c r="GB138" t="s">
        <v>198</v>
      </c>
      <c r="GC138" t="s">
        <v>198</v>
      </c>
      <c r="GE138" t="s">
        <v>198</v>
      </c>
      <c r="GF138" t="s">
        <v>200</v>
      </c>
      <c r="GI138" t="s">
        <v>1540</v>
      </c>
      <c r="GJ138" t="s">
        <v>772</v>
      </c>
      <c r="GL138" t="s">
        <v>1608</v>
      </c>
      <c r="GO138" t="s">
        <v>1540</v>
      </c>
      <c r="GP138" t="s">
        <v>772</v>
      </c>
      <c r="GR138" t="s">
        <v>1608</v>
      </c>
      <c r="GV138" t="s">
        <v>2051</v>
      </c>
      <c r="GY138" t="s">
        <v>152</v>
      </c>
      <c r="HB138" t="s">
        <v>155</v>
      </c>
      <c r="HE138" t="s">
        <v>158</v>
      </c>
    </row>
    <row r="139" spans="2:224" x14ac:dyDescent="0.25">
      <c r="B139">
        <v>10521465270</v>
      </c>
      <c r="C139" t="s">
        <v>2383</v>
      </c>
      <c r="D139">
        <v>224510252</v>
      </c>
      <c r="E139" s="2">
        <v>43507.390474537038</v>
      </c>
      <c r="F139" s="2">
        <v>43507.39403935185</v>
      </c>
      <c r="G139" t="s">
        <v>904</v>
      </c>
      <c r="L139" t="s">
        <v>215</v>
      </c>
      <c r="N139">
        <v>3300</v>
      </c>
      <c r="O139">
        <v>65</v>
      </c>
      <c r="P139">
        <v>0</v>
      </c>
      <c r="Q139">
        <v>20</v>
      </c>
      <c r="R139">
        <v>0</v>
      </c>
      <c r="S139">
        <v>5</v>
      </c>
      <c r="T139">
        <v>10</v>
      </c>
      <c r="U139" t="s">
        <v>322</v>
      </c>
      <c r="V139" t="s">
        <v>1160</v>
      </c>
      <c r="W139" t="s">
        <v>45</v>
      </c>
      <c r="X139" t="s">
        <v>312</v>
      </c>
      <c r="FT139" t="s">
        <v>198</v>
      </c>
      <c r="FU139" t="s">
        <v>198</v>
      </c>
      <c r="FX139" t="s">
        <v>198</v>
      </c>
      <c r="GD139" t="s">
        <v>2053</v>
      </c>
      <c r="GE139" t="s">
        <v>198</v>
      </c>
      <c r="GF139" t="s">
        <v>198</v>
      </c>
      <c r="GJ139" t="s">
        <v>772</v>
      </c>
      <c r="GP139" t="s">
        <v>772</v>
      </c>
      <c r="GT139" t="s">
        <v>2054</v>
      </c>
      <c r="GV139" t="s">
        <v>2055</v>
      </c>
      <c r="GY139" t="s">
        <v>152</v>
      </c>
      <c r="HB139" t="s">
        <v>155</v>
      </c>
      <c r="HD139" t="s">
        <v>157</v>
      </c>
      <c r="HF139" t="s">
        <v>159</v>
      </c>
      <c r="HI139" t="s">
        <v>162</v>
      </c>
      <c r="HK139" t="s">
        <v>2056</v>
      </c>
    </row>
    <row r="140" spans="2:224" x14ac:dyDescent="0.25">
      <c r="B140">
        <v>10521452435</v>
      </c>
      <c r="C140" t="s">
        <v>2383</v>
      </c>
      <c r="D140">
        <v>224510252</v>
      </c>
      <c r="E140" s="2">
        <v>43507.380196759259</v>
      </c>
      <c r="F140" s="2">
        <v>43507.382754629631</v>
      </c>
      <c r="G140" t="s">
        <v>904</v>
      </c>
      <c r="L140" t="s">
        <v>215</v>
      </c>
      <c r="N140">
        <v>3200</v>
      </c>
      <c r="O140">
        <v>50</v>
      </c>
      <c r="P140">
        <v>0</v>
      </c>
      <c r="Q140">
        <v>20</v>
      </c>
      <c r="R140">
        <v>10</v>
      </c>
      <c r="S140">
        <v>10</v>
      </c>
      <c r="T140">
        <v>10</v>
      </c>
      <c r="U140" t="s">
        <v>494</v>
      </c>
      <c r="V140" t="s">
        <v>2058</v>
      </c>
      <c r="W140" t="s">
        <v>1370</v>
      </c>
      <c r="X140" t="s">
        <v>312</v>
      </c>
      <c r="FT140" t="s">
        <v>198</v>
      </c>
      <c r="FU140" t="s">
        <v>200</v>
      </c>
      <c r="FW140" t="s">
        <v>199</v>
      </c>
      <c r="FX140" t="s">
        <v>424</v>
      </c>
      <c r="FY140" t="s">
        <v>199</v>
      </c>
      <c r="FZ140" t="s">
        <v>199</v>
      </c>
      <c r="GA140" t="s">
        <v>199</v>
      </c>
      <c r="GB140" t="s">
        <v>199</v>
      </c>
      <c r="GC140" t="s">
        <v>198</v>
      </c>
      <c r="GE140" t="s">
        <v>424</v>
      </c>
      <c r="GF140" t="s">
        <v>200</v>
      </c>
      <c r="GJ140" t="s">
        <v>772</v>
      </c>
      <c r="GP140" t="s">
        <v>772</v>
      </c>
      <c r="GV140" t="s">
        <v>2059</v>
      </c>
      <c r="GX140" t="s">
        <v>151</v>
      </c>
      <c r="GY140" t="s">
        <v>152</v>
      </c>
      <c r="HB140" t="s">
        <v>155</v>
      </c>
      <c r="HD140" t="s">
        <v>157</v>
      </c>
      <c r="HG140" t="s">
        <v>160</v>
      </c>
      <c r="HI140" t="s">
        <v>162</v>
      </c>
      <c r="HK140" t="s">
        <v>2060</v>
      </c>
    </row>
    <row r="141" spans="2:224" x14ac:dyDescent="0.25">
      <c r="B141">
        <v>10521438021</v>
      </c>
      <c r="C141" t="s">
        <v>2383</v>
      </c>
      <c r="D141">
        <v>224510252</v>
      </c>
      <c r="E141" s="2">
        <v>43507.367986111109</v>
      </c>
      <c r="F141" s="2">
        <v>43507.376504629632</v>
      </c>
      <c r="G141" t="s">
        <v>904</v>
      </c>
      <c r="L141" t="s">
        <v>215</v>
      </c>
      <c r="N141">
        <v>600</v>
      </c>
      <c r="O141">
        <v>70</v>
      </c>
      <c r="P141">
        <v>0</v>
      </c>
      <c r="Q141">
        <v>30</v>
      </c>
      <c r="R141">
        <v>0</v>
      </c>
      <c r="S141">
        <v>0</v>
      </c>
      <c r="T141">
        <v>0</v>
      </c>
      <c r="U141" t="s">
        <v>261</v>
      </c>
      <c r="V141" t="s">
        <v>2061</v>
      </c>
      <c r="W141" t="s">
        <v>1336</v>
      </c>
      <c r="X141" t="s">
        <v>166</v>
      </c>
      <c r="Y141" t="s">
        <v>1420</v>
      </c>
      <c r="AC141" t="s">
        <v>1547</v>
      </c>
      <c r="AE141" t="s">
        <v>1547</v>
      </c>
      <c r="AG141" t="s">
        <v>2062</v>
      </c>
      <c r="AH141" t="s">
        <v>169</v>
      </c>
      <c r="AI141" t="s">
        <v>2063</v>
      </c>
      <c r="AJ141" t="s">
        <v>2438</v>
      </c>
      <c r="AK141" t="s">
        <v>2064</v>
      </c>
      <c r="AL141" t="s">
        <v>2441</v>
      </c>
      <c r="AM141" t="s">
        <v>2065</v>
      </c>
      <c r="AN141" t="s">
        <v>2066</v>
      </c>
      <c r="AO141" t="s">
        <v>2067</v>
      </c>
      <c r="AP141" t="s">
        <v>261</v>
      </c>
      <c r="AQ141" t="s">
        <v>261</v>
      </c>
      <c r="AR141" t="s">
        <v>261</v>
      </c>
      <c r="AS141" t="s">
        <v>261</v>
      </c>
      <c r="AU141" t="s">
        <v>178</v>
      </c>
      <c r="AW141" t="s">
        <v>405</v>
      </c>
      <c r="AX141" t="s">
        <v>176</v>
      </c>
      <c r="AZ141" t="s">
        <v>405</v>
      </c>
      <c r="BA141" t="s">
        <v>402</v>
      </c>
      <c r="BC141" t="s">
        <v>405</v>
      </c>
      <c r="BD141" t="s">
        <v>2068</v>
      </c>
      <c r="BE141" t="s">
        <v>180</v>
      </c>
      <c r="BG141" t="s">
        <v>405</v>
      </c>
      <c r="BH141" t="s">
        <v>182</v>
      </c>
      <c r="BJ141" t="s">
        <v>405</v>
      </c>
      <c r="BK141" t="s">
        <v>679</v>
      </c>
      <c r="BM141" t="s">
        <v>405</v>
      </c>
      <c r="BT141" t="s">
        <v>2069</v>
      </c>
      <c r="BU141" t="s">
        <v>184</v>
      </c>
      <c r="BW141" t="s">
        <v>405</v>
      </c>
      <c r="BX141" t="s">
        <v>185</v>
      </c>
      <c r="BZ141" t="s">
        <v>405</v>
      </c>
      <c r="CD141" t="s">
        <v>2069</v>
      </c>
      <c r="CE141" t="s">
        <v>186</v>
      </c>
      <c r="CG141" t="s">
        <v>405</v>
      </c>
      <c r="CH141" t="s">
        <v>187</v>
      </c>
      <c r="CJ141" t="s">
        <v>405</v>
      </c>
      <c r="CK141" t="s">
        <v>191</v>
      </c>
      <c r="CM141" t="s">
        <v>405</v>
      </c>
      <c r="CN141" t="s">
        <v>192</v>
      </c>
      <c r="CP141" t="s">
        <v>405</v>
      </c>
      <c r="CQ141" t="s">
        <v>193</v>
      </c>
      <c r="CS141" t="s">
        <v>405</v>
      </c>
      <c r="CT141" t="s">
        <v>1011</v>
      </c>
      <c r="CV141" t="s">
        <v>405</v>
      </c>
      <c r="DC141" t="s">
        <v>2068</v>
      </c>
      <c r="DD141" t="s">
        <v>2070</v>
      </c>
      <c r="DE141" t="s">
        <v>2071</v>
      </c>
      <c r="DF141" t="s">
        <v>2072</v>
      </c>
      <c r="DH141" t="s">
        <v>111</v>
      </c>
      <c r="DP141" t="s">
        <v>111</v>
      </c>
      <c r="DW141" t="s">
        <v>200</v>
      </c>
      <c r="DX141" t="s">
        <v>199</v>
      </c>
      <c r="DY141" t="s">
        <v>198</v>
      </c>
      <c r="DZ141" t="s">
        <v>198</v>
      </c>
      <c r="EB141" t="s">
        <v>201</v>
      </c>
      <c r="ED141" t="s">
        <v>228</v>
      </c>
      <c r="EF141" t="s">
        <v>233</v>
      </c>
      <c r="EH141" t="s">
        <v>2073</v>
      </c>
      <c r="EI141" t="s">
        <v>2074</v>
      </c>
      <c r="EJ141" t="s">
        <v>2075</v>
      </c>
      <c r="EK141" t="s">
        <v>2076</v>
      </c>
      <c r="EM141" t="s">
        <v>123</v>
      </c>
      <c r="ET141" t="s">
        <v>200</v>
      </c>
      <c r="EU141" t="s">
        <v>199</v>
      </c>
      <c r="EV141" t="s">
        <v>198</v>
      </c>
      <c r="EW141" t="s">
        <v>198</v>
      </c>
      <c r="EY141" t="s">
        <v>209</v>
      </c>
      <c r="FA141" t="s">
        <v>228</v>
      </c>
      <c r="FB141" t="s">
        <v>233</v>
      </c>
      <c r="FC141" t="s">
        <v>2077</v>
      </c>
      <c r="GV141" t="s">
        <v>2078</v>
      </c>
      <c r="GY141" t="s">
        <v>152</v>
      </c>
      <c r="HB141" t="s">
        <v>155</v>
      </c>
      <c r="HE141" t="s">
        <v>158</v>
      </c>
      <c r="HH141" t="s">
        <v>161</v>
      </c>
    </row>
    <row r="142" spans="2:224" x14ac:dyDescent="0.25">
      <c r="B142">
        <v>10521420076</v>
      </c>
      <c r="C142" t="s">
        <v>2383</v>
      </c>
      <c r="D142">
        <v>224510252</v>
      </c>
      <c r="E142" s="2">
        <v>43507.350787037038</v>
      </c>
      <c r="F142" s="2">
        <v>43507.364259259259</v>
      </c>
      <c r="G142" t="s">
        <v>904</v>
      </c>
      <c r="L142" t="s">
        <v>215</v>
      </c>
      <c r="N142">
        <v>600</v>
      </c>
      <c r="O142">
        <v>70</v>
      </c>
      <c r="P142">
        <v>0</v>
      </c>
      <c r="Q142">
        <v>30</v>
      </c>
      <c r="R142">
        <v>0</v>
      </c>
      <c r="S142">
        <v>0</v>
      </c>
      <c r="T142">
        <v>0</v>
      </c>
      <c r="U142" t="s">
        <v>261</v>
      </c>
      <c r="V142" t="s">
        <v>2061</v>
      </c>
      <c r="W142" t="s">
        <v>1336</v>
      </c>
      <c r="X142" t="s">
        <v>166</v>
      </c>
      <c r="Y142" t="s">
        <v>1420</v>
      </c>
      <c r="AC142" t="s">
        <v>1547</v>
      </c>
      <c r="AE142" t="s">
        <v>1547</v>
      </c>
      <c r="AG142" t="s">
        <v>381</v>
      </c>
      <c r="AH142" t="s">
        <v>169</v>
      </c>
      <c r="AI142" t="s">
        <v>2079</v>
      </c>
      <c r="AJ142" t="s">
        <v>2438</v>
      </c>
      <c r="AK142" t="s">
        <v>2080</v>
      </c>
      <c r="AL142" t="s">
        <v>2441</v>
      </c>
      <c r="AM142" t="s">
        <v>2065</v>
      </c>
      <c r="AN142" t="s">
        <v>2066</v>
      </c>
      <c r="AO142" t="s">
        <v>2081</v>
      </c>
      <c r="AP142" t="s">
        <v>261</v>
      </c>
      <c r="AQ142" t="s">
        <v>261</v>
      </c>
      <c r="AR142" t="s">
        <v>261</v>
      </c>
      <c r="AS142" t="s">
        <v>261</v>
      </c>
      <c r="AU142" t="s">
        <v>178</v>
      </c>
      <c r="AW142" t="s">
        <v>405</v>
      </c>
      <c r="AX142" t="s">
        <v>176</v>
      </c>
      <c r="AZ142" t="s">
        <v>405</v>
      </c>
      <c r="BA142" t="s">
        <v>402</v>
      </c>
      <c r="BC142" t="s">
        <v>405</v>
      </c>
      <c r="BD142" t="s">
        <v>2068</v>
      </c>
      <c r="BE142" t="s">
        <v>180</v>
      </c>
      <c r="BG142" t="s">
        <v>405</v>
      </c>
      <c r="BH142" t="s">
        <v>182</v>
      </c>
      <c r="BJ142" t="s">
        <v>405</v>
      </c>
      <c r="BK142" t="s">
        <v>679</v>
      </c>
      <c r="BM142" t="s">
        <v>405</v>
      </c>
      <c r="BT142" t="s">
        <v>2069</v>
      </c>
      <c r="BU142" t="s">
        <v>184</v>
      </c>
      <c r="BW142" t="s">
        <v>405</v>
      </c>
      <c r="BX142" t="s">
        <v>185</v>
      </c>
      <c r="BZ142" t="s">
        <v>405</v>
      </c>
      <c r="CD142" t="s">
        <v>2082</v>
      </c>
      <c r="CE142" t="s">
        <v>186</v>
      </c>
      <c r="CG142" t="s">
        <v>405</v>
      </c>
      <c r="CH142" t="s">
        <v>187</v>
      </c>
      <c r="CJ142" t="s">
        <v>405</v>
      </c>
      <c r="CK142" t="s">
        <v>191</v>
      </c>
      <c r="CM142" t="s">
        <v>405</v>
      </c>
      <c r="CN142" t="s">
        <v>192</v>
      </c>
      <c r="CP142" t="s">
        <v>405</v>
      </c>
      <c r="CQ142" t="s">
        <v>193</v>
      </c>
      <c r="CS142" t="s">
        <v>405</v>
      </c>
      <c r="CT142" t="s">
        <v>1011</v>
      </c>
      <c r="CV142" t="s">
        <v>405</v>
      </c>
      <c r="DC142" t="s">
        <v>2068</v>
      </c>
      <c r="DD142" t="s">
        <v>2070</v>
      </c>
      <c r="DE142" t="s">
        <v>2071</v>
      </c>
      <c r="DF142" t="s">
        <v>2072</v>
      </c>
      <c r="DH142" t="s">
        <v>111</v>
      </c>
      <c r="DP142" t="s">
        <v>111</v>
      </c>
      <c r="DW142" t="s">
        <v>200</v>
      </c>
      <c r="DX142" t="s">
        <v>199</v>
      </c>
      <c r="DY142" t="s">
        <v>200</v>
      </c>
      <c r="DZ142" t="s">
        <v>200</v>
      </c>
      <c r="EB142" t="s">
        <v>201</v>
      </c>
      <c r="ED142" t="s">
        <v>228</v>
      </c>
      <c r="EF142" t="s">
        <v>233</v>
      </c>
    </row>
    <row r="143" spans="2:224" x14ac:dyDescent="0.25">
      <c r="B143">
        <v>10517303436</v>
      </c>
      <c r="C143" t="s">
        <v>2383</v>
      </c>
      <c r="D143">
        <v>224510252</v>
      </c>
      <c r="E143" s="2">
        <v>43504.675763888888</v>
      </c>
      <c r="F143" s="2">
        <v>43504.678032407413</v>
      </c>
      <c r="G143" t="s">
        <v>904</v>
      </c>
      <c r="L143" t="s">
        <v>215</v>
      </c>
      <c r="N143">
        <v>5000</v>
      </c>
      <c r="O143">
        <v>65</v>
      </c>
      <c r="P143">
        <v>1</v>
      </c>
      <c r="Q143">
        <v>15</v>
      </c>
      <c r="R143">
        <v>5</v>
      </c>
      <c r="S143">
        <v>4</v>
      </c>
      <c r="T143">
        <v>5</v>
      </c>
      <c r="U143" t="s">
        <v>401</v>
      </c>
      <c r="V143" t="s">
        <v>45</v>
      </c>
      <c r="W143" t="s">
        <v>45</v>
      </c>
      <c r="X143" t="s">
        <v>312</v>
      </c>
      <c r="FT143" t="s">
        <v>200</v>
      </c>
      <c r="FU143" t="s">
        <v>200</v>
      </c>
      <c r="FW143" t="s">
        <v>200</v>
      </c>
      <c r="FX143" t="s">
        <v>200</v>
      </c>
      <c r="FY143" t="s">
        <v>200</v>
      </c>
      <c r="FZ143" t="s">
        <v>198</v>
      </c>
      <c r="GA143" t="s">
        <v>198</v>
      </c>
      <c r="GB143" t="s">
        <v>198</v>
      </c>
      <c r="GC143" t="s">
        <v>200</v>
      </c>
      <c r="GE143" t="s">
        <v>198</v>
      </c>
      <c r="GF143" t="s">
        <v>198</v>
      </c>
      <c r="GL143" t="s">
        <v>1608</v>
      </c>
      <c r="GR143" t="s">
        <v>1608</v>
      </c>
      <c r="GV143" t="s">
        <v>2084</v>
      </c>
      <c r="GW143" t="s">
        <v>150</v>
      </c>
      <c r="HB143" t="s">
        <v>155</v>
      </c>
      <c r="HD143" t="s">
        <v>157</v>
      </c>
      <c r="HK143" t="s">
        <v>2085</v>
      </c>
    </row>
    <row r="144" spans="2:224" x14ac:dyDescent="0.25">
      <c r="B144">
        <v>10517286215</v>
      </c>
      <c r="C144" t="s">
        <v>2383</v>
      </c>
      <c r="D144">
        <v>224510252</v>
      </c>
      <c r="E144" s="2">
        <v>43504.662638888891</v>
      </c>
      <c r="F144" s="2">
        <v>43504.667083333326</v>
      </c>
      <c r="G144" t="s">
        <v>904</v>
      </c>
      <c r="L144" t="s">
        <v>948</v>
      </c>
      <c r="N144">
        <v>800</v>
      </c>
      <c r="O144">
        <v>55</v>
      </c>
      <c r="P144">
        <v>5</v>
      </c>
      <c r="Q144">
        <v>20</v>
      </c>
      <c r="R144">
        <v>20</v>
      </c>
      <c r="S144">
        <v>0</v>
      </c>
      <c r="T144">
        <v>0</v>
      </c>
      <c r="U144" t="s">
        <v>261</v>
      </c>
      <c r="V144" t="s">
        <v>2086</v>
      </c>
      <c r="W144" t="s">
        <v>2408</v>
      </c>
      <c r="X144" t="s">
        <v>166</v>
      </c>
      <c r="Y144" t="s">
        <v>1420</v>
      </c>
      <c r="AC144" t="s">
        <v>168</v>
      </c>
      <c r="AE144" t="s">
        <v>168</v>
      </c>
      <c r="AG144" t="s">
        <v>708</v>
      </c>
      <c r="AH144" t="s">
        <v>169</v>
      </c>
      <c r="AI144" t="s">
        <v>1459</v>
      </c>
      <c r="AJ144" t="s">
        <v>1459</v>
      </c>
      <c r="AK144" t="s">
        <v>2087</v>
      </c>
      <c r="AL144" t="s">
        <v>2442</v>
      </c>
      <c r="AM144" t="s">
        <v>2088</v>
      </c>
      <c r="AN144" t="s">
        <v>2089</v>
      </c>
      <c r="AP144" t="s">
        <v>175</v>
      </c>
      <c r="AQ144" t="s">
        <v>175</v>
      </c>
      <c r="AR144" t="s">
        <v>175</v>
      </c>
      <c r="AS144" t="s">
        <v>175</v>
      </c>
      <c r="AU144" t="s">
        <v>178</v>
      </c>
      <c r="AW144" t="s">
        <v>223</v>
      </c>
      <c r="AX144" t="s">
        <v>176</v>
      </c>
      <c r="AZ144" t="s">
        <v>223</v>
      </c>
      <c r="BA144" t="s">
        <v>402</v>
      </c>
      <c r="BC144" t="s">
        <v>223</v>
      </c>
      <c r="BD144" t="s">
        <v>1039</v>
      </c>
      <c r="DD144" t="s">
        <v>2090</v>
      </c>
      <c r="DE144" t="s">
        <v>2091</v>
      </c>
      <c r="DF144" t="s">
        <v>2092</v>
      </c>
      <c r="DG144" t="s">
        <v>110</v>
      </c>
      <c r="DI144" t="s">
        <v>112</v>
      </c>
      <c r="DQ144" t="s">
        <v>112</v>
      </c>
      <c r="DS144" t="s">
        <v>114</v>
      </c>
      <c r="DT144" t="s">
        <v>115</v>
      </c>
      <c r="DW144" t="s">
        <v>200</v>
      </c>
      <c r="DX144" t="s">
        <v>198</v>
      </c>
      <c r="DY144" t="s">
        <v>198</v>
      </c>
      <c r="DZ144" t="s">
        <v>200</v>
      </c>
      <c r="EB144" t="s">
        <v>249</v>
      </c>
      <c r="ED144" t="s">
        <v>228</v>
      </c>
      <c r="EF144" t="s">
        <v>233</v>
      </c>
      <c r="EH144" t="s">
        <v>1947</v>
      </c>
      <c r="GV144" t="s">
        <v>2093</v>
      </c>
      <c r="GY144" t="s">
        <v>152</v>
      </c>
      <c r="HB144" t="s">
        <v>155</v>
      </c>
      <c r="HD144" t="s">
        <v>157</v>
      </c>
      <c r="HG144" t="s">
        <v>160</v>
      </c>
      <c r="HK144" t="s">
        <v>2094</v>
      </c>
    </row>
    <row r="145" spans="2:224" x14ac:dyDescent="0.25">
      <c r="B145">
        <v>10517280693</v>
      </c>
      <c r="C145" t="s">
        <v>2383</v>
      </c>
      <c r="D145">
        <v>224510252</v>
      </c>
      <c r="E145" s="2">
        <v>43504.658159722218</v>
      </c>
      <c r="F145" s="2">
        <v>43504.662511574083</v>
      </c>
      <c r="G145" t="s">
        <v>904</v>
      </c>
      <c r="L145" t="s">
        <v>948</v>
      </c>
      <c r="N145">
        <v>2200</v>
      </c>
      <c r="O145">
        <v>60</v>
      </c>
      <c r="P145">
        <v>0</v>
      </c>
      <c r="Q145">
        <v>0</v>
      </c>
      <c r="R145">
        <v>40</v>
      </c>
      <c r="S145">
        <v>0</v>
      </c>
      <c r="T145">
        <v>0</v>
      </c>
      <c r="U145" t="s">
        <v>216</v>
      </c>
      <c r="V145" t="s">
        <v>2095</v>
      </c>
      <c r="W145" t="s">
        <v>2409</v>
      </c>
      <c r="X145" t="s">
        <v>166</v>
      </c>
      <c r="Y145" t="s">
        <v>1420</v>
      </c>
      <c r="AC145" t="s">
        <v>167</v>
      </c>
      <c r="AE145" t="s">
        <v>167</v>
      </c>
      <c r="AG145" t="s">
        <v>2096</v>
      </c>
      <c r="AH145" t="s">
        <v>2441</v>
      </c>
      <c r="AI145" t="s">
        <v>1459</v>
      </c>
      <c r="AJ145" t="s">
        <v>1459</v>
      </c>
      <c r="AM145" t="s">
        <v>2097</v>
      </c>
      <c r="AN145" t="s">
        <v>2098</v>
      </c>
      <c r="AO145" t="s">
        <v>2099</v>
      </c>
      <c r="AP145">
        <v>0</v>
      </c>
      <c r="AQ145">
        <v>0</v>
      </c>
      <c r="AR145">
        <v>0</v>
      </c>
      <c r="AS145">
        <v>0</v>
      </c>
      <c r="BT145" t="s">
        <v>2100</v>
      </c>
      <c r="DN145" t="s">
        <v>2101</v>
      </c>
      <c r="DR145" t="s">
        <v>113</v>
      </c>
      <c r="DS145" t="s">
        <v>114</v>
      </c>
      <c r="DT145" t="s">
        <v>115</v>
      </c>
      <c r="DW145" t="s">
        <v>1019</v>
      </c>
      <c r="DX145" t="s">
        <v>198</v>
      </c>
      <c r="DY145" t="s">
        <v>200</v>
      </c>
      <c r="DZ145" t="s">
        <v>199</v>
      </c>
      <c r="ED145" t="s">
        <v>202</v>
      </c>
      <c r="EF145" t="s">
        <v>203</v>
      </c>
      <c r="EI145" t="s">
        <v>785</v>
      </c>
      <c r="EJ145" t="s">
        <v>2102</v>
      </c>
      <c r="ES145" t="s">
        <v>2103</v>
      </c>
      <c r="ET145" t="s">
        <v>200</v>
      </c>
      <c r="EU145" t="s">
        <v>200</v>
      </c>
      <c r="EV145" t="s">
        <v>198</v>
      </c>
      <c r="EW145" t="s">
        <v>198</v>
      </c>
      <c r="EY145" t="s">
        <v>209</v>
      </c>
      <c r="FA145" t="s">
        <v>228</v>
      </c>
      <c r="FB145" t="s">
        <v>203</v>
      </c>
      <c r="FC145" t="s">
        <v>2104</v>
      </c>
      <c r="GX145" t="s">
        <v>151</v>
      </c>
      <c r="GY145" t="s">
        <v>152</v>
      </c>
      <c r="HB145" t="s">
        <v>155</v>
      </c>
      <c r="HD145" t="s">
        <v>157</v>
      </c>
      <c r="HG145" t="s">
        <v>160</v>
      </c>
      <c r="HK145" t="s">
        <v>2105</v>
      </c>
    </row>
    <row r="146" spans="2:224" x14ac:dyDescent="0.25">
      <c r="B146">
        <v>10517273079</v>
      </c>
      <c r="C146" t="s">
        <v>2383</v>
      </c>
      <c r="D146">
        <v>224510252</v>
      </c>
      <c r="E146" s="2">
        <v>43504.652418981481</v>
      </c>
      <c r="F146" s="2">
        <v>43504.657870370371</v>
      </c>
      <c r="G146" t="s">
        <v>904</v>
      </c>
      <c r="L146" t="s">
        <v>948</v>
      </c>
      <c r="N146">
        <v>4000</v>
      </c>
      <c r="O146">
        <v>62</v>
      </c>
      <c r="P146">
        <v>10</v>
      </c>
      <c r="Q146">
        <v>18</v>
      </c>
      <c r="R146">
        <v>10</v>
      </c>
      <c r="S146">
        <v>0</v>
      </c>
      <c r="T146">
        <v>0</v>
      </c>
      <c r="U146" t="s">
        <v>261</v>
      </c>
      <c r="V146" t="s">
        <v>2106</v>
      </c>
      <c r="W146" t="s">
        <v>2410</v>
      </c>
      <c r="X146" t="s">
        <v>166</v>
      </c>
      <c r="Y146" t="s">
        <v>1420</v>
      </c>
      <c r="AC146" t="s">
        <v>168</v>
      </c>
      <c r="AE146" t="s">
        <v>167</v>
      </c>
      <c r="AG146" t="s">
        <v>169</v>
      </c>
      <c r="AH146" t="s">
        <v>169</v>
      </c>
      <c r="AI146" t="s">
        <v>1459</v>
      </c>
      <c r="AJ146" t="s">
        <v>1459</v>
      </c>
      <c r="AK146" t="s">
        <v>2107</v>
      </c>
      <c r="AL146" t="s">
        <v>2442</v>
      </c>
      <c r="AM146" t="s">
        <v>2108</v>
      </c>
      <c r="AN146" t="s">
        <v>2109</v>
      </c>
      <c r="AO146" t="s">
        <v>2110</v>
      </c>
      <c r="AP146" t="s">
        <v>401</v>
      </c>
      <c r="AQ146" t="s">
        <v>401</v>
      </c>
      <c r="AR146" t="s">
        <v>401</v>
      </c>
      <c r="AS146" t="s">
        <v>401</v>
      </c>
      <c r="AU146" t="s">
        <v>402</v>
      </c>
      <c r="AW146" t="s">
        <v>177</v>
      </c>
      <c r="BD146" t="s">
        <v>2111</v>
      </c>
      <c r="BT146" t="s">
        <v>2112</v>
      </c>
      <c r="BU146" t="s">
        <v>185</v>
      </c>
      <c r="BW146" t="s">
        <v>177</v>
      </c>
      <c r="CD146" t="s">
        <v>2113</v>
      </c>
      <c r="CE146" t="s">
        <v>186</v>
      </c>
      <c r="CG146" t="s">
        <v>177</v>
      </c>
      <c r="CH146" t="s">
        <v>187</v>
      </c>
      <c r="CJ146" t="s">
        <v>177</v>
      </c>
      <c r="CK146" t="s">
        <v>188</v>
      </c>
      <c r="CM146" t="s">
        <v>177</v>
      </c>
      <c r="CN146" t="s">
        <v>190</v>
      </c>
      <c r="CP146" t="s">
        <v>177</v>
      </c>
      <c r="CQ146" t="s">
        <v>189</v>
      </c>
      <c r="CS146" t="s">
        <v>177</v>
      </c>
      <c r="CT146" t="s">
        <v>191</v>
      </c>
      <c r="CV146" t="s">
        <v>177</v>
      </c>
      <c r="CW146" t="s">
        <v>224</v>
      </c>
      <c r="CY146" t="s">
        <v>177</v>
      </c>
      <c r="CZ146" t="s">
        <v>192</v>
      </c>
      <c r="DB146" t="s">
        <v>177</v>
      </c>
      <c r="DC146" t="s">
        <v>2111</v>
      </c>
      <c r="DD146" t="s">
        <v>2114</v>
      </c>
      <c r="DE146" t="s">
        <v>2115</v>
      </c>
      <c r="DF146" t="s">
        <v>2116</v>
      </c>
      <c r="DG146" t="s">
        <v>110</v>
      </c>
      <c r="DH146" t="s">
        <v>111</v>
      </c>
      <c r="DI146" t="s">
        <v>112</v>
      </c>
      <c r="DL146" t="s">
        <v>115</v>
      </c>
      <c r="DO146" t="s">
        <v>110</v>
      </c>
      <c r="DP146" t="s">
        <v>111</v>
      </c>
      <c r="DQ146" t="s">
        <v>112</v>
      </c>
      <c r="DT146" t="s">
        <v>115</v>
      </c>
      <c r="DW146" t="s">
        <v>200</v>
      </c>
      <c r="DX146" t="s">
        <v>199</v>
      </c>
      <c r="DY146" t="s">
        <v>198</v>
      </c>
      <c r="DZ146" t="s">
        <v>198</v>
      </c>
      <c r="EB146" t="s">
        <v>201</v>
      </c>
      <c r="ED146" t="s">
        <v>202</v>
      </c>
      <c r="EF146" t="s">
        <v>233</v>
      </c>
      <c r="EH146" t="s">
        <v>2117</v>
      </c>
      <c r="EI146" t="s">
        <v>2118</v>
      </c>
      <c r="EJ146" t="s">
        <v>2119</v>
      </c>
      <c r="EL146" t="s">
        <v>122</v>
      </c>
      <c r="EM146" t="s">
        <v>123</v>
      </c>
      <c r="EN146" t="s">
        <v>124</v>
      </c>
      <c r="ET146" t="s">
        <v>198</v>
      </c>
      <c r="EU146" t="s">
        <v>198</v>
      </c>
      <c r="EV146" t="s">
        <v>424</v>
      </c>
      <c r="EW146" t="s">
        <v>198</v>
      </c>
      <c r="EY146" t="s">
        <v>209</v>
      </c>
      <c r="FA146" t="s">
        <v>202</v>
      </c>
      <c r="FB146" t="s">
        <v>233</v>
      </c>
      <c r="FC146" t="s">
        <v>166</v>
      </c>
      <c r="GV146" t="s">
        <v>2120</v>
      </c>
      <c r="GX146" t="s">
        <v>151</v>
      </c>
      <c r="GY146" t="s">
        <v>152</v>
      </c>
      <c r="HB146" t="s">
        <v>155</v>
      </c>
      <c r="HD146" t="s">
        <v>157</v>
      </c>
      <c r="HG146" t="s">
        <v>160</v>
      </c>
      <c r="HK146" t="s">
        <v>2121</v>
      </c>
    </row>
    <row r="147" spans="2:224" x14ac:dyDescent="0.25">
      <c r="B147">
        <v>10517247840</v>
      </c>
      <c r="C147" t="s">
        <v>2383</v>
      </c>
      <c r="D147">
        <v>224510252</v>
      </c>
      <c r="E147" s="2">
        <v>43504.632581018523</v>
      </c>
      <c r="F147" s="2">
        <v>43504.639305555553</v>
      </c>
      <c r="G147" t="s">
        <v>1067</v>
      </c>
      <c r="L147" t="s">
        <v>948</v>
      </c>
      <c r="N147">
        <v>6000</v>
      </c>
      <c r="O147">
        <v>70</v>
      </c>
      <c r="P147">
        <v>10</v>
      </c>
      <c r="Q147">
        <v>10</v>
      </c>
      <c r="R147">
        <v>10</v>
      </c>
      <c r="S147">
        <v>0</v>
      </c>
      <c r="T147">
        <v>0</v>
      </c>
      <c r="U147" t="s">
        <v>216</v>
      </c>
      <c r="V147" t="s">
        <v>2122</v>
      </c>
      <c r="W147" t="s">
        <v>2411</v>
      </c>
      <c r="X147" t="s">
        <v>166</v>
      </c>
      <c r="Y147" t="s">
        <v>1420</v>
      </c>
      <c r="AC147" t="s">
        <v>1473</v>
      </c>
      <c r="AE147" t="s">
        <v>238</v>
      </c>
      <c r="AG147" t="s">
        <v>2123</v>
      </c>
      <c r="AH147" t="s">
        <v>2438</v>
      </c>
      <c r="AI147" t="s">
        <v>1459</v>
      </c>
      <c r="AJ147" t="s">
        <v>1459</v>
      </c>
      <c r="AK147" t="s">
        <v>1502</v>
      </c>
      <c r="AL147" t="s">
        <v>2442</v>
      </c>
      <c r="AM147" t="s">
        <v>2124</v>
      </c>
      <c r="AN147" t="s">
        <v>2125</v>
      </c>
      <c r="AO147" t="s">
        <v>2126</v>
      </c>
      <c r="AP147" t="s">
        <v>401</v>
      </c>
      <c r="AQ147" t="s">
        <v>401</v>
      </c>
      <c r="AR147" t="s">
        <v>401</v>
      </c>
      <c r="AS147">
        <v>0</v>
      </c>
      <c r="AU147" t="s">
        <v>176</v>
      </c>
      <c r="AW147" t="s">
        <v>223</v>
      </c>
      <c r="AX147" t="s">
        <v>402</v>
      </c>
      <c r="AZ147" t="s">
        <v>223</v>
      </c>
      <c r="BD147" t="s">
        <v>2127</v>
      </c>
      <c r="BT147" t="s">
        <v>2128</v>
      </c>
      <c r="CD147" t="s">
        <v>2129</v>
      </c>
      <c r="CE147" t="s">
        <v>186</v>
      </c>
      <c r="CH147" t="s">
        <v>190</v>
      </c>
      <c r="CK147" t="s">
        <v>189</v>
      </c>
      <c r="CN147" t="s">
        <v>191</v>
      </c>
      <c r="CQ147" t="s">
        <v>224</v>
      </c>
      <c r="CT147" t="s">
        <v>192</v>
      </c>
      <c r="CW147" t="s">
        <v>193</v>
      </c>
      <c r="CZ147" t="s">
        <v>1011</v>
      </c>
      <c r="DC147" t="s">
        <v>2130</v>
      </c>
      <c r="DD147" t="s">
        <v>2131</v>
      </c>
      <c r="DE147" t="s">
        <v>2132</v>
      </c>
      <c r="DF147" t="s">
        <v>2133</v>
      </c>
      <c r="DH147" t="s">
        <v>111</v>
      </c>
      <c r="DL147" t="s">
        <v>115</v>
      </c>
      <c r="DM147" t="s">
        <v>116</v>
      </c>
      <c r="DN147" t="s">
        <v>2134</v>
      </c>
      <c r="DP147" t="s">
        <v>111</v>
      </c>
      <c r="DR147" t="s">
        <v>113</v>
      </c>
      <c r="DT147" t="s">
        <v>115</v>
      </c>
      <c r="DV147" t="s">
        <v>2135</v>
      </c>
      <c r="DW147" t="s">
        <v>200</v>
      </c>
      <c r="DX147" t="s">
        <v>198</v>
      </c>
      <c r="DY147" t="s">
        <v>199</v>
      </c>
      <c r="DZ147" t="s">
        <v>200</v>
      </c>
      <c r="EB147" t="s">
        <v>249</v>
      </c>
      <c r="ED147" t="s">
        <v>202</v>
      </c>
      <c r="EG147" t="s">
        <v>2136</v>
      </c>
      <c r="EH147" t="s">
        <v>2137</v>
      </c>
      <c r="EI147" t="s">
        <v>2138</v>
      </c>
      <c r="EM147" t="s">
        <v>123</v>
      </c>
      <c r="ES147" t="s">
        <v>2139</v>
      </c>
      <c r="ET147" t="s">
        <v>200</v>
      </c>
      <c r="EU147" t="s">
        <v>199</v>
      </c>
      <c r="EV147" t="s">
        <v>198</v>
      </c>
      <c r="EW147" t="s">
        <v>198</v>
      </c>
      <c r="EY147" t="s">
        <v>249</v>
      </c>
      <c r="FA147" t="s">
        <v>202</v>
      </c>
      <c r="FB147" t="s">
        <v>203</v>
      </c>
      <c r="FC147" t="s">
        <v>2140</v>
      </c>
      <c r="GV147" t="s">
        <v>2141</v>
      </c>
      <c r="GX147" t="s">
        <v>151</v>
      </c>
      <c r="GY147" t="s">
        <v>152</v>
      </c>
      <c r="HB147" t="s">
        <v>155</v>
      </c>
      <c r="HC147" t="s">
        <v>156</v>
      </c>
      <c r="HD147" t="s">
        <v>157</v>
      </c>
      <c r="HK147" t="s">
        <v>2142</v>
      </c>
      <c r="HO147" t="s">
        <v>2143</v>
      </c>
    </row>
    <row r="148" spans="2:224" x14ac:dyDescent="0.25">
      <c r="B148">
        <v>10517240780</v>
      </c>
      <c r="C148" t="s">
        <v>2383</v>
      </c>
      <c r="D148">
        <v>224510252</v>
      </c>
      <c r="E148" s="2">
        <v>43504.627129629633</v>
      </c>
      <c r="F148" s="2">
        <v>43504.632418981477</v>
      </c>
      <c r="G148" t="s">
        <v>1067</v>
      </c>
      <c r="L148" t="s">
        <v>291</v>
      </c>
      <c r="N148">
        <v>9000</v>
      </c>
      <c r="O148">
        <v>65</v>
      </c>
      <c r="P148">
        <v>25</v>
      </c>
      <c r="Q148">
        <v>10</v>
      </c>
      <c r="R148">
        <v>0</v>
      </c>
      <c r="S148">
        <v>0</v>
      </c>
      <c r="T148">
        <v>0</v>
      </c>
      <c r="U148" t="s">
        <v>494</v>
      </c>
      <c r="V148" t="s">
        <v>2144</v>
      </c>
      <c r="W148" t="s">
        <v>2412</v>
      </c>
      <c r="X148" t="s">
        <v>166</v>
      </c>
      <c r="Y148" t="s">
        <v>1420</v>
      </c>
      <c r="AC148" t="s">
        <v>167</v>
      </c>
      <c r="AE148" t="s">
        <v>167</v>
      </c>
      <c r="AG148" t="s">
        <v>2145</v>
      </c>
      <c r="AH148" t="s">
        <v>2439</v>
      </c>
      <c r="AI148" t="s">
        <v>2146</v>
      </c>
      <c r="AJ148" t="s">
        <v>169</v>
      </c>
      <c r="AK148" t="s">
        <v>2147</v>
      </c>
      <c r="AL148" t="s">
        <v>169</v>
      </c>
      <c r="AM148" t="s">
        <v>2148</v>
      </c>
      <c r="AP148" t="s">
        <v>401</v>
      </c>
      <c r="AQ148">
        <v>0</v>
      </c>
      <c r="AR148">
        <v>0</v>
      </c>
      <c r="AS148" t="s">
        <v>401</v>
      </c>
      <c r="BE148" t="s">
        <v>180</v>
      </c>
      <c r="BG148" t="s">
        <v>405</v>
      </c>
      <c r="BH148" t="s">
        <v>183</v>
      </c>
      <c r="BJ148" t="s">
        <v>405</v>
      </c>
      <c r="BT148" t="s">
        <v>2149</v>
      </c>
      <c r="CE148" t="s">
        <v>186</v>
      </c>
      <c r="CG148" t="s">
        <v>2501</v>
      </c>
      <c r="CH148" t="s">
        <v>193</v>
      </c>
      <c r="CJ148" t="s">
        <v>223</v>
      </c>
      <c r="CK148" t="s">
        <v>1011</v>
      </c>
      <c r="CM148" t="s">
        <v>223</v>
      </c>
      <c r="DC148" t="s">
        <v>2150</v>
      </c>
      <c r="DD148" t="s">
        <v>786</v>
      </c>
      <c r="DE148" t="s">
        <v>2151</v>
      </c>
      <c r="DF148" t="s">
        <v>1424</v>
      </c>
      <c r="DH148" t="s">
        <v>111</v>
      </c>
      <c r="DL148" t="s">
        <v>115</v>
      </c>
      <c r="DM148" t="s">
        <v>116</v>
      </c>
      <c r="DO148" t="s">
        <v>110</v>
      </c>
      <c r="DP148" t="s">
        <v>111</v>
      </c>
      <c r="DQ148" t="s">
        <v>112</v>
      </c>
      <c r="DR148" t="s">
        <v>113</v>
      </c>
      <c r="DW148" t="s">
        <v>198</v>
      </c>
      <c r="DX148" t="s">
        <v>199</v>
      </c>
      <c r="DY148" t="s">
        <v>198</v>
      </c>
      <c r="DZ148" t="s">
        <v>198</v>
      </c>
      <c r="EB148" t="s">
        <v>2152</v>
      </c>
      <c r="ED148" t="s">
        <v>228</v>
      </c>
      <c r="EE148" t="s">
        <v>2153</v>
      </c>
      <c r="EF148" t="s">
        <v>233</v>
      </c>
      <c r="FI148" t="s">
        <v>115</v>
      </c>
      <c r="FJ148" t="s">
        <v>116</v>
      </c>
      <c r="FK148" t="s">
        <v>2154</v>
      </c>
      <c r="FW148" t="s">
        <v>200</v>
      </c>
      <c r="FX148" t="s">
        <v>198</v>
      </c>
      <c r="FY148" t="s">
        <v>198</v>
      </c>
      <c r="FZ148" t="s">
        <v>198</v>
      </c>
      <c r="GA148" t="s">
        <v>200</v>
      </c>
      <c r="GB148" t="s">
        <v>198</v>
      </c>
      <c r="GC148" t="s">
        <v>198</v>
      </c>
      <c r="GE148" t="s">
        <v>200</v>
      </c>
      <c r="GF148" t="s">
        <v>200</v>
      </c>
      <c r="GP148" t="s">
        <v>772</v>
      </c>
      <c r="GQ148" t="s">
        <v>1438</v>
      </c>
      <c r="GR148" t="s">
        <v>1608</v>
      </c>
      <c r="GX148" t="s">
        <v>151</v>
      </c>
      <c r="GY148" t="s">
        <v>152</v>
      </c>
      <c r="HC148" t="s">
        <v>156</v>
      </c>
      <c r="HD148" t="s">
        <v>157</v>
      </c>
      <c r="HI148" t="s">
        <v>162</v>
      </c>
      <c r="HK148" t="s">
        <v>2155</v>
      </c>
    </row>
    <row r="149" spans="2:224" x14ac:dyDescent="0.25">
      <c r="B149">
        <v>10517234578</v>
      </c>
      <c r="C149" t="s">
        <v>2383</v>
      </c>
      <c r="D149">
        <v>224510252</v>
      </c>
      <c r="E149" s="2">
        <v>43504.621423611112</v>
      </c>
      <c r="F149" s="2">
        <v>43504.624641203707</v>
      </c>
      <c r="G149" t="s">
        <v>1067</v>
      </c>
      <c r="L149" t="s">
        <v>215</v>
      </c>
      <c r="N149">
        <v>6000</v>
      </c>
      <c r="O149">
        <v>60</v>
      </c>
      <c r="P149">
        <v>0</v>
      </c>
      <c r="Q149">
        <v>35</v>
      </c>
      <c r="R149">
        <v>5</v>
      </c>
      <c r="S149">
        <v>0</v>
      </c>
      <c r="T149">
        <v>5</v>
      </c>
      <c r="U149" t="s">
        <v>313</v>
      </c>
      <c r="V149" t="s">
        <v>45</v>
      </c>
      <c r="W149" t="s">
        <v>45</v>
      </c>
      <c r="X149" t="s">
        <v>312</v>
      </c>
      <c r="GW149" t="s">
        <v>150</v>
      </c>
      <c r="HB149" t="s">
        <v>155</v>
      </c>
      <c r="HD149" t="s">
        <v>157</v>
      </c>
      <c r="HI149" t="s">
        <v>162</v>
      </c>
      <c r="HK149" t="s">
        <v>2156</v>
      </c>
    </row>
    <row r="150" spans="2:224" x14ac:dyDescent="0.25">
      <c r="B150">
        <v>10517229019</v>
      </c>
      <c r="C150" t="s">
        <v>2383</v>
      </c>
      <c r="D150">
        <v>224510252</v>
      </c>
      <c r="E150" s="2">
        <v>43504.61791666667</v>
      </c>
      <c r="F150" s="2">
        <v>43504.626782407409</v>
      </c>
      <c r="G150" t="s">
        <v>1067</v>
      </c>
      <c r="L150" t="s">
        <v>215</v>
      </c>
      <c r="N150">
        <v>13000</v>
      </c>
      <c r="O150">
        <v>66</v>
      </c>
      <c r="P150">
        <v>0</v>
      </c>
      <c r="Q150">
        <v>10</v>
      </c>
      <c r="R150">
        <v>12</v>
      </c>
      <c r="S150">
        <v>2</v>
      </c>
      <c r="T150">
        <v>10</v>
      </c>
      <c r="U150" t="s">
        <v>330</v>
      </c>
      <c r="V150" t="s">
        <v>2157</v>
      </c>
      <c r="W150" t="s">
        <v>45</v>
      </c>
      <c r="X150" t="s">
        <v>166</v>
      </c>
      <c r="Y150" t="s">
        <v>1420</v>
      </c>
      <c r="AC150" t="s">
        <v>263</v>
      </c>
      <c r="AE150" t="s">
        <v>167</v>
      </c>
      <c r="AG150" t="s">
        <v>2158</v>
      </c>
      <c r="AH150" t="s">
        <v>2441</v>
      </c>
      <c r="AI150" t="s">
        <v>2159</v>
      </c>
      <c r="AJ150" t="s">
        <v>2441</v>
      </c>
      <c r="AK150" t="s">
        <v>2160</v>
      </c>
      <c r="AL150" t="s">
        <v>2447</v>
      </c>
      <c r="AM150" t="s">
        <v>2161</v>
      </c>
      <c r="AN150" t="s">
        <v>2162</v>
      </c>
      <c r="AO150" t="s">
        <v>2161</v>
      </c>
      <c r="AP150" t="s">
        <v>401</v>
      </c>
      <c r="AQ150" t="s">
        <v>401</v>
      </c>
      <c r="AR150" t="s">
        <v>401</v>
      </c>
      <c r="AS150" t="s">
        <v>401</v>
      </c>
      <c r="AU150" t="s">
        <v>178</v>
      </c>
      <c r="AX150" t="s">
        <v>176</v>
      </c>
      <c r="BA150" t="s">
        <v>402</v>
      </c>
      <c r="BD150" t="s">
        <v>2163</v>
      </c>
      <c r="BE150" t="s">
        <v>180</v>
      </c>
      <c r="BH150" t="s">
        <v>182</v>
      </c>
      <c r="BK150" t="s">
        <v>183</v>
      </c>
      <c r="BT150" t="s">
        <v>2164</v>
      </c>
      <c r="CE150" t="s">
        <v>186</v>
      </c>
      <c r="CH150" t="s">
        <v>187</v>
      </c>
      <c r="CK150" t="s">
        <v>188</v>
      </c>
      <c r="CN150" t="s">
        <v>190</v>
      </c>
      <c r="CQ150" t="s">
        <v>189</v>
      </c>
      <c r="CT150" t="s">
        <v>191</v>
      </c>
      <c r="CW150" t="s">
        <v>224</v>
      </c>
      <c r="CZ150" t="s">
        <v>192</v>
      </c>
      <c r="DC150" t="s">
        <v>2165</v>
      </c>
      <c r="DD150" t="s">
        <v>2166</v>
      </c>
      <c r="DE150" t="s">
        <v>2167</v>
      </c>
      <c r="DH150" t="s">
        <v>111</v>
      </c>
      <c r="DJ150" t="s">
        <v>113</v>
      </c>
      <c r="DN150" t="s">
        <v>2168</v>
      </c>
      <c r="DP150" t="s">
        <v>111</v>
      </c>
      <c r="DR150" t="s">
        <v>113</v>
      </c>
      <c r="DS150" t="s">
        <v>114</v>
      </c>
      <c r="DW150" t="s">
        <v>198</v>
      </c>
      <c r="DX150" t="s">
        <v>198</v>
      </c>
      <c r="DY150" t="s">
        <v>200</v>
      </c>
      <c r="DZ150" t="s">
        <v>200</v>
      </c>
      <c r="EA150" t="s">
        <v>2169</v>
      </c>
      <c r="EB150" t="s">
        <v>249</v>
      </c>
      <c r="ED150" t="s">
        <v>254</v>
      </c>
      <c r="EF150" t="s">
        <v>233</v>
      </c>
      <c r="EH150" t="s">
        <v>2170</v>
      </c>
      <c r="EI150" t="s">
        <v>2171</v>
      </c>
      <c r="EJ150" t="s">
        <v>950</v>
      </c>
      <c r="EK150" t="s">
        <v>2172</v>
      </c>
      <c r="EL150" t="s">
        <v>122</v>
      </c>
      <c r="EO150" t="s">
        <v>113</v>
      </c>
      <c r="ET150" t="s">
        <v>198</v>
      </c>
      <c r="EU150" t="s">
        <v>424</v>
      </c>
      <c r="EV150" t="s">
        <v>200</v>
      </c>
      <c r="EW150" t="s">
        <v>200</v>
      </c>
      <c r="EY150" t="s">
        <v>209</v>
      </c>
      <c r="FA150" t="s">
        <v>202</v>
      </c>
      <c r="FB150" t="s">
        <v>233</v>
      </c>
      <c r="GV150" t="s">
        <v>2173</v>
      </c>
      <c r="GX150" t="s">
        <v>151</v>
      </c>
      <c r="HB150" t="s">
        <v>155</v>
      </c>
      <c r="HC150" t="s">
        <v>156</v>
      </c>
      <c r="HD150" t="s">
        <v>157</v>
      </c>
      <c r="HK150" t="s">
        <v>2174</v>
      </c>
    </row>
    <row r="151" spans="2:224" x14ac:dyDescent="0.25">
      <c r="B151">
        <v>10517217164</v>
      </c>
      <c r="C151" t="s">
        <v>2383</v>
      </c>
      <c r="D151">
        <v>224510252</v>
      </c>
      <c r="E151" s="2">
        <v>43504.608865740738</v>
      </c>
      <c r="F151" s="2">
        <v>43504.616886574076</v>
      </c>
      <c r="G151" t="s">
        <v>1067</v>
      </c>
      <c r="L151" t="s">
        <v>215</v>
      </c>
      <c r="N151">
        <v>5500</v>
      </c>
      <c r="O151">
        <v>50</v>
      </c>
      <c r="P151">
        <v>15</v>
      </c>
      <c r="Q151">
        <v>30</v>
      </c>
      <c r="R151">
        <v>0</v>
      </c>
      <c r="S151">
        <v>0</v>
      </c>
      <c r="T151">
        <v>5</v>
      </c>
      <c r="U151" t="s">
        <v>330</v>
      </c>
      <c r="V151" t="s">
        <v>2175</v>
      </c>
      <c r="W151" t="s">
        <v>2413</v>
      </c>
      <c r="X151" t="s">
        <v>166</v>
      </c>
      <c r="Y151" t="s">
        <v>1420</v>
      </c>
      <c r="AC151" t="s">
        <v>1547</v>
      </c>
      <c r="AE151" t="s">
        <v>167</v>
      </c>
      <c r="AG151" t="s">
        <v>2176</v>
      </c>
      <c r="AH151" t="s">
        <v>2438</v>
      </c>
      <c r="AI151" t="s">
        <v>2177</v>
      </c>
      <c r="AJ151" t="s">
        <v>169</v>
      </c>
      <c r="AK151" t="s">
        <v>2178</v>
      </c>
      <c r="AL151" t="s">
        <v>2438</v>
      </c>
      <c r="AM151" t="s">
        <v>2179</v>
      </c>
      <c r="AN151" t="s">
        <v>2180</v>
      </c>
      <c r="AO151" t="s">
        <v>2181</v>
      </c>
      <c r="AP151" t="s">
        <v>175</v>
      </c>
      <c r="AQ151" t="s">
        <v>245</v>
      </c>
      <c r="AR151" t="s">
        <v>245</v>
      </c>
      <c r="AS151" t="s">
        <v>175</v>
      </c>
      <c r="AU151" t="s">
        <v>178</v>
      </c>
      <c r="AW151" t="s">
        <v>177</v>
      </c>
      <c r="AX151" t="s">
        <v>176</v>
      </c>
      <c r="AZ151" t="s">
        <v>177</v>
      </c>
      <c r="BA151" t="s">
        <v>402</v>
      </c>
      <c r="BC151" t="s">
        <v>177</v>
      </c>
      <c r="BD151" t="s">
        <v>2182</v>
      </c>
      <c r="BE151" t="s">
        <v>180</v>
      </c>
      <c r="BG151" t="s">
        <v>177</v>
      </c>
      <c r="BH151" t="s">
        <v>182</v>
      </c>
      <c r="BJ151" t="s">
        <v>177</v>
      </c>
      <c r="BK151" t="s">
        <v>679</v>
      </c>
      <c r="BM151" t="s">
        <v>177</v>
      </c>
      <c r="BT151" t="s">
        <v>2183</v>
      </c>
      <c r="CE151" t="s">
        <v>186</v>
      </c>
      <c r="CG151" t="s">
        <v>177</v>
      </c>
      <c r="CH151" t="s">
        <v>190</v>
      </c>
      <c r="CJ151" t="s">
        <v>177</v>
      </c>
      <c r="CK151" t="s">
        <v>191</v>
      </c>
      <c r="CM151" t="s">
        <v>177</v>
      </c>
      <c r="CN151" t="s">
        <v>193</v>
      </c>
      <c r="CP151" t="s">
        <v>177</v>
      </c>
      <c r="CQ151" t="s">
        <v>1011</v>
      </c>
      <c r="CS151" t="s">
        <v>177</v>
      </c>
      <c r="DC151" t="s">
        <v>2183</v>
      </c>
      <c r="DD151" t="s">
        <v>2184</v>
      </c>
      <c r="DE151" t="s">
        <v>2185</v>
      </c>
      <c r="DF151" t="s">
        <v>2186</v>
      </c>
      <c r="DG151" t="s">
        <v>110</v>
      </c>
      <c r="DH151" t="s">
        <v>111</v>
      </c>
      <c r="DI151" t="s">
        <v>112</v>
      </c>
      <c r="DJ151" t="s">
        <v>113</v>
      </c>
      <c r="DL151" t="s">
        <v>115</v>
      </c>
      <c r="DO151" t="s">
        <v>110</v>
      </c>
      <c r="DQ151" t="s">
        <v>112</v>
      </c>
      <c r="DR151" t="s">
        <v>113</v>
      </c>
      <c r="DT151" t="s">
        <v>115</v>
      </c>
      <c r="DW151" t="s">
        <v>424</v>
      </c>
      <c r="DX151" t="s">
        <v>200</v>
      </c>
      <c r="DY151" t="s">
        <v>198</v>
      </c>
      <c r="DZ151" t="s">
        <v>424</v>
      </c>
      <c r="EB151" t="s">
        <v>249</v>
      </c>
      <c r="ED151" t="s">
        <v>326</v>
      </c>
      <c r="EF151" t="s">
        <v>203</v>
      </c>
      <c r="EH151" t="s">
        <v>1947</v>
      </c>
      <c r="ES151" t="s">
        <v>313</v>
      </c>
      <c r="ET151" t="s">
        <v>200</v>
      </c>
      <c r="EU151" t="s">
        <v>200</v>
      </c>
      <c r="EV151" t="s">
        <v>200</v>
      </c>
      <c r="EW151" t="s">
        <v>200</v>
      </c>
      <c r="FC151" t="s">
        <v>166</v>
      </c>
      <c r="GX151" t="s">
        <v>151</v>
      </c>
      <c r="HD151" t="s">
        <v>157</v>
      </c>
      <c r="HK151" t="s">
        <v>2187</v>
      </c>
    </row>
    <row r="152" spans="2:224" x14ac:dyDescent="0.25">
      <c r="B152">
        <v>10517216781</v>
      </c>
      <c r="C152" t="s">
        <v>2383</v>
      </c>
      <c r="D152">
        <v>224510252</v>
      </c>
      <c r="E152" s="2">
        <v>43504.608749999999</v>
      </c>
      <c r="F152" s="2">
        <v>43504.621249999997</v>
      </c>
      <c r="G152" t="s">
        <v>1067</v>
      </c>
      <c r="L152" t="s">
        <v>215</v>
      </c>
      <c r="N152">
        <v>3000</v>
      </c>
      <c r="O152">
        <v>50</v>
      </c>
      <c r="P152">
        <v>0</v>
      </c>
      <c r="Q152">
        <v>30</v>
      </c>
      <c r="R152">
        <v>0</v>
      </c>
      <c r="S152">
        <v>0</v>
      </c>
      <c r="T152">
        <v>20</v>
      </c>
      <c r="U152" t="s">
        <v>261</v>
      </c>
      <c r="V152" t="s">
        <v>217</v>
      </c>
      <c r="W152" t="s">
        <v>1334</v>
      </c>
      <c r="X152" t="s">
        <v>166</v>
      </c>
      <c r="Y152" t="s">
        <v>1420</v>
      </c>
      <c r="AC152" t="s">
        <v>238</v>
      </c>
      <c r="AE152" t="s">
        <v>167</v>
      </c>
      <c r="AG152" t="s">
        <v>2188</v>
      </c>
      <c r="AH152" t="s">
        <v>2445</v>
      </c>
      <c r="AI152" t="s">
        <v>1680</v>
      </c>
      <c r="AJ152" t="s">
        <v>169</v>
      </c>
      <c r="AK152" t="s">
        <v>2189</v>
      </c>
      <c r="AL152" t="s">
        <v>2441</v>
      </c>
      <c r="AM152" t="s">
        <v>2190</v>
      </c>
      <c r="AN152" t="s">
        <v>2191</v>
      </c>
      <c r="AP152" t="s">
        <v>175</v>
      </c>
      <c r="AQ152" t="s">
        <v>175</v>
      </c>
      <c r="AR152" t="s">
        <v>175</v>
      </c>
      <c r="AS152" t="s">
        <v>175</v>
      </c>
      <c r="AU152" t="s">
        <v>176</v>
      </c>
      <c r="AX152" t="s">
        <v>402</v>
      </c>
      <c r="BD152" t="s">
        <v>2192</v>
      </c>
      <c r="BE152" t="s">
        <v>679</v>
      </c>
      <c r="BT152" t="s">
        <v>2193</v>
      </c>
      <c r="DD152" t="s">
        <v>2194</v>
      </c>
      <c r="DE152" t="s">
        <v>2195</v>
      </c>
      <c r="DG152" t="s">
        <v>110</v>
      </c>
      <c r="DI152" t="s">
        <v>112</v>
      </c>
      <c r="DJ152" t="s">
        <v>113</v>
      </c>
      <c r="DK152" t="s">
        <v>114</v>
      </c>
      <c r="DO152" t="s">
        <v>110</v>
      </c>
      <c r="DQ152" t="s">
        <v>112</v>
      </c>
      <c r="DR152" t="s">
        <v>113</v>
      </c>
      <c r="DS152" t="s">
        <v>114</v>
      </c>
      <c r="DW152" t="s">
        <v>200</v>
      </c>
      <c r="DX152" t="s">
        <v>198</v>
      </c>
      <c r="DY152" t="s">
        <v>198</v>
      </c>
      <c r="DZ152" t="s">
        <v>198</v>
      </c>
      <c r="ED152" t="s">
        <v>202</v>
      </c>
      <c r="EF152" t="s">
        <v>233</v>
      </c>
      <c r="GV152" t="s">
        <v>2196</v>
      </c>
      <c r="GX152" t="s">
        <v>151</v>
      </c>
      <c r="GY152" t="s">
        <v>152</v>
      </c>
      <c r="HB152" t="s">
        <v>155</v>
      </c>
      <c r="HC152" t="s">
        <v>156</v>
      </c>
      <c r="HD152" t="s">
        <v>157</v>
      </c>
      <c r="HE152" t="s">
        <v>158</v>
      </c>
      <c r="HF152" t="s">
        <v>159</v>
      </c>
      <c r="HI152" t="s">
        <v>162</v>
      </c>
      <c r="HK152" t="s">
        <v>2197</v>
      </c>
    </row>
    <row r="153" spans="2:224" x14ac:dyDescent="0.25">
      <c r="B153">
        <v>10517208840</v>
      </c>
      <c r="C153" t="s">
        <v>2383</v>
      </c>
      <c r="D153">
        <v>224510252</v>
      </c>
      <c r="E153" s="2">
        <v>43504.602430555547</v>
      </c>
      <c r="F153" s="2">
        <v>43504.608495370368</v>
      </c>
      <c r="G153" t="s">
        <v>1067</v>
      </c>
      <c r="L153" t="s">
        <v>215</v>
      </c>
      <c r="N153">
        <v>3200</v>
      </c>
      <c r="O153">
        <v>50</v>
      </c>
      <c r="P153">
        <v>0</v>
      </c>
      <c r="Q153">
        <v>20</v>
      </c>
      <c r="R153">
        <v>10</v>
      </c>
      <c r="S153">
        <v>10</v>
      </c>
      <c r="T153">
        <v>10</v>
      </c>
      <c r="U153" t="s">
        <v>494</v>
      </c>
      <c r="V153" t="s">
        <v>2058</v>
      </c>
      <c r="W153" t="s">
        <v>1370</v>
      </c>
      <c r="X153" t="s">
        <v>312</v>
      </c>
      <c r="FT153" t="s">
        <v>198</v>
      </c>
      <c r="FU153" t="s">
        <v>200</v>
      </c>
      <c r="FW153" t="s">
        <v>199</v>
      </c>
      <c r="FX153" t="s">
        <v>424</v>
      </c>
      <c r="FY153" t="s">
        <v>199</v>
      </c>
      <c r="FZ153" t="s">
        <v>199</v>
      </c>
      <c r="GA153" t="s">
        <v>199</v>
      </c>
      <c r="GB153" t="s">
        <v>199</v>
      </c>
      <c r="GC153" t="s">
        <v>198</v>
      </c>
      <c r="GE153" t="s">
        <v>424</v>
      </c>
      <c r="GF153" t="s">
        <v>200</v>
      </c>
      <c r="GJ153" t="s">
        <v>772</v>
      </c>
      <c r="GP153" t="s">
        <v>772</v>
      </c>
      <c r="GV153" t="s">
        <v>2198</v>
      </c>
      <c r="GX153" t="s">
        <v>151</v>
      </c>
    </row>
    <row r="154" spans="2:224" x14ac:dyDescent="0.25">
      <c r="B154">
        <v>10517199915</v>
      </c>
      <c r="C154" t="s">
        <v>2383</v>
      </c>
      <c r="D154">
        <v>224510252</v>
      </c>
      <c r="E154" s="2">
        <v>43504.596446759257</v>
      </c>
      <c r="F154" s="2">
        <v>43504.601620370369</v>
      </c>
      <c r="G154" t="s">
        <v>1067</v>
      </c>
      <c r="L154" t="s">
        <v>948</v>
      </c>
      <c r="N154">
        <v>9500</v>
      </c>
      <c r="O154">
        <v>65</v>
      </c>
      <c r="P154">
        <v>0</v>
      </c>
      <c r="Q154">
        <v>0</v>
      </c>
      <c r="R154">
        <v>35</v>
      </c>
      <c r="S154">
        <v>0</v>
      </c>
      <c r="T154">
        <v>0</v>
      </c>
      <c r="U154" t="s">
        <v>216</v>
      </c>
      <c r="V154" t="s">
        <v>1160</v>
      </c>
      <c r="W154" t="s">
        <v>45</v>
      </c>
      <c r="X154" t="s">
        <v>166</v>
      </c>
      <c r="Y154" t="s">
        <v>1499</v>
      </c>
      <c r="AC154" t="s">
        <v>238</v>
      </c>
      <c r="AE154" t="s">
        <v>167</v>
      </c>
      <c r="AG154" t="s">
        <v>963</v>
      </c>
      <c r="AH154" t="s">
        <v>2438</v>
      </c>
      <c r="AI154" t="s">
        <v>1459</v>
      </c>
      <c r="AJ154" t="s">
        <v>1459</v>
      </c>
      <c r="AK154" t="s">
        <v>2200</v>
      </c>
      <c r="AL154" t="s">
        <v>2447</v>
      </c>
      <c r="AM154" t="s">
        <v>2201</v>
      </c>
      <c r="AN154" t="s">
        <v>2202</v>
      </c>
      <c r="AP154" t="s">
        <v>245</v>
      </c>
      <c r="AQ154" t="s">
        <v>245</v>
      </c>
      <c r="AR154" t="s">
        <v>245</v>
      </c>
      <c r="AS154" t="s">
        <v>245</v>
      </c>
      <c r="BE154" t="s">
        <v>182</v>
      </c>
      <c r="BG154" t="s">
        <v>405</v>
      </c>
      <c r="BH154" t="s">
        <v>183</v>
      </c>
      <c r="BJ154" t="s">
        <v>405</v>
      </c>
      <c r="DD154" t="s">
        <v>1459</v>
      </c>
      <c r="DE154" t="s">
        <v>2203</v>
      </c>
      <c r="DK154" t="s">
        <v>114</v>
      </c>
      <c r="DN154" t="s">
        <v>2204</v>
      </c>
      <c r="DS154" t="s">
        <v>114</v>
      </c>
      <c r="DT154" t="s">
        <v>115</v>
      </c>
      <c r="DW154" t="s">
        <v>200</v>
      </c>
      <c r="DX154" t="s">
        <v>200</v>
      </c>
      <c r="DY154" t="s">
        <v>200</v>
      </c>
      <c r="DZ154" t="s">
        <v>198</v>
      </c>
      <c r="ED154" t="s">
        <v>202</v>
      </c>
      <c r="EF154" t="s">
        <v>233</v>
      </c>
      <c r="EH154" t="s">
        <v>2205</v>
      </c>
      <c r="EI154" t="s">
        <v>2206</v>
      </c>
      <c r="EJ154" t="s">
        <v>2207</v>
      </c>
      <c r="EL154" t="s">
        <v>122</v>
      </c>
      <c r="EM154" t="s">
        <v>123</v>
      </c>
      <c r="ET154" t="s">
        <v>198</v>
      </c>
      <c r="EU154" t="s">
        <v>200</v>
      </c>
      <c r="EV154" t="s">
        <v>200</v>
      </c>
      <c r="EW154" t="s">
        <v>198</v>
      </c>
      <c r="GY154" t="s">
        <v>152</v>
      </c>
      <c r="HB154" t="s">
        <v>155</v>
      </c>
      <c r="HE154" t="s">
        <v>158</v>
      </c>
      <c r="HI154" t="s">
        <v>162</v>
      </c>
      <c r="HK154" t="s">
        <v>2208</v>
      </c>
      <c r="HM154" t="s">
        <v>2209</v>
      </c>
      <c r="HN154" t="s">
        <v>2210</v>
      </c>
      <c r="HO154" t="s">
        <v>2211</v>
      </c>
      <c r="HP154">
        <v>429342560</v>
      </c>
    </row>
    <row r="155" spans="2:224" x14ac:dyDescent="0.25">
      <c r="B155">
        <v>10517186429</v>
      </c>
      <c r="C155" t="s">
        <v>2383</v>
      </c>
      <c r="D155">
        <v>224510252</v>
      </c>
      <c r="E155" s="2">
        <v>43504.587025462963</v>
      </c>
      <c r="F155" s="2">
        <v>43504.59574074074</v>
      </c>
      <c r="G155" t="s">
        <v>904</v>
      </c>
      <c r="L155" t="s">
        <v>310</v>
      </c>
      <c r="N155">
        <v>1000</v>
      </c>
      <c r="O155">
        <v>70</v>
      </c>
      <c r="P155">
        <v>20</v>
      </c>
      <c r="Q155">
        <v>10</v>
      </c>
      <c r="R155">
        <v>0</v>
      </c>
      <c r="S155">
        <v>0</v>
      </c>
      <c r="T155">
        <v>0</v>
      </c>
      <c r="U155" t="s">
        <v>494</v>
      </c>
      <c r="V155" t="s">
        <v>1160</v>
      </c>
      <c r="W155" t="s">
        <v>45</v>
      </c>
      <c r="X155" t="s">
        <v>166</v>
      </c>
      <c r="Y155" t="s">
        <v>1459</v>
      </c>
      <c r="AC155" t="s">
        <v>1473</v>
      </c>
      <c r="AE155" t="s">
        <v>1473</v>
      </c>
      <c r="AG155" t="s">
        <v>2206</v>
      </c>
      <c r="AH155" t="s">
        <v>2440</v>
      </c>
      <c r="AI155" t="s">
        <v>1050</v>
      </c>
      <c r="AJ155" t="s">
        <v>169</v>
      </c>
      <c r="AK155" t="s">
        <v>240</v>
      </c>
      <c r="AL155" t="s">
        <v>2438</v>
      </c>
      <c r="AP155" t="s">
        <v>401</v>
      </c>
      <c r="AQ155" t="s">
        <v>401</v>
      </c>
      <c r="AR155" t="s">
        <v>401</v>
      </c>
      <c r="AS155" t="s">
        <v>401</v>
      </c>
      <c r="AU155" t="s">
        <v>176</v>
      </c>
      <c r="AW155" t="s">
        <v>403</v>
      </c>
      <c r="AX155" t="s">
        <v>402</v>
      </c>
      <c r="AZ155" t="s">
        <v>403</v>
      </c>
      <c r="BE155" t="s">
        <v>181</v>
      </c>
      <c r="BG155" t="s">
        <v>405</v>
      </c>
      <c r="BH155" t="s">
        <v>182</v>
      </c>
      <c r="BJ155" t="s">
        <v>405</v>
      </c>
      <c r="BK155" t="s">
        <v>679</v>
      </c>
      <c r="BM155" t="s">
        <v>405</v>
      </c>
      <c r="BU155" t="s">
        <v>185</v>
      </c>
      <c r="BW155" t="s">
        <v>405</v>
      </c>
      <c r="CE155" t="s">
        <v>186</v>
      </c>
      <c r="CG155" t="s">
        <v>405</v>
      </c>
      <c r="CH155" t="s">
        <v>188</v>
      </c>
      <c r="CJ155" t="s">
        <v>405</v>
      </c>
      <c r="CK155" t="s">
        <v>190</v>
      </c>
      <c r="CM155" t="s">
        <v>405</v>
      </c>
      <c r="CN155" t="s">
        <v>191</v>
      </c>
      <c r="CP155" t="s">
        <v>405</v>
      </c>
      <c r="CQ155" t="s">
        <v>192</v>
      </c>
      <c r="CS155" t="s">
        <v>405</v>
      </c>
      <c r="CT155" t="s">
        <v>193</v>
      </c>
      <c r="CV155" t="s">
        <v>405</v>
      </c>
      <c r="DD155" t="s">
        <v>2213</v>
      </c>
      <c r="DE155" t="s">
        <v>2214</v>
      </c>
      <c r="DI155" t="s">
        <v>112</v>
      </c>
      <c r="DL155" t="s">
        <v>115</v>
      </c>
      <c r="DQ155" t="s">
        <v>112</v>
      </c>
      <c r="DT155" t="s">
        <v>115</v>
      </c>
      <c r="DW155" t="s">
        <v>200</v>
      </c>
      <c r="DX155" t="s">
        <v>200</v>
      </c>
      <c r="DY155" t="s">
        <v>198</v>
      </c>
      <c r="DZ155" t="s">
        <v>200</v>
      </c>
      <c r="EB155" t="s">
        <v>201</v>
      </c>
      <c r="ED155" t="s">
        <v>202</v>
      </c>
      <c r="EF155" t="s">
        <v>203</v>
      </c>
      <c r="EH155" t="s">
        <v>2215</v>
      </c>
      <c r="EN155" t="s">
        <v>124</v>
      </c>
      <c r="EQ155" t="s">
        <v>126</v>
      </c>
      <c r="EY155">
        <v>0</v>
      </c>
      <c r="FA155" t="s">
        <v>202</v>
      </c>
      <c r="FB155" t="s">
        <v>203</v>
      </c>
      <c r="HD155" t="s">
        <v>157</v>
      </c>
      <c r="HG155" t="s">
        <v>160</v>
      </c>
      <c r="HI155" t="s">
        <v>162</v>
      </c>
      <c r="HM155" t="s">
        <v>2216</v>
      </c>
      <c r="HN155" t="s">
        <v>2217</v>
      </c>
      <c r="HO155" t="s">
        <v>2218</v>
      </c>
      <c r="HP155" t="s">
        <v>2219</v>
      </c>
    </row>
    <row r="156" spans="2:224" x14ac:dyDescent="0.25">
      <c r="B156">
        <v>10514623796</v>
      </c>
      <c r="C156" t="s">
        <v>2383</v>
      </c>
      <c r="D156">
        <v>224510252</v>
      </c>
      <c r="E156" s="2">
        <v>43503.584965277783</v>
      </c>
      <c r="F156" s="2">
        <v>43503.586111111108</v>
      </c>
      <c r="G156" t="s">
        <v>904</v>
      </c>
      <c r="L156" t="s">
        <v>215</v>
      </c>
      <c r="N156">
        <v>1250</v>
      </c>
      <c r="O156">
        <v>70</v>
      </c>
      <c r="P156">
        <v>20</v>
      </c>
      <c r="Q156">
        <v>10</v>
      </c>
      <c r="R156">
        <v>0</v>
      </c>
      <c r="S156">
        <v>0</v>
      </c>
      <c r="T156">
        <v>0</v>
      </c>
      <c r="U156" t="s">
        <v>261</v>
      </c>
      <c r="V156" t="s">
        <v>45</v>
      </c>
      <c r="W156" t="s">
        <v>45</v>
      </c>
      <c r="X156" t="s">
        <v>312</v>
      </c>
    </row>
    <row r="157" spans="2:224" x14ac:dyDescent="0.25">
      <c r="B157">
        <v>10514610436</v>
      </c>
      <c r="C157" t="s">
        <v>2383</v>
      </c>
      <c r="D157">
        <v>224510252</v>
      </c>
      <c r="E157" s="2">
        <v>43503.576331018521</v>
      </c>
      <c r="F157" s="2">
        <v>43503.584849537037</v>
      </c>
      <c r="G157" t="s">
        <v>904</v>
      </c>
      <c r="L157" t="s">
        <v>215</v>
      </c>
      <c r="N157">
        <v>1250</v>
      </c>
      <c r="O157">
        <v>70</v>
      </c>
      <c r="P157">
        <v>20</v>
      </c>
      <c r="Q157">
        <v>10</v>
      </c>
      <c r="R157">
        <v>0</v>
      </c>
      <c r="S157">
        <v>0</v>
      </c>
      <c r="T157">
        <v>0</v>
      </c>
      <c r="U157" t="s">
        <v>261</v>
      </c>
      <c r="V157" t="s">
        <v>45</v>
      </c>
      <c r="W157" t="s">
        <v>45</v>
      </c>
      <c r="X157" t="s">
        <v>312</v>
      </c>
    </row>
    <row r="158" spans="2:224" x14ac:dyDescent="0.25">
      <c r="B158">
        <v>10514610238</v>
      </c>
      <c r="C158" t="s">
        <v>2383</v>
      </c>
      <c r="D158">
        <v>224510252</v>
      </c>
      <c r="E158" s="2">
        <v>43503.575729166667</v>
      </c>
      <c r="F158" s="2">
        <v>43503.576261574082</v>
      </c>
      <c r="G158" t="s">
        <v>904</v>
      </c>
      <c r="L158" t="s">
        <v>215</v>
      </c>
      <c r="N158">
        <v>1250</v>
      </c>
      <c r="O158">
        <v>70</v>
      </c>
      <c r="P158">
        <v>20</v>
      </c>
      <c r="Q158">
        <v>10</v>
      </c>
      <c r="R158">
        <v>0</v>
      </c>
      <c r="S158">
        <v>0</v>
      </c>
      <c r="T158">
        <v>0</v>
      </c>
      <c r="U158" t="s">
        <v>261</v>
      </c>
      <c r="V158" t="s">
        <v>45</v>
      </c>
      <c r="W158" t="s">
        <v>45</v>
      </c>
      <c r="X158" t="s">
        <v>166</v>
      </c>
    </row>
    <row r="159" spans="2:224" x14ac:dyDescent="0.25">
      <c r="B159">
        <v>10509492071</v>
      </c>
      <c r="C159" t="s">
        <v>2383</v>
      </c>
      <c r="D159">
        <v>224510252</v>
      </c>
      <c r="E159" s="2">
        <v>43501.616469907407</v>
      </c>
      <c r="F159" s="2">
        <v>43501.634513888886</v>
      </c>
      <c r="G159" t="s">
        <v>904</v>
      </c>
      <c r="L159" t="s">
        <v>366</v>
      </c>
      <c r="N159">
        <v>2000</v>
      </c>
      <c r="O159">
        <v>70</v>
      </c>
      <c r="P159">
        <v>0</v>
      </c>
      <c r="Q159">
        <v>10</v>
      </c>
      <c r="R159">
        <v>20</v>
      </c>
      <c r="S159">
        <v>0</v>
      </c>
      <c r="T159">
        <v>0</v>
      </c>
      <c r="U159" t="s">
        <v>322</v>
      </c>
      <c r="V159" t="s">
        <v>262</v>
      </c>
      <c r="W159" t="s">
        <v>44</v>
      </c>
      <c r="X159" t="s">
        <v>312</v>
      </c>
      <c r="FT159" t="s">
        <v>200</v>
      </c>
      <c r="FU159" t="s">
        <v>200</v>
      </c>
      <c r="FV159" t="s">
        <v>2220</v>
      </c>
      <c r="FW159" t="s">
        <v>198</v>
      </c>
      <c r="FX159" t="s">
        <v>198</v>
      </c>
      <c r="FY159" t="s">
        <v>198</v>
      </c>
      <c r="FZ159" t="s">
        <v>200</v>
      </c>
      <c r="GA159" t="s">
        <v>200</v>
      </c>
      <c r="GB159" t="s">
        <v>200</v>
      </c>
      <c r="GC159" t="s">
        <v>198</v>
      </c>
      <c r="GE159" t="s">
        <v>200</v>
      </c>
      <c r="GF159" t="s">
        <v>200</v>
      </c>
      <c r="GH159" t="s">
        <v>1490</v>
      </c>
      <c r="GI159" t="s">
        <v>1540</v>
      </c>
      <c r="GJ159" t="s">
        <v>772</v>
      </c>
      <c r="GK159" t="s">
        <v>1438</v>
      </c>
      <c r="GN159" t="s">
        <v>1490</v>
      </c>
      <c r="GO159" t="s">
        <v>1540</v>
      </c>
      <c r="GP159" t="s">
        <v>772</v>
      </c>
      <c r="GQ159" t="s">
        <v>1438</v>
      </c>
      <c r="GV159" t="s">
        <v>2221</v>
      </c>
      <c r="GW159" t="s">
        <v>150</v>
      </c>
      <c r="GX159" t="s">
        <v>151</v>
      </c>
      <c r="HB159" t="s">
        <v>155</v>
      </c>
      <c r="HD159" t="s">
        <v>157</v>
      </c>
      <c r="HK159" t="s">
        <v>2222</v>
      </c>
      <c r="HM159" t="s">
        <v>2223</v>
      </c>
    </row>
    <row r="160" spans="2:224" x14ac:dyDescent="0.25">
      <c r="B160">
        <v>10509428016</v>
      </c>
      <c r="C160" t="s">
        <v>2383</v>
      </c>
      <c r="D160">
        <v>224510252</v>
      </c>
      <c r="E160" s="2">
        <v>43501.559027777781</v>
      </c>
      <c r="F160" s="2">
        <v>43501.58902777778</v>
      </c>
      <c r="G160" t="s">
        <v>904</v>
      </c>
      <c r="L160" t="s">
        <v>33</v>
      </c>
      <c r="M160" t="s">
        <v>2224</v>
      </c>
      <c r="N160">
        <v>165</v>
      </c>
      <c r="O160">
        <v>60</v>
      </c>
      <c r="P160">
        <v>0</v>
      </c>
      <c r="Q160">
        <v>20</v>
      </c>
      <c r="R160">
        <v>20</v>
      </c>
      <c r="S160">
        <v>0</v>
      </c>
      <c r="T160">
        <v>0</v>
      </c>
      <c r="U160" t="s">
        <v>322</v>
      </c>
      <c r="V160" t="s">
        <v>262</v>
      </c>
      <c r="W160" t="s">
        <v>44</v>
      </c>
      <c r="X160" t="s">
        <v>166</v>
      </c>
      <c r="Y160" t="s">
        <v>1420</v>
      </c>
      <c r="AC160" t="s">
        <v>168</v>
      </c>
      <c r="AE160" t="s">
        <v>1547</v>
      </c>
      <c r="AG160" t="s">
        <v>1459</v>
      </c>
      <c r="AH160" t="s">
        <v>1459</v>
      </c>
      <c r="AI160" t="s">
        <v>170</v>
      </c>
      <c r="AJ160" t="s">
        <v>2438</v>
      </c>
      <c r="AK160" t="s">
        <v>2225</v>
      </c>
      <c r="AL160" t="s">
        <v>2438</v>
      </c>
      <c r="AM160" t="s">
        <v>2226</v>
      </c>
      <c r="AP160" t="s">
        <v>245</v>
      </c>
      <c r="AQ160">
        <v>0</v>
      </c>
      <c r="AR160">
        <v>0</v>
      </c>
      <c r="AS160" t="s">
        <v>245</v>
      </c>
      <c r="BE160" t="s">
        <v>181</v>
      </c>
      <c r="BG160" t="s">
        <v>177</v>
      </c>
      <c r="BT160" t="s">
        <v>2227</v>
      </c>
      <c r="DD160" t="s">
        <v>1467</v>
      </c>
      <c r="DE160" t="s">
        <v>2228</v>
      </c>
      <c r="DF160" t="s">
        <v>2229</v>
      </c>
      <c r="DN160" t="s">
        <v>2230</v>
      </c>
      <c r="DV160" t="s">
        <v>2231</v>
      </c>
      <c r="DW160" t="s">
        <v>198</v>
      </c>
      <c r="DX160" t="s">
        <v>199</v>
      </c>
      <c r="DY160" t="s">
        <v>198</v>
      </c>
      <c r="DZ160" t="s">
        <v>198</v>
      </c>
      <c r="EB160" t="s">
        <v>249</v>
      </c>
      <c r="ED160" t="s">
        <v>228</v>
      </c>
      <c r="EE160" t="s">
        <v>2232</v>
      </c>
      <c r="EF160" t="s">
        <v>233</v>
      </c>
      <c r="EH160" t="s">
        <v>2233</v>
      </c>
      <c r="EY160">
        <v>0</v>
      </c>
      <c r="GV160" t="s">
        <v>2234</v>
      </c>
      <c r="HE160" t="s">
        <v>158</v>
      </c>
      <c r="HH160" t="s">
        <v>161</v>
      </c>
      <c r="HI160" t="s">
        <v>162</v>
      </c>
      <c r="HK160" t="s">
        <v>2235</v>
      </c>
      <c r="HM160" t="s">
        <v>2223</v>
      </c>
      <c r="HN160" t="s">
        <v>2236</v>
      </c>
    </row>
    <row r="161" spans="2:224" x14ac:dyDescent="0.25">
      <c r="B161">
        <v>10500181512</v>
      </c>
      <c r="C161" t="s">
        <v>2383</v>
      </c>
      <c r="D161">
        <v>224510252</v>
      </c>
      <c r="E161" s="2">
        <v>43496.56621527778</v>
      </c>
      <c r="F161" s="2">
        <v>43496.569178240738</v>
      </c>
      <c r="G161" t="s">
        <v>904</v>
      </c>
      <c r="L161" t="s">
        <v>260</v>
      </c>
      <c r="N161">
        <v>2000</v>
      </c>
      <c r="O161">
        <v>75</v>
      </c>
      <c r="P161">
        <v>0</v>
      </c>
      <c r="Q161">
        <v>25</v>
      </c>
      <c r="R161">
        <v>0</v>
      </c>
      <c r="S161">
        <v>0</v>
      </c>
      <c r="T161">
        <v>0</v>
      </c>
      <c r="U161" t="s">
        <v>330</v>
      </c>
      <c r="X161" t="s">
        <v>312</v>
      </c>
      <c r="FT161" t="s">
        <v>200</v>
      </c>
      <c r="FU161" t="s">
        <v>200</v>
      </c>
      <c r="FV161" t="s">
        <v>2237</v>
      </c>
      <c r="FW161" t="s">
        <v>200</v>
      </c>
      <c r="FX161" t="s">
        <v>200</v>
      </c>
      <c r="FY161" t="s">
        <v>200</v>
      </c>
      <c r="FZ161" t="s">
        <v>198</v>
      </c>
      <c r="GA161" t="s">
        <v>200</v>
      </c>
      <c r="GB161" t="s">
        <v>200</v>
      </c>
      <c r="GC161" t="s">
        <v>198</v>
      </c>
      <c r="GE161" t="s">
        <v>200</v>
      </c>
      <c r="GF161" t="s">
        <v>200</v>
      </c>
      <c r="GK161" t="s">
        <v>1438</v>
      </c>
      <c r="GQ161" t="s">
        <v>1438</v>
      </c>
      <c r="GV161" t="s">
        <v>2238</v>
      </c>
      <c r="GY161" t="s">
        <v>152</v>
      </c>
    </row>
    <row r="162" spans="2:224" x14ac:dyDescent="0.25">
      <c r="B162">
        <v>10500158486</v>
      </c>
      <c r="C162" t="s">
        <v>2383</v>
      </c>
      <c r="D162">
        <v>224510252</v>
      </c>
      <c r="E162" s="2">
        <v>43496.550995370373</v>
      </c>
      <c r="F162" s="2">
        <v>43496.558321759258</v>
      </c>
      <c r="G162" t="s">
        <v>904</v>
      </c>
      <c r="L162" t="s">
        <v>164</v>
      </c>
      <c r="N162">
        <v>2800</v>
      </c>
      <c r="O162">
        <v>60</v>
      </c>
      <c r="P162">
        <v>5</v>
      </c>
      <c r="Q162">
        <v>35</v>
      </c>
      <c r="R162">
        <v>0</v>
      </c>
      <c r="S162">
        <v>0</v>
      </c>
      <c r="T162">
        <v>0</v>
      </c>
      <c r="U162" t="s">
        <v>261</v>
      </c>
      <c r="V162" t="s">
        <v>44</v>
      </c>
      <c r="W162" t="s">
        <v>44</v>
      </c>
      <c r="X162" t="s">
        <v>166</v>
      </c>
      <c r="Y162" t="s">
        <v>1459</v>
      </c>
      <c r="AC162" t="s">
        <v>238</v>
      </c>
      <c r="AE162" t="s">
        <v>167</v>
      </c>
      <c r="AG162" t="s">
        <v>2239</v>
      </c>
      <c r="AH162" t="s">
        <v>169</v>
      </c>
      <c r="AI162" t="s">
        <v>2240</v>
      </c>
      <c r="AJ162" t="s">
        <v>2441</v>
      </c>
      <c r="AK162" t="s">
        <v>2241</v>
      </c>
      <c r="AL162" t="s">
        <v>1459</v>
      </c>
      <c r="AM162">
        <v>0</v>
      </c>
      <c r="AN162" t="s">
        <v>2242</v>
      </c>
      <c r="AO162">
        <v>0</v>
      </c>
      <c r="AP162" t="s">
        <v>245</v>
      </c>
      <c r="AQ162" t="s">
        <v>245</v>
      </c>
      <c r="AR162" t="s">
        <v>245</v>
      </c>
      <c r="AS162">
        <v>0</v>
      </c>
      <c r="AU162" t="s">
        <v>176</v>
      </c>
      <c r="AW162" t="s">
        <v>223</v>
      </c>
      <c r="AX162" t="s">
        <v>402</v>
      </c>
      <c r="AZ162" t="s">
        <v>223</v>
      </c>
      <c r="BD162" t="s">
        <v>2243</v>
      </c>
      <c r="DC162" t="s">
        <v>2244</v>
      </c>
      <c r="DD162" t="s">
        <v>2245</v>
      </c>
      <c r="DE162" t="s">
        <v>2246</v>
      </c>
      <c r="DL162" t="s">
        <v>115</v>
      </c>
      <c r="DP162" t="s">
        <v>111</v>
      </c>
      <c r="DT162" t="s">
        <v>115</v>
      </c>
      <c r="DW162" t="s">
        <v>198</v>
      </c>
      <c r="DX162" t="s">
        <v>198</v>
      </c>
      <c r="DY162" t="s">
        <v>200</v>
      </c>
      <c r="DZ162" t="s">
        <v>198</v>
      </c>
      <c r="EA162" t="s">
        <v>2247</v>
      </c>
      <c r="EB162" t="s">
        <v>249</v>
      </c>
      <c r="ED162" t="s">
        <v>228</v>
      </c>
      <c r="EF162" t="s">
        <v>203</v>
      </c>
      <c r="EH162" t="s">
        <v>2248</v>
      </c>
      <c r="EI162" t="s">
        <v>2249</v>
      </c>
      <c r="EJ162" t="s">
        <v>2250</v>
      </c>
      <c r="EM162" t="s">
        <v>123</v>
      </c>
      <c r="EQ162" t="s">
        <v>126</v>
      </c>
      <c r="ER162" t="s">
        <v>127</v>
      </c>
      <c r="ET162" t="s">
        <v>198</v>
      </c>
      <c r="EU162" t="s">
        <v>200</v>
      </c>
      <c r="EV162" t="s">
        <v>198</v>
      </c>
      <c r="EW162" t="s">
        <v>200</v>
      </c>
      <c r="EY162" t="s">
        <v>209</v>
      </c>
      <c r="FA162" t="s">
        <v>228</v>
      </c>
      <c r="FB162" t="s">
        <v>233</v>
      </c>
      <c r="FC162" t="s">
        <v>2251</v>
      </c>
      <c r="GV162" t="s">
        <v>2252</v>
      </c>
      <c r="GX162" t="s">
        <v>151</v>
      </c>
      <c r="GY162" t="s">
        <v>152</v>
      </c>
      <c r="HK162" t="s">
        <v>2253</v>
      </c>
      <c r="HM162" t="s">
        <v>2254</v>
      </c>
      <c r="HN162" t="s">
        <v>258</v>
      </c>
      <c r="HO162" t="s">
        <v>2255</v>
      </c>
      <c r="HP162">
        <v>408869240</v>
      </c>
    </row>
    <row r="163" spans="2:224" x14ac:dyDescent="0.25">
      <c r="B163">
        <v>10500135087</v>
      </c>
      <c r="C163" t="s">
        <v>2383</v>
      </c>
      <c r="D163">
        <v>224510252</v>
      </c>
      <c r="E163" s="2">
        <v>43496.538055555553</v>
      </c>
      <c r="F163" s="2">
        <v>43496.550752314812</v>
      </c>
      <c r="G163" t="s">
        <v>904</v>
      </c>
      <c r="L163" t="s">
        <v>260</v>
      </c>
      <c r="N163">
        <v>2500</v>
      </c>
      <c r="O163">
        <v>65</v>
      </c>
      <c r="P163">
        <v>25</v>
      </c>
      <c r="Q163">
        <v>0</v>
      </c>
      <c r="R163">
        <v>0</v>
      </c>
      <c r="S163">
        <v>10</v>
      </c>
      <c r="T163">
        <v>0</v>
      </c>
      <c r="U163" t="s">
        <v>494</v>
      </c>
      <c r="V163" t="s">
        <v>2256</v>
      </c>
      <c r="W163" t="s">
        <v>2406</v>
      </c>
      <c r="X163" t="s">
        <v>166</v>
      </c>
      <c r="Y163" t="s">
        <v>1499</v>
      </c>
      <c r="AC163" t="s">
        <v>1473</v>
      </c>
      <c r="AE163" t="s">
        <v>1473</v>
      </c>
      <c r="AG163" t="s">
        <v>1500</v>
      </c>
      <c r="AH163" t="s">
        <v>2439</v>
      </c>
      <c r="AI163" t="s">
        <v>381</v>
      </c>
      <c r="AJ163" t="s">
        <v>169</v>
      </c>
      <c r="AK163" t="s">
        <v>2257</v>
      </c>
      <c r="AL163" t="s">
        <v>2439</v>
      </c>
      <c r="AM163" t="s">
        <v>2258</v>
      </c>
      <c r="AN163" t="s">
        <v>2259</v>
      </c>
      <c r="AO163" t="s">
        <v>2260</v>
      </c>
      <c r="AP163" t="s">
        <v>401</v>
      </c>
      <c r="AQ163" t="s">
        <v>401</v>
      </c>
      <c r="AR163" t="s">
        <v>401</v>
      </c>
      <c r="AS163" t="s">
        <v>401</v>
      </c>
      <c r="AU163" t="s">
        <v>178</v>
      </c>
      <c r="AW163" t="s">
        <v>540</v>
      </c>
      <c r="AX163" t="s">
        <v>176</v>
      </c>
      <c r="AZ163" t="s">
        <v>540</v>
      </c>
      <c r="BA163" t="s">
        <v>402</v>
      </c>
      <c r="BC163" t="s">
        <v>223</v>
      </c>
      <c r="BD163" t="s">
        <v>2261</v>
      </c>
      <c r="BE163" t="s">
        <v>180</v>
      </c>
      <c r="BG163" t="s">
        <v>540</v>
      </c>
      <c r="BH163" t="s">
        <v>182</v>
      </c>
      <c r="BJ163" t="s">
        <v>540</v>
      </c>
      <c r="BK163" t="s">
        <v>183</v>
      </c>
      <c r="BM163" t="s">
        <v>540</v>
      </c>
      <c r="BN163" t="s">
        <v>679</v>
      </c>
      <c r="BP163" t="s">
        <v>540</v>
      </c>
      <c r="BT163" t="s">
        <v>2262</v>
      </c>
      <c r="BU163" t="s">
        <v>184</v>
      </c>
      <c r="BW163" t="s">
        <v>540</v>
      </c>
      <c r="BX163" t="s">
        <v>185</v>
      </c>
      <c r="BZ163" t="s">
        <v>540</v>
      </c>
      <c r="CD163" t="s">
        <v>2263</v>
      </c>
      <c r="CE163" t="s">
        <v>186</v>
      </c>
      <c r="CG163" t="s">
        <v>2501</v>
      </c>
      <c r="CH163" t="s">
        <v>187</v>
      </c>
      <c r="CJ163" t="s">
        <v>540</v>
      </c>
      <c r="CK163" t="s">
        <v>188</v>
      </c>
      <c r="CM163" t="s">
        <v>540</v>
      </c>
      <c r="CN163" t="s">
        <v>190</v>
      </c>
      <c r="CP163" t="s">
        <v>540</v>
      </c>
      <c r="CQ163" t="s">
        <v>189</v>
      </c>
      <c r="CS163" t="s">
        <v>540</v>
      </c>
      <c r="CT163" t="s">
        <v>191</v>
      </c>
      <c r="CV163" t="s">
        <v>540</v>
      </c>
      <c r="CW163" t="s">
        <v>224</v>
      </c>
      <c r="CY163" t="s">
        <v>540</v>
      </c>
      <c r="CZ163" t="s">
        <v>192</v>
      </c>
      <c r="DB163" t="s">
        <v>540</v>
      </c>
      <c r="DC163" t="s">
        <v>2264</v>
      </c>
      <c r="DD163" t="s">
        <v>2265</v>
      </c>
      <c r="DE163" t="s">
        <v>2266</v>
      </c>
      <c r="DJ163" t="s">
        <v>113</v>
      </c>
      <c r="DL163" t="s">
        <v>115</v>
      </c>
      <c r="DM163" t="s">
        <v>116</v>
      </c>
      <c r="DP163" t="s">
        <v>111</v>
      </c>
      <c r="DR163" t="s">
        <v>113</v>
      </c>
      <c r="DW163" t="s">
        <v>198</v>
      </c>
      <c r="DX163" t="s">
        <v>200</v>
      </c>
      <c r="DY163" t="s">
        <v>198</v>
      </c>
      <c r="DZ163" t="s">
        <v>200</v>
      </c>
      <c r="EB163" t="s">
        <v>249</v>
      </c>
      <c r="ED163" t="s">
        <v>202</v>
      </c>
      <c r="EF163" t="s">
        <v>203</v>
      </c>
      <c r="EH163" t="s">
        <v>2267</v>
      </c>
      <c r="EI163" t="s">
        <v>2268</v>
      </c>
      <c r="EJ163" t="s">
        <v>2269</v>
      </c>
      <c r="EM163" t="s">
        <v>123</v>
      </c>
      <c r="EO163" t="s">
        <v>113</v>
      </c>
      <c r="ET163" t="s">
        <v>200</v>
      </c>
      <c r="EU163" t="s">
        <v>200</v>
      </c>
      <c r="EV163" t="s">
        <v>200</v>
      </c>
      <c r="EW163" t="s">
        <v>200</v>
      </c>
      <c r="EY163" t="s">
        <v>209</v>
      </c>
      <c r="FA163" t="s">
        <v>228</v>
      </c>
      <c r="FB163" t="s">
        <v>203</v>
      </c>
      <c r="FC163" t="s">
        <v>2270</v>
      </c>
      <c r="GV163" t="s">
        <v>2271</v>
      </c>
      <c r="GY163" t="s">
        <v>152</v>
      </c>
      <c r="HB163" t="s">
        <v>155</v>
      </c>
      <c r="HD163" t="s">
        <v>157</v>
      </c>
      <c r="HE163" t="s">
        <v>158</v>
      </c>
      <c r="HF163" t="s">
        <v>159</v>
      </c>
      <c r="HG163" t="s">
        <v>160</v>
      </c>
      <c r="HJ163" t="s">
        <v>2272</v>
      </c>
      <c r="HK163" t="s">
        <v>2273</v>
      </c>
      <c r="HL163" t="s">
        <v>2274</v>
      </c>
      <c r="HM163" t="s">
        <v>2275</v>
      </c>
      <c r="HN163" t="s">
        <v>2276</v>
      </c>
      <c r="HO163" t="s">
        <v>2277</v>
      </c>
      <c r="HP163">
        <v>417850587</v>
      </c>
    </row>
    <row r="164" spans="2:224" x14ac:dyDescent="0.25">
      <c r="B164">
        <v>10500121325</v>
      </c>
      <c r="C164" t="s">
        <v>2383</v>
      </c>
      <c r="D164">
        <v>224510252</v>
      </c>
      <c r="E164" s="2">
        <v>43496.530127314807</v>
      </c>
      <c r="F164" s="2">
        <v>43496.531030092592</v>
      </c>
      <c r="G164" t="s">
        <v>904</v>
      </c>
      <c r="L164" t="s">
        <v>260</v>
      </c>
      <c r="N164">
        <v>2400</v>
      </c>
      <c r="O164">
        <v>40</v>
      </c>
      <c r="P164">
        <v>10</v>
      </c>
      <c r="Q164">
        <v>15</v>
      </c>
      <c r="R164">
        <v>20</v>
      </c>
      <c r="S164">
        <v>15</v>
      </c>
      <c r="T164">
        <v>0</v>
      </c>
      <c r="U164" t="s">
        <v>261</v>
      </c>
      <c r="V164" t="s">
        <v>1355</v>
      </c>
      <c r="W164" t="s">
        <v>1334</v>
      </c>
      <c r="X164" t="s">
        <v>312</v>
      </c>
    </row>
    <row r="165" spans="2:224" x14ac:dyDescent="0.25">
      <c r="B165">
        <v>10500094281</v>
      </c>
      <c r="C165" t="s">
        <v>2383</v>
      </c>
      <c r="D165">
        <v>224510252</v>
      </c>
      <c r="E165" s="2">
        <v>43496.512743055559</v>
      </c>
      <c r="F165" s="2">
        <v>43496.515752314823</v>
      </c>
      <c r="G165" t="s">
        <v>904</v>
      </c>
      <c r="L165" t="s">
        <v>260</v>
      </c>
      <c r="N165">
        <v>60000</v>
      </c>
      <c r="O165">
        <v>50</v>
      </c>
      <c r="P165">
        <v>5</v>
      </c>
      <c r="Q165">
        <v>20</v>
      </c>
      <c r="R165">
        <v>15</v>
      </c>
      <c r="S165">
        <v>10</v>
      </c>
      <c r="T165">
        <v>0</v>
      </c>
      <c r="U165" t="s">
        <v>216</v>
      </c>
      <c r="V165" t="s">
        <v>1192</v>
      </c>
      <c r="W165" t="s">
        <v>1369</v>
      </c>
      <c r="X165" t="s">
        <v>166</v>
      </c>
    </row>
    <row r="166" spans="2:224" x14ac:dyDescent="0.25">
      <c r="B166">
        <v>10495014118</v>
      </c>
      <c r="C166" t="s">
        <v>2383</v>
      </c>
      <c r="D166">
        <v>224510252</v>
      </c>
      <c r="E166" s="2">
        <v>43494.388923611114</v>
      </c>
      <c r="F166" s="2">
        <v>43494.497708333343</v>
      </c>
      <c r="G166" t="s">
        <v>904</v>
      </c>
      <c r="L166" t="s">
        <v>279</v>
      </c>
      <c r="N166">
        <v>1250</v>
      </c>
      <c r="O166">
        <v>70</v>
      </c>
      <c r="P166">
        <v>0</v>
      </c>
      <c r="Q166">
        <v>30</v>
      </c>
      <c r="R166">
        <v>0</v>
      </c>
      <c r="S166">
        <v>0</v>
      </c>
      <c r="T166">
        <v>0</v>
      </c>
      <c r="U166" t="s">
        <v>2394</v>
      </c>
      <c r="V166" t="s">
        <v>2279</v>
      </c>
      <c r="W166" t="s">
        <v>2414</v>
      </c>
      <c r="X166" t="s">
        <v>166</v>
      </c>
      <c r="Y166" t="s">
        <v>1499</v>
      </c>
      <c r="AC166" t="s">
        <v>168</v>
      </c>
      <c r="AE166" t="s">
        <v>168</v>
      </c>
      <c r="AG166" t="s">
        <v>2280</v>
      </c>
      <c r="AH166" t="s">
        <v>1459</v>
      </c>
      <c r="AI166" t="s">
        <v>2281</v>
      </c>
      <c r="AJ166" t="s">
        <v>2442</v>
      </c>
      <c r="AK166" t="s">
        <v>2282</v>
      </c>
      <c r="AL166" t="s">
        <v>2445</v>
      </c>
      <c r="AN166" t="s">
        <v>2283</v>
      </c>
      <c r="AP166" t="s">
        <v>245</v>
      </c>
      <c r="AQ166" t="s">
        <v>245</v>
      </c>
      <c r="AR166" t="s">
        <v>245</v>
      </c>
      <c r="AS166" t="s">
        <v>245</v>
      </c>
      <c r="AT166" t="s">
        <v>2284</v>
      </c>
      <c r="DD166" t="s">
        <v>2285</v>
      </c>
      <c r="DE166" t="s">
        <v>2286</v>
      </c>
      <c r="DG166" t="s">
        <v>110</v>
      </c>
      <c r="DH166" t="s">
        <v>111</v>
      </c>
      <c r="DI166" t="s">
        <v>112</v>
      </c>
      <c r="DO166" t="s">
        <v>110</v>
      </c>
      <c r="DP166" t="s">
        <v>111</v>
      </c>
      <c r="DW166" t="s">
        <v>424</v>
      </c>
      <c r="DX166" t="s">
        <v>198</v>
      </c>
      <c r="DY166" t="s">
        <v>424</v>
      </c>
      <c r="DZ166" t="s">
        <v>424</v>
      </c>
      <c r="EB166" t="s">
        <v>1046</v>
      </c>
      <c r="ED166" t="s">
        <v>228</v>
      </c>
      <c r="EF166" t="s">
        <v>233</v>
      </c>
      <c r="EH166" t="s">
        <v>2287</v>
      </c>
      <c r="EI166" t="s">
        <v>1160</v>
      </c>
      <c r="EL166" t="s">
        <v>122</v>
      </c>
      <c r="EM166" t="s">
        <v>123</v>
      </c>
      <c r="ET166" t="s">
        <v>198</v>
      </c>
      <c r="EU166" t="s">
        <v>200</v>
      </c>
      <c r="EV166" t="s">
        <v>198</v>
      </c>
      <c r="EW166" t="s">
        <v>198</v>
      </c>
      <c r="EY166" t="s">
        <v>209</v>
      </c>
      <c r="FA166" t="s">
        <v>202</v>
      </c>
      <c r="FB166" t="s">
        <v>203</v>
      </c>
      <c r="GV166" t="s">
        <v>2288</v>
      </c>
      <c r="GX166" t="s">
        <v>151</v>
      </c>
      <c r="HK166" t="s">
        <v>2289</v>
      </c>
    </row>
    <row r="167" spans="2:224" x14ac:dyDescent="0.25">
      <c r="B167">
        <v>10488722553</v>
      </c>
      <c r="C167" t="s">
        <v>2383</v>
      </c>
      <c r="D167">
        <v>224510252</v>
      </c>
      <c r="E167" s="2">
        <v>43490.631828703707</v>
      </c>
      <c r="F167" s="2">
        <v>43490.65079861111</v>
      </c>
      <c r="G167" t="s">
        <v>904</v>
      </c>
      <c r="L167" t="s">
        <v>279</v>
      </c>
      <c r="N167">
        <v>800</v>
      </c>
      <c r="O167">
        <v>65</v>
      </c>
      <c r="P167">
        <v>15</v>
      </c>
      <c r="Q167">
        <v>20</v>
      </c>
      <c r="R167">
        <v>0</v>
      </c>
      <c r="S167">
        <v>0</v>
      </c>
      <c r="T167">
        <v>0</v>
      </c>
      <c r="U167" t="s">
        <v>2394</v>
      </c>
      <c r="V167" t="s">
        <v>2290</v>
      </c>
      <c r="W167" t="s">
        <v>2415</v>
      </c>
      <c r="X167" t="s">
        <v>166</v>
      </c>
      <c r="Y167" t="s">
        <v>1420</v>
      </c>
      <c r="AC167" t="s">
        <v>168</v>
      </c>
      <c r="AE167" t="s">
        <v>238</v>
      </c>
      <c r="AG167" t="s">
        <v>1459</v>
      </c>
      <c r="AH167" t="s">
        <v>1459</v>
      </c>
      <c r="AI167" t="s">
        <v>170</v>
      </c>
      <c r="AJ167" t="s">
        <v>2438</v>
      </c>
      <c r="AK167" t="s">
        <v>2291</v>
      </c>
      <c r="AL167" t="s">
        <v>2444</v>
      </c>
      <c r="AM167" t="s">
        <v>2292</v>
      </c>
      <c r="AP167" t="s">
        <v>261</v>
      </c>
      <c r="AQ167" t="s">
        <v>261</v>
      </c>
      <c r="AR167" t="s">
        <v>261</v>
      </c>
      <c r="AS167" t="s">
        <v>261</v>
      </c>
      <c r="AU167" t="s">
        <v>402</v>
      </c>
      <c r="AW167" t="s">
        <v>177</v>
      </c>
      <c r="AX167" t="s">
        <v>178</v>
      </c>
      <c r="AZ167" t="s">
        <v>177</v>
      </c>
      <c r="BE167" t="s">
        <v>182</v>
      </c>
      <c r="BG167" t="s">
        <v>223</v>
      </c>
      <c r="BT167" t="s">
        <v>2293</v>
      </c>
      <c r="CD167" t="s">
        <v>1504</v>
      </c>
      <c r="CE167" t="s">
        <v>191</v>
      </c>
      <c r="CG167" t="s">
        <v>177</v>
      </c>
      <c r="DD167" t="s">
        <v>2294</v>
      </c>
      <c r="DE167" t="s">
        <v>2295</v>
      </c>
      <c r="DF167" t="s">
        <v>207</v>
      </c>
      <c r="DG167" t="s">
        <v>110</v>
      </c>
      <c r="DH167" t="s">
        <v>111</v>
      </c>
      <c r="DI167" t="s">
        <v>112</v>
      </c>
      <c r="DO167" t="s">
        <v>110</v>
      </c>
      <c r="DP167" t="s">
        <v>111</v>
      </c>
      <c r="DQ167" t="s">
        <v>112</v>
      </c>
      <c r="DW167" t="s">
        <v>200</v>
      </c>
      <c r="DX167" t="s">
        <v>199</v>
      </c>
      <c r="DY167" t="s">
        <v>198</v>
      </c>
      <c r="DZ167" t="s">
        <v>198</v>
      </c>
      <c r="EB167" t="s">
        <v>201</v>
      </c>
      <c r="ED167" t="s">
        <v>202</v>
      </c>
      <c r="EF167" t="s">
        <v>203</v>
      </c>
      <c r="EH167" t="s">
        <v>2296</v>
      </c>
      <c r="FW167" t="s">
        <v>198</v>
      </c>
      <c r="FX167" t="s">
        <v>198</v>
      </c>
      <c r="FY167" t="s">
        <v>200</v>
      </c>
      <c r="FZ167" t="s">
        <v>200</v>
      </c>
      <c r="GA167" t="s">
        <v>200</v>
      </c>
      <c r="GB167" t="s">
        <v>198</v>
      </c>
      <c r="GC167" t="s">
        <v>198</v>
      </c>
      <c r="GE167" t="s">
        <v>198</v>
      </c>
      <c r="GF167" t="s">
        <v>200</v>
      </c>
      <c r="GN167" t="s">
        <v>1490</v>
      </c>
      <c r="GO167" t="s">
        <v>1540</v>
      </c>
      <c r="GV167" t="s">
        <v>2297</v>
      </c>
      <c r="GW167" t="s">
        <v>150</v>
      </c>
      <c r="GX167" t="s">
        <v>151</v>
      </c>
      <c r="HH167" t="s">
        <v>161</v>
      </c>
      <c r="HJ167" t="s">
        <v>569</v>
      </c>
      <c r="HK167" t="s">
        <v>2298</v>
      </c>
      <c r="HM167" t="s">
        <v>2299</v>
      </c>
      <c r="HN167" t="s">
        <v>872</v>
      </c>
      <c r="HO167" t="s">
        <v>2300</v>
      </c>
      <c r="HP167">
        <v>409363944</v>
      </c>
    </row>
    <row r="168" spans="2:224" x14ac:dyDescent="0.25">
      <c r="B168">
        <v>10488703723</v>
      </c>
      <c r="C168" t="s">
        <v>2383</v>
      </c>
      <c r="D168">
        <v>224510252</v>
      </c>
      <c r="E168" s="2">
        <v>43490.610821759263</v>
      </c>
      <c r="F168" s="2">
        <v>43490.630370370367</v>
      </c>
      <c r="G168" t="s">
        <v>904</v>
      </c>
      <c r="L168" t="s">
        <v>260</v>
      </c>
      <c r="N168">
        <v>3900</v>
      </c>
      <c r="O168">
        <v>50</v>
      </c>
      <c r="P168">
        <v>0</v>
      </c>
      <c r="Q168">
        <v>50</v>
      </c>
      <c r="R168">
        <v>0</v>
      </c>
      <c r="S168">
        <v>0</v>
      </c>
      <c r="T168">
        <v>0</v>
      </c>
      <c r="U168" t="s">
        <v>216</v>
      </c>
      <c r="V168" t="s">
        <v>2301</v>
      </c>
      <c r="W168" t="s">
        <v>1335</v>
      </c>
      <c r="X168" t="s">
        <v>312</v>
      </c>
      <c r="FT168" t="s">
        <v>199</v>
      </c>
      <c r="FU168" t="s">
        <v>198</v>
      </c>
      <c r="FW168" t="s">
        <v>198</v>
      </c>
      <c r="FX168" t="s">
        <v>198</v>
      </c>
      <c r="FY168" t="s">
        <v>198</v>
      </c>
      <c r="FZ168" t="s">
        <v>198</v>
      </c>
      <c r="GA168" t="s">
        <v>200</v>
      </c>
      <c r="GB168" t="s">
        <v>200</v>
      </c>
      <c r="GC168" t="s">
        <v>198</v>
      </c>
      <c r="GE168" t="s">
        <v>200</v>
      </c>
      <c r="GF168" t="s">
        <v>198</v>
      </c>
      <c r="GH168" t="s">
        <v>1490</v>
      </c>
      <c r="GJ168" t="s">
        <v>772</v>
      </c>
      <c r="GN168" t="s">
        <v>1490</v>
      </c>
      <c r="GP168" t="s">
        <v>772</v>
      </c>
      <c r="GV168" t="s">
        <v>2302</v>
      </c>
      <c r="GX168" t="s">
        <v>151</v>
      </c>
      <c r="HI168" t="s">
        <v>162</v>
      </c>
      <c r="HJ168" t="s">
        <v>651</v>
      </c>
      <c r="HK168" t="s">
        <v>2303</v>
      </c>
      <c r="HL168" t="s">
        <v>2304</v>
      </c>
      <c r="HM168" t="s">
        <v>2305</v>
      </c>
      <c r="HN168" t="s">
        <v>2306</v>
      </c>
      <c r="HO168" t="s">
        <v>2307</v>
      </c>
      <c r="HP168">
        <v>438272100</v>
      </c>
    </row>
    <row r="169" spans="2:224" x14ac:dyDescent="0.25">
      <c r="B169">
        <v>10488675606</v>
      </c>
      <c r="C169" t="s">
        <v>2383</v>
      </c>
      <c r="D169">
        <v>224510252</v>
      </c>
      <c r="E169" s="2">
        <v>43490.589131944442</v>
      </c>
      <c r="F169" s="2">
        <v>43490.606608796297</v>
      </c>
      <c r="G169" t="s">
        <v>904</v>
      </c>
      <c r="L169" t="s">
        <v>279</v>
      </c>
      <c r="N169">
        <v>300</v>
      </c>
      <c r="O169">
        <v>50</v>
      </c>
      <c r="P169">
        <v>0</v>
      </c>
      <c r="Q169">
        <v>25</v>
      </c>
      <c r="R169">
        <v>0</v>
      </c>
      <c r="S169">
        <v>25</v>
      </c>
      <c r="T169">
        <v>0</v>
      </c>
      <c r="U169" t="s">
        <v>2394</v>
      </c>
      <c r="V169" t="s">
        <v>2308</v>
      </c>
      <c r="W169" t="s">
        <v>2416</v>
      </c>
      <c r="X169" t="s">
        <v>312</v>
      </c>
      <c r="FT169" t="s">
        <v>198</v>
      </c>
      <c r="FU169" t="s">
        <v>198</v>
      </c>
      <c r="FW169" t="s">
        <v>199</v>
      </c>
      <c r="FX169" t="s">
        <v>198</v>
      </c>
      <c r="FY169" t="s">
        <v>200</v>
      </c>
      <c r="FZ169" t="s">
        <v>198</v>
      </c>
      <c r="GA169" t="s">
        <v>200</v>
      </c>
      <c r="GB169" t="s">
        <v>199</v>
      </c>
      <c r="GC169" t="s">
        <v>200</v>
      </c>
      <c r="GE169" t="s">
        <v>198</v>
      </c>
      <c r="GF169" t="s">
        <v>198</v>
      </c>
      <c r="GJ169" t="s">
        <v>772</v>
      </c>
      <c r="GP169" t="s">
        <v>772</v>
      </c>
      <c r="GV169" t="s">
        <v>2309</v>
      </c>
      <c r="GX169" t="s">
        <v>151</v>
      </c>
      <c r="HJ169" t="s">
        <v>651</v>
      </c>
      <c r="HK169" t="s">
        <v>2310</v>
      </c>
      <c r="HM169" t="s">
        <v>362</v>
      </c>
      <c r="HN169" t="s">
        <v>2311</v>
      </c>
      <c r="HP169">
        <v>428366883</v>
      </c>
    </row>
    <row r="170" spans="2:224" x14ac:dyDescent="0.25">
      <c r="B170">
        <v>10488608950</v>
      </c>
      <c r="C170" t="s">
        <v>2383</v>
      </c>
      <c r="D170">
        <v>224510252</v>
      </c>
      <c r="E170" s="2">
        <v>43490.544502314813</v>
      </c>
      <c r="F170" s="2">
        <v>43490.562256944453</v>
      </c>
      <c r="G170" t="s">
        <v>904</v>
      </c>
      <c r="L170" t="s">
        <v>215</v>
      </c>
      <c r="N170">
        <v>2600</v>
      </c>
      <c r="O170">
        <v>60</v>
      </c>
      <c r="P170">
        <v>0</v>
      </c>
      <c r="Q170">
        <v>40</v>
      </c>
      <c r="R170">
        <v>0</v>
      </c>
      <c r="S170">
        <v>0</v>
      </c>
      <c r="T170">
        <v>0</v>
      </c>
      <c r="U170" t="s">
        <v>261</v>
      </c>
      <c r="V170" t="s">
        <v>2312</v>
      </c>
      <c r="W170" t="s">
        <v>45</v>
      </c>
      <c r="X170" t="s">
        <v>166</v>
      </c>
      <c r="Y170" t="s">
        <v>1420</v>
      </c>
      <c r="AC170" t="s">
        <v>263</v>
      </c>
      <c r="AE170" t="s">
        <v>238</v>
      </c>
      <c r="AG170" t="s">
        <v>1459</v>
      </c>
      <c r="AH170" t="s">
        <v>1459</v>
      </c>
      <c r="AI170" t="s">
        <v>170</v>
      </c>
      <c r="AJ170" t="s">
        <v>2438</v>
      </c>
      <c r="AM170" t="s">
        <v>2313</v>
      </c>
      <c r="AN170" t="s">
        <v>2314</v>
      </c>
      <c r="AO170" t="s">
        <v>2315</v>
      </c>
      <c r="AP170" t="s">
        <v>175</v>
      </c>
      <c r="AQ170" t="s">
        <v>175</v>
      </c>
      <c r="AR170" t="s">
        <v>175</v>
      </c>
      <c r="AS170" t="s">
        <v>245</v>
      </c>
      <c r="BD170" t="s">
        <v>313</v>
      </c>
      <c r="BE170" t="s">
        <v>182</v>
      </c>
      <c r="BG170" t="s">
        <v>177</v>
      </c>
      <c r="BH170" t="s">
        <v>183</v>
      </c>
      <c r="BJ170" t="s">
        <v>177</v>
      </c>
      <c r="DC170" t="s">
        <v>2316</v>
      </c>
      <c r="DD170" t="s">
        <v>2317</v>
      </c>
      <c r="DE170" t="s">
        <v>2318</v>
      </c>
      <c r="DF170" t="s">
        <v>2295</v>
      </c>
      <c r="DN170" t="s">
        <v>2319</v>
      </c>
      <c r="DW170" t="s">
        <v>200</v>
      </c>
      <c r="DX170" t="s">
        <v>199</v>
      </c>
      <c r="DY170" t="s">
        <v>198</v>
      </c>
      <c r="DZ170" t="s">
        <v>198</v>
      </c>
      <c r="EB170" t="s">
        <v>201</v>
      </c>
      <c r="ED170" t="s">
        <v>202</v>
      </c>
      <c r="EF170" t="s">
        <v>203</v>
      </c>
      <c r="EH170" t="s">
        <v>2320</v>
      </c>
      <c r="GD170" t="s">
        <v>2321</v>
      </c>
      <c r="GE170" t="s">
        <v>200</v>
      </c>
      <c r="GF170" t="s">
        <v>200</v>
      </c>
      <c r="GV170" t="s">
        <v>2322</v>
      </c>
      <c r="GX170" t="s">
        <v>151</v>
      </c>
      <c r="HK170" t="s">
        <v>2323</v>
      </c>
      <c r="HM170" t="s">
        <v>2324</v>
      </c>
      <c r="HN170" t="s">
        <v>2325</v>
      </c>
      <c r="HO170" t="s">
        <v>2326</v>
      </c>
      <c r="HP170">
        <v>428554054</v>
      </c>
    </row>
    <row r="171" spans="2:224" x14ac:dyDescent="0.25">
      <c r="B171">
        <v>10486300657</v>
      </c>
      <c r="C171" t="s">
        <v>2383</v>
      </c>
      <c r="D171">
        <v>224510252</v>
      </c>
      <c r="E171" s="2">
        <v>43489.626192129632</v>
      </c>
      <c r="F171" s="2">
        <v>43489.640821759262</v>
      </c>
      <c r="G171" t="s">
        <v>904</v>
      </c>
      <c r="L171" t="s">
        <v>366</v>
      </c>
      <c r="N171">
        <v>250</v>
      </c>
      <c r="O171">
        <v>60</v>
      </c>
      <c r="P171">
        <v>0</v>
      </c>
      <c r="Q171">
        <v>40</v>
      </c>
      <c r="R171">
        <v>0</v>
      </c>
      <c r="S171">
        <v>0</v>
      </c>
      <c r="T171">
        <v>0</v>
      </c>
      <c r="U171" t="s">
        <v>494</v>
      </c>
      <c r="V171" t="s">
        <v>2328</v>
      </c>
      <c r="W171" t="s">
        <v>1334</v>
      </c>
      <c r="X171" t="s">
        <v>166</v>
      </c>
      <c r="Y171" t="s">
        <v>1499</v>
      </c>
      <c r="AC171" t="s">
        <v>263</v>
      </c>
      <c r="AE171" t="s">
        <v>263</v>
      </c>
      <c r="AG171" t="s">
        <v>910</v>
      </c>
      <c r="AH171" t="s">
        <v>169</v>
      </c>
      <c r="AI171" t="s">
        <v>2329</v>
      </c>
      <c r="AJ171" t="s">
        <v>169</v>
      </c>
      <c r="AK171" t="s">
        <v>2330</v>
      </c>
      <c r="AL171" t="s">
        <v>2442</v>
      </c>
      <c r="AN171" t="s">
        <v>2331</v>
      </c>
      <c r="AP171" t="s">
        <v>322</v>
      </c>
      <c r="AQ171" t="s">
        <v>261</v>
      </c>
      <c r="AR171">
        <v>0</v>
      </c>
      <c r="AS171" t="s">
        <v>261</v>
      </c>
      <c r="AU171" t="s">
        <v>402</v>
      </c>
      <c r="AX171" t="s">
        <v>178</v>
      </c>
      <c r="BE171" t="s">
        <v>182</v>
      </c>
      <c r="BG171" t="s">
        <v>177</v>
      </c>
      <c r="BH171" t="s">
        <v>183</v>
      </c>
      <c r="BJ171" t="s">
        <v>177</v>
      </c>
      <c r="BK171" t="s">
        <v>180</v>
      </c>
      <c r="BM171" t="s">
        <v>177</v>
      </c>
      <c r="BN171" t="s">
        <v>679</v>
      </c>
      <c r="BP171" t="s">
        <v>177</v>
      </c>
      <c r="BT171" t="s">
        <v>2332</v>
      </c>
      <c r="BU171" t="s">
        <v>184</v>
      </c>
      <c r="BW171" t="s">
        <v>177</v>
      </c>
      <c r="CE171" t="s">
        <v>186</v>
      </c>
      <c r="DD171" t="s">
        <v>2333</v>
      </c>
      <c r="DE171" t="s">
        <v>2334</v>
      </c>
      <c r="DN171" t="s">
        <v>2335</v>
      </c>
      <c r="DV171" t="s">
        <v>2336</v>
      </c>
      <c r="DW171" t="s">
        <v>198</v>
      </c>
      <c r="DX171" t="s">
        <v>199</v>
      </c>
      <c r="DY171" t="s">
        <v>198</v>
      </c>
      <c r="DZ171" t="s">
        <v>198</v>
      </c>
      <c r="EB171" t="s">
        <v>2337</v>
      </c>
      <c r="ED171" t="s">
        <v>228</v>
      </c>
      <c r="EF171" t="s">
        <v>233</v>
      </c>
      <c r="EH171" t="s">
        <v>2338</v>
      </c>
      <c r="ES171" t="s">
        <v>2339</v>
      </c>
      <c r="ET171" t="s">
        <v>198</v>
      </c>
      <c r="EU171" t="s">
        <v>1019</v>
      </c>
      <c r="EV171" t="s">
        <v>200</v>
      </c>
      <c r="EW171" t="s">
        <v>198</v>
      </c>
      <c r="EY171" t="s">
        <v>249</v>
      </c>
      <c r="FA171" t="s">
        <v>228</v>
      </c>
      <c r="FB171" t="s">
        <v>233</v>
      </c>
      <c r="FC171" t="s">
        <v>1708</v>
      </c>
      <c r="GX171" t="s">
        <v>151</v>
      </c>
      <c r="HB171" t="s">
        <v>155</v>
      </c>
      <c r="HK171" t="s">
        <v>2340</v>
      </c>
      <c r="HM171" t="s">
        <v>2341</v>
      </c>
      <c r="HN171" t="s">
        <v>806</v>
      </c>
      <c r="HP171" t="s">
        <v>2342</v>
      </c>
    </row>
    <row r="172" spans="2:224" x14ac:dyDescent="0.25">
      <c r="B172">
        <v>10486284617</v>
      </c>
      <c r="C172" t="s">
        <v>2383</v>
      </c>
      <c r="D172">
        <v>224510252</v>
      </c>
      <c r="E172" s="2">
        <v>43489.611678240741</v>
      </c>
      <c r="F172" s="2">
        <v>43489.633252314823</v>
      </c>
      <c r="G172" t="s">
        <v>904</v>
      </c>
      <c r="L172" t="s">
        <v>260</v>
      </c>
      <c r="N172">
        <v>2200</v>
      </c>
      <c r="O172">
        <v>70</v>
      </c>
      <c r="P172">
        <v>0</v>
      </c>
      <c r="Q172">
        <v>30</v>
      </c>
      <c r="R172">
        <v>0</v>
      </c>
      <c r="S172">
        <v>0</v>
      </c>
      <c r="T172">
        <v>0</v>
      </c>
      <c r="U172" t="s">
        <v>261</v>
      </c>
      <c r="V172" t="s">
        <v>2343</v>
      </c>
      <c r="W172" t="s">
        <v>2395</v>
      </c>
      <c r="X172" t="s">
        <v>166</v>
      </c>
      <c r="Y172" t="s">
        <v>1420</v>
      </c>
      <c r="AC172" t="s">
        <v>168</v>
      </c>
      <c r="AE172" t="s">
        <v>1547</v>
      </c>
      <c r="AG172" t="s">
        <v>1459</v>
      </c>
      <c r="AH172" t="s">
        <v>1459</v>
      </c>
      <c r="AI172" t="s">
        <v>2344</v>
      </c>
      <c r="AJ172" t="s">
        <v>2442</v>
      </c>
      <c r="AK172" t="s">
        <v>2345</v>
      </c>
      <c r="AL172" t="s">
        <v>2442</v>
      </c>
      <c r="AM172" t="s">
        <v>2346</v>
      </c>
      <c r="AN172" t="s">
        <v>2347</v>
      </c>
      <c r="AO172" t="s">
        <v>2348</v>
      </c>
      <c r="AP172" t="s">
        <v>245</v>
      </c>
      <c r="AQ172" t="s">
        <v>245</v>
      </c>
      <c r="AR172" t="s">
        <v>245</v>
      </c>
      <c r="AS172" t="s">
        <v>245</v>
      </c>
      <c r="AU172" t="s">
        <v>402</v>
      </c>
      <c r="BD172" t="s">
        <v>2349</v>
      </c>
      <c r="BE172" t="s">
        <v>182</v>
      </c>
      <c r="BG172" t="s">
        <v>177</v>
      </c>
      <c r="CD172" t="s">
        <v>2350</v>
      </c>
      <c r="DC172" t="s">
        <v>2351</v>
      </c>
      <c r="DD172" t="s">
        <v>2352</v>
      </c>
      <c r="DE172" t="s">
        <v>1535</v>
      </c>
      <c r="DF172" t="s">
        <v>2295</v>
      </c>
      <c r="DG172" t="s">
        <v>110</v>
      </c>
      <c r="DH172" t="s">
        <v>111</v>
      </c>
      <c r="DL172" t="s">
        <v>115</v>
      </c>
      <c r="DO172" t="s">
        <v>110</v>
      </c>
      <c r="DP172" t="s">
        <v>111</v>
      </c>
      <c r="DT172" t="s">
        <v>115</v>
      </c>
      <c r="DW172" t="s">
        <v>198</v>
      </c>
      <c r="DX172" t="s">
        <v>199</v>
      </c>
      <c r="DY172" t="s">
        <v>198</v>
      </c>
      <c r="DZ172" t="s">
        <v>198</v>
      </c>
      <c r="EB172" t="s">
        <v>249</v>
      </c>
      <c r="ED172" t="s">
        <v>228</v>
      </c>
      <c r="EF172" t="s">
        <v>233</v>
      </c>
      <c r="EH172" t="s">
        <v>2353</v>
      </c>
      <c r="ES172" t="s">
        <v>2354</v>
      </c>
      <c r="ET172" t="s">
        <v>200</v>
      </c>
      <c r="EU172" t="s">
        <v>200</v>
      </c>
      <c r="EV172" t="s">
        <v>200</v>
      </c>
      <c r="EW172" t="s">
        <v>200</v>
      </c>
      <c r="EY172" t="s">
        <v>209</v>
      </c>
      <c r="FA172" t="s">
        <v>202</v>
      </c>
      <c r="FB172" t="s">
        <v>203</v>
      </c>
      <c r="GD172" t="s">
        <v>2355</v>
      </c>
      <c r="GE172" t="s">
        <v>200</v>
      </c>
      <c r="GF172" t="s">
        <v>200</v>
      </c>
      <c r="GV172" t="s">
        <v>2356</v>
      </c>
      <c r="HH172" t="s">
        <v>161</v>
      </c>
      <c r="HI172" t="s">
        <v>162</v>
      </c>
      <c r="HK172" t="s">
        <v>2357</v>
      </c>
      <c r="HM172" t="s">
        <v>2358</v>
      </c>
      <c r="HN172" t="s">
        <v>572</v>
      </c>
      <c r="HO172" t="s">
        <v>2359</v>
      </c>
      <c r="HP172" t="s">
        <v>2360</v>
      </c>
    </row>
    <row r="173" spans="2:224" x14ac:dyDescent="0.25">
      <c r="B173">
        <v>10486202100</v>
      </c>
      <c r="C173" t="s">
        <v>2383</v>
      </c>
      <c r="D173">
        <v>224510252</v>
      </c>
      <c r="E173" s="2">
        <v>43489.544525462959</v>
      </c>
      <c r="F173" s="2">
        <v>43489.566793981481</v>
      </c>
      <c r="G173" t="s">
        <v>904</v>
      </c>
      <c r="L173" t="s">
        <v>164</v>
      </c>
      <c r="N173">
        <v>400</v>
      </c>
      <c r="O173">
        <v>100</v>
      </c>
      <c r="P173">
        <v>0</v>
      </c>
      <c r="Q173">
        <v>0</v>
      </c>
      <c r="R173">
        <v>0</v>
      </c>
      <c r="S173">
        <v>0</v>
      </c>
      <c r="T173">
        <v>0</v>
      </c>
      <c r="U173" t="s">
        <v>313</v>
      </c>
      <c r="V173" t="s">
        <v>1160</v>
      </c>
      <c r="W173" t="s">
        <v>45</v>
      </c>
      <c r="X173" t="s">
        <v>312</v>
      </c>
      <c r="FT173" t="s">
        <v>198</v>
      </c>
      <c r="FU173" t="s">
        <v>198</v>
      </c>
      <c r="FW173" t="s">
        <v>198</v>
      </c>
      <c r="FX173" t="s">
        <v>198</v>
      </c>
      <c r="FY173" t="s">
        <v>198</v>
      </c>
      <c r="FZ173" t="s">
        <v>198</v>
      </c>
      <c r="GA173" t="s">
        <v>198</v>
      </c>
      <c r="GB173" t="s">
        <v>198</v>
      </c>
      <c r="GC173" t="s">
        <v>198</v>
      </c>
      <c r="GE173" t="s">
        <v>198</v>
      </c>
      <c r="GF173" t="s">
        <v>198</v>
      </c>
      <c r="GH173" t="s">
        <v>1490</v>
      </c>
      <c r="GI173" t="s">
        <v>1540</v>
      </c>
      <c r="GJ173" t="s">
        <v>772</v>
      </c>
      <c r="GK173" t="s">
        <v>1438</v>
      </c>
      <c r="GL173" t="s">
        <v>1608</v>
      </c>
      <c r="GM173" t="s">
        <v>773</v>
      </c>
      <c r="GN173" t="s">
        <v>1490</v>
      </c>
      <c r="GO173" t="s">
        <v>1540</v>
      </c>
      <c r="GP173" t="s">
        <v>772</v>
      </c>
      <c r="GQ173" t="s">
        <v>1438</v>
      </c>
      <c r="GR173" t="s">
        <v>1608</v>
      </c>
      <c r="GS173" t="s">
        <v>773</v>
      </c>
      <c r="GU173" t="s">
        <v>2362</v>
      </c>
      <c r="GV173" t="s">
        <v>2363</v>
      </c>
      <c r="HB173" t="s">
        <v>155</v>
      </c>
      <c r="HK173" t="s">
        <v>2364</v>
      </c>
      <c r="HM173" t="s">
        <v>2365</v>
      </c>
      <c r="HN173" t="s">
        <v>2366</v>
      </c>
    </row>
    <row r="174" spans="2:224" x14ac:dyDescent="0.25">
      <c r="B174">
        <v>10485979410</v>
      </c>
      <c r="C174" t="s">
        <v>2383</v>
      </c>
      <c r="D174">
        <v>224510252</v>
      </c>
      <c r="E174" s="2">
        <v>43489.445972222216</v>
      </c>
      <c r="F174" s="2">
        <v>43489.459849537037</v>
      </c>
      <c r="G174" t="s">
        <v>904</v>
      </c>
      <c r="L174" t="s">
        <v>164</v>
      </c>
      <c r="N174">
        <v>400</v>
      </c>
      <c r="O174">
        <v>70</v>
      </c>
      <c r="P174">
        <v>0</v>
      </c>
      <c r="Q174">
        <v>30</v>
      </c>
      <c r="R174">
        <v>0</v>
      </c>
      <c r="S174">
        <v>0</v>
      </c>
      <c r="T174">
        <v>0</v>
      </c>
      <c r="U174" t="s">
        <v>261</v>
      </c>
      <c r="V174" t="s">
        <v>2368</v>
      </c>
      <c r="W174" t="s">
        <v>2417</v>
      </c>
      <c r="X174" t="s">
        <v>166</v>
      </c>
      <c r="Y174" t="s">
        <v>1499</v>
      </c>
      <c r="AC174" t="s">
        <v>168</v>
      </c>
      <c r="AE174" t="s">
        <v>1473</v>
      </c>
      <c r="AG174" t="s">
        <v>910</v>
      </c>
      <c r="AH174" t="s">
        <v>169</v>
      </c>
      <c r="AI174" t="s">
        <v>2369</v>
      </c>
      <c r="AJ174" t="s">
        <v>2444</v>
      </c>
      <c r="AK174" t="s">
        <v>2370</v>
      </c>
      <c r="AL174" t="s">
        <v>2370</v>
      </c>
      <c r="AM174" t="s">
        <v>2371</v>
      </c>
      <c r="AN174" t="s">
        <v>2191</v>
      </c>
      <c r="AO174" t="s">
        <v>2372</v>
      </c>
      <c r="AP174">
        <v>0</v>
      </c>
      <c r="AQ174">
        <v>0</v>
      </c>
      <c r="AR174">
        <v>0</v>
      </c>
      <c r="AS174">
        <v>0</v>
      </c>
      <c r="AU174" t="s">
        <v>176</v>
      </c>
      <c r="AW174" t="s">
        <v>177</v>
      </c>
      <c r="BD174" t="s">
        <v>2373</v>
      </c>
      <c r="BE174" t="s">
        <v>182</v>
      </c>
      <c r="BG174" t="s">
        <v>177</v>
      </c>
      <c r="BU174" t="s">
        <v>184</v>
      </c>
      <c r="CE174" t="s">
        <v>187</v>
      </c>
      <c r="DD174" t="s">
        <v>2374</v>
      </c>
      <c r="DE174" t="s">
        <v>2375</v>
      </c>
      <c r="DF174" t="s">
        <v>2376</v>
      </c>
      <c r="DM174" t="s">
        <v>116</v>
      </c>
      <c r="DU174" t="s">
        <v>116</v>
      </c>
      <c r="DW174" t="s">
        <v>198</v>
      </c>
      <c r="DX174" t="s">
        <v>199</v>
      </c>
      <c r="DY174" t="s">
        <v>198</v>
      </c>
      <c r="DZ174" t="s">
        <v>198</v>
      </c>
      <c r="EB174" t="s">
        <v>201</v>
      </c>
      <c r="ED174" t="s">
        <v>254</v>
      </c>
      <c r="EF174" t="s">
        <v>233</v>
      </c>
      <c r="EH174" t="s">
        <v>2377</v>
      </c>
      <c r="EI174" t="s">
        <v>2378</v>
      </c>
      <c r="EM174" t="s">
        <v>123</v>
      </c>
      <c r="ET174" t="s">
        <v>198</v>
      </c>
      <c r="EU174" t="s">
        <v>200</v>
      </c>
      <c r="EV174" t="s">
        <v>200</v>
      </c>
      <c r="EW174" t="s">
        <v>200</v>
      </c>
      <c r="EY174" t="s">
        <v>209</v>
      </c>
      <c r="FA174" t="s">
        <v>202</v>
      </c>
      <c r="FB174" t="s">
        <v>203</v>
      </c>
      <c r="FC174" t="s">
        <v>166</v>
      </c>
      <c r="GV174" t="s">
        <v>2379</v>
      </c>
      <c r="GY174" t="s">
        <v>152</v>
      </c>
      <c r="HK174" t="s">
        <v>2380</v>
      </c>
      <c r="HM174" t="s">
        <v>2381</v>
      </c>
      <c r="HN174" t="s">
        <v>806</v>
      </c>
      <c r="HP174">
        <v>407753332</v>
      </c>
    </row>
    <row r="176" spans="2:224" x14ac:dyDescent="0.25">
      <c r="DH176" s="24"/>
    </row>
  </sheetData>
  <phoneticPr fontId="7"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56C10-5542-4C0A-84DD-8789EF4153FC}">
  <dimension ref="A1"/>
  <sheetViews>
    <sheetView workbookViewId="0">
      <selection activeCell="D36" sqref="D36"/>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C6260-61D4-4BFD-BD4A-849896D07425}">
  <dimension ref="A1:HH101"/>
  <sheetViews>
    <sheetView topLeftCell="ES1" workbookViewId="0">
      <selection activeCell="DI2" sqref="DI2"/>
    </sheetView>
  </sheetViews>
  <sheetFormatPr defaultRowHeight="15" x14ac:dyDescent="0.25"/>
  <cols>
    <col min="1" max="1" width="28.42578125" customWidth="1"/>
    <col min="2" max="2" width="11.85546875" bestFit="1" customWidth="1"/>
    <col min="3" max="4" width="18.28515625" bestFit="1" customWidth="1"/>
    <col min="5" max="5" width="14.85546875" bestFit="1" customWidth="1"/>
    <col min="6" max="6" width="14.7109375" bestFit="1" customWidth="1"/>
    <col min="7" max="7" width="11.28515625" bestFit="1" customWidth="1"/>
    <col min="8" max="8" width="11.140625" bestFit="1" customWidth="1"/>
    <col min="9" max="9" width="15.28515625" bestFit="1" customWidth="1"/>
    <col min="10" max="10" width="43.42578125" bestFit="1" customWidth="1"/>
    <col min="11" max="11" width="22" bestFit="1" customWidth="1"/>
    <col min="12" max="12" width="92.5703125" bestFit="1" customWidth="1"/>
    <col min="13" max="13" width="205.5703125" bestFit="1" customWidth="1"/>
    <col min="14" max="14" width="7.5703125" bestFit="1" customWidth="1"/>
    <col min="15" max="15" width="45.5703125" bestFit="1" customWidth="1"/>
    <col min="16" max="16" width="8.28515625" bestFit="1" customWidth="1"/>
    <col min="17" max="17" width="4.5703125" bestFit="1" customWidth="1"/>
    <col min="18" max="18" width="7" bestFit="1" customWidth="1"/>
    <col min="19" max="19" width="78.42578125" bestFit="1" customWidth="1"/>
    <col min="20" max="20" width="55.140625" bestFit="1" customWidth="1"/>
    <col min="21" max="21" width="47" bestFit="1" customWidth="1"/>
    <col min="22" max="22" width="47.28515625" bestFit="1" customWidth="1"/>
    <col min="23" max="23" width="22" bestFit="1" customWidth="1"/>
    <col min="24" max="24" width="128.7109375" bestFit="1" customWidth="1"/>
    <col min="25" max="25" width="69.5703125" bestFit="1" customWidth="1"/>
    <col min="26" max="26" width="100.42578125" bestFit="1" customWidth="1"/>
    <col min="27" max="27" width="22" bestFit="1" customWidth="1"/>
    <col min="28" max="28" width="147.140625" bestFit="1" customWidth="1"/>
    <col min="29" max="29" width="33.5703125" bestFit="1" customWidth="1"/>
    <col min="30" max="30" width="36" bestFit="1" customWidth="1"/>
    <col min="31" max="31" width="132.7109375" bestFit="1" customWidth="1"/>
    <col min="32" max="32" width="116" bestFit="1" customWidth="1"/>
    <col min="33" max="33" width="100.28515625" bestFit="1" customWidth="1"/>
    <col min="34" max="34" width="53.140625" bestFit="1" customWidth="1"/>
    <col min="35" max="35" width="53.42578125" bestFit="1" customWidth="1"/>
    <col min="36" max="36" width="69.42578125" bestFit="1" customWidth="1"/>
    <col min="37" max="37" width="53.42578125" bestFit="1" customWidth="1"/>
    <col min="38" max="38" width="35.7109375" bestFit="1" customWidth="1"/>
    <col min="39" max="39" width="54" bestFit="1" customWidth="1"/>
    <col min="40" max="40" width="41.28515625" bestFit="1" customWidth="1"/>
    <col min="41" max="41" width="58" bestFit="1" customWidth="1"/>
    <col min="42" max="42" width="29.85546875" bestFit="1" customWidth="1"/>
    <col min="43" max="43" width="41.28515625" bestFit="1" customWidth="1"/>
    <col min="44" max="44" width="58" bestFit="1" customWidth="1"/>
    <col min="45" max="45" width="29.85546875" bestFit="1" customWidth="1"/>
    <col min="46" max="46" width="41.28515625" bestFit="1" customWidth="1"/>
    <col min="47" max="47" width="58" bestFit="1" customWidth="1"/>
    <col min="48" max="48" width="77.28515625" bestFit="1" customWidth="1"/>
    <col min="49" max="49" width="45.85546875" bestFit="1" customWidth="1"/>
    <col min="50" max="50" width="45" bestFit="1" customWidth="1"/>
    <col min="51" max="51" width="61.7109375" bestFit="1" customWidth="1"/>
    <col min="52" max="52" width="31" bestFit="1" customWidth="1"/>
    <col min="53" max="53" width="45" bestFit="1" customWidth="1"/>
    <col min="54" max="54" width="61.7109375" bestFit="1" customWidth="1"/>
    <col min="55" max="55" width="31" bestFit="1" customWidth="1"/>
    <col min="56" max="56" width="45" bestFit="1" customWidth="1"/>
    <col min="57" max="57" width="61.7109375" bestFit="1" customWidth="1"/>
    <col min="58" max="58" width="27.28515625" bestFit="1" customWidth="1"/>
    <col min="59" max="59" width="45" bestFit="1" customWidth="1"/>
    <col min="60" max="60" width="61.7109375" bestFit="1" customWidth="1"/>
    <col min="61" max="61" width="27.28515625" bestFit="1" customWidth="1"/>
    <col min="62" max="62" width="45" bestFit="1" customWidth="1"/>
    <col min="63" max="63" width="61.7109375" bestFit="1" customWidth="1"/>
    <col min="64" max="64" width="164.42578125" bestFit="1" customWidth="1"/>
    <col min="65" max="65" width="45.5703125" bestFit="1" customWidth="1"/>
    <col min="66" max="66" width="43.7109375" bestFit="1" customWidth="1"/>
    <col min="67" max="67" width="60.42578125" bestFit="1" customWidth="1"/>
    <col min="68" max="68" width="33" bestFit="1" customWidth="1"/>
    <col min="69" max="69" width="43.7109375" bestFit="1" customWidth="1"/>
    <col min="70" max="70" width="60.42578125" bestFit="1" customWidth="1"/>
    <col min="71" max="71" width="26" bestFit="1" customWidth="1"/>
    <col min="72" max="72" width="43.7109375" bestFit="1" customWidth="1"/>
    <col min="73" max="73" width="60.42578125" bestFit="1" customWidth="1"/>
    <col min="74" max="74" width="77.28515625" bestFit="1" customWidth="1"/>
    <col min="75" max="75" width="51" bestFit="1" customWidth="1"/>
    <col min="76" max="76" width="32.7109375" bestFit="1" customWidth="1"/>
    <col min="77" max="77" width="32.42578125" bestFit="1" customWidth="1"/>
    <col min="78" max="78" width="34.7109375" bestFit="1" customWidth="1"/>
    <col min="79" max="79" width="32.7109375" bestFit="1" customWidth="1"/>
    <col min="80" max="80" width="32.42578125" bestFit="1" customWidth="1"/>
    <col min="81" max="81" width="34.7109375" bestFit="1" customWidth="1"/>
    <col min="82" max="82" width="32.7109375" bestFit="1" customWidth="1"/>
    <col min="83" max="83" width="32.42578125" bestFit="1" customWidth="1"/>
    <col min="84" max="84" width="34.7109375" bestFit="1" customWidth="1"/>
    <col min="85" max="85" width="32.7109375" bestFit="1" customWidth="1"/>
    <col min="86" max="86" width="32.42578125" bestFit="1" customWidth="1"/>
    <col min="87" max="87" width="34.7109375" bestFit="1" customWidth="1"/>
    <col min="88" max="88" width="32.7109375" bestFit="1" customWidth="1"/>
    <col min="89" max="89" width="32.42578125" bestFit="1" customWidth="1"/>
    <col min="90" max="90" width="34.7109375" bestFit="1" customWidth="1"/>
    <col min="91" max="91" width="32.7109375" bestFit="1" customWidth="1"/>
    <col min="92" max="93" width="32.42578125" bestFit="1" customWidth="1"/>
    <col min="94" max="94" width="32.7109375" bestFit="1" customWidth="1"/>
    <col min="95" max="96" width="32.42578125" bestFit="1" customWidth="1"/>
    <col min="97" max="97" width="32.7109375" bestFit="1" customWidth="1"/>
    <col min="98" max="98" width="32.42578125" bestFit="1" customWidth="1"/>
    <col min="99" max="99" width="77.28515625" bestFit="1" customWidth="1"/>
    <col min="100" max="100" width="63" bestFit="1" customWidth="1"/>
    <col min="101" max="101" width="127.7109375" bestFit="1" customWidth="1"/>
    <col min="102" max="102" width="42.140625" bestFit="1" customWidth="1"/>
    <col min="103" max="103" width="67.85546875" bestFit="1" customWidth="1"/>
    <col min="104" max="104" width="32.7109375" bestFit="1" customWidth="1"/>
    <col min="105" max="105" width="63.42578125" bestFit="1" customWidth="1"/>
    <col min="106" max="106" width="61.85546875" bestFit="1" customWidth="1"/>
    <col min="107" max="107" width="43.42578125" bestFit="1" customWidth="1"/>
    <col min="108" max="108" width="81.85546875" bestFit="1" customWidth="1"/>
    <col min="109" max="109" width="67.85546875" bestFit="1" customWidth="1"/>
    <col min="110" max="110" width="107.140625" bestFit="1" customWidth="1"/>
    <col min="111" max="111" width="69.85546875" bestFit="1" customWidth="1"/>
    <col min="112" max="112" width="33.42578125" bestFit="1" customWidth="1"/>
    <col min="113" max="113" width="88.7109375" bestFit="1" customWidth="1"/>
    <col min="114" max="114" width="92.7109375" bestFit="1" customWidth="1"/>
    <col min="115" max="115" width="68.7109375" bestFit="1" customWidth="1"/>
    <col min="116" max="116" width="81.85546875" bestFit="1" customWidth="1"/>
    <col min="117" max="117" width="67.85546875" bestFit="1" customWidth="1"/>
    <col min="118" max="118" width="84.7109375" bestFit="1" customWidth="1"/>
    <col min="119" max="119" width="22" bestFit="1" customWidth="1"/>
    <col min="120" max="120" width="73.85546875" bestFit="1" customWidth="1"/>
    <col min="121" max="121" width="22" bestFit="1" customWidth="1"/>
    <col min="122" max="122" width="67.85546875" bestFit="1" customWidth="1"/>
    <col min="123" max="123" width="85.42578125" bestFit="1" customWidth="1"/>
    <col min="124" max="124" width="87" bestFit="1" customWidth="1"/>
    <col min="125" max="125" width="55.85546875" bestFit="1" customWidth="1"/>
    <col min="126" max="126" width="19.85546875" bestFit="1" customWidth="1"/>
    <col min="127" max="127" width="38.28515625" bestFit="1" customWidth="1"/>
    <col min="128" max="128" width="51.85546875" bestFit="1" customWidth="1"/>
    <col min="129" max="129" width="118.5703125" bestFit="1" customWidth="1"/>
    <col min="130" max="130" width="128.7109375" bestFit="1" customWidth="1"/>
    <col min="131" max="131" width="63" bestFit="1" customWidth="1"/>
    <col min="132" max="132" width="35.5703125" bestFit="1" customWidth="1"/>
    <col min="133" max="133" width="56.42578125" bestFit="1" customWidth="1"/>
    <col min="134" max="134" width="66" bestFit="1" customWidth="1"/>
    <col min="135" max="135" width="29" bestFit="1" customWidth="1"/>
    <col min="136" max="136" width="90.5703125" bestFit="1" customWidth="1"/>
    <col min="137" max="137" width="94" bestFit="1" customWidth="1"/>
    <col min="138" max="138" width="70" bestFit="1" customWidth="1"/>
    <col min="139" max="139" width="58.85546875" bestFit="1" customWidth="1"/>
    <col min="140" max="140" width="64.140625" bestFit="1" customWidth="1"/>
    <col min="141" max="141" width="125.42578125" bestFit="1" customWidth="1"/>
    <col min="142" max="142" width="27.42578125" bestFit="1" customWidth="1"/>
    <col min="143" max="143" width="88" bestFit="1" customWidth="1"/>
    <col min="144" max="144" width="69.140625" bestFit="1" customWidth="1"/>
    <col min="145" max="145" width="87.28515625" bestFit="1" customWidth="1"/>
    <col min="146" max="146" width="52.85546875" bestFit="1" customWidth="1"/>
    <col min="147" max="147" width="33.85546875" bestFit="1" customWidth="1"/>
    <col min="148" max="148" width="34.140625" bestFit="1" customWidth="1"/>
    <col min="149" max="149" width="63" bestFit="1" customWidth="1"/>
    <col min="150" max="150" width="46" bestFit="1" customWidth="1"/>
    <col min="151" max="151" width="136.85546875" bestFit="1" customWidth="1"/>
    <col min="152" max="152" width="69.85546875" bestFit="1" customWidth="1"/>
    <col min="153" max="153" width="19.7109375" bestFit="1" customWidth="1"/>
    <col min="154" max="154" width="63.42578125" bestFit="1" customWidth="1"/>
    <col min="155" max="155" width="33.85546875" bestFit="1" customWidth="1"/>
    <col min="156" max="156" width="34.140625" bestFit="1" customWidth="1"/>
    <col min="157" max="157" width="81.85546875" bestFit="1" customWidth="1"/>
    <col min="158" max="158" width="67.85546875" bestFit="1" customWidth="1"/>
    <col min="159" max="159" width="83.85546875" bestFit="1" customWidth="1"/>
    <col min="160" max="160" width="69.85546875" bestFit="1" customWidth="1"/>
    <col min="161" max="161" width="19.7109375" bestFit="1" customWidth="1"/>
    <col min="162" max="162" width="88.7109375" bestFit="1" customWidth="1"/>
    <col min="163" max="163" width="92.7109375" bestFit="1" customWidth="1"/>
    <col min="164" max="164" width="117.5703125" bestFit="1" customWidth="1"/>
    <col min="165" max="165" width="50.140625" bestFit="1" customWidth="1"/>
    <col min="166" max="166" width="35.140625" bestFit="1" customWidth="1"/>
    <col min="167" max="167" width="25" bestFit="1" customWidth="1"/>
    <col min="168" max="168" width="63" bestFit="1" customWidth="1"/>
    <col min="169" max="169" width="37" bestFit="1" customWidth="1"/>
    <col min="170" max="170" width="85.85546875" bestFit="1" customWidth="1"/>
    <col min="171" max="171" width="71.28515625" bestFit="1" customWidth="1"/>
    <col min="172" max="172" width="30.42578125" bestFit="1" customWidth="1"/>
    <col min="173" max="173" width="90.5703125" bestFit="1" customWidth="1"/>
    <col min="174" max="174" width="94" bestFit="1" customWidth="1"/>
    <col min="175" max="175" width="37.7109375" bestFit="1" customWidth="1"/>
    <col min="176" max="176" width="42.7109375" bestFit="1" customWidth="1"/>
    <col min="177" max="177" width="27" bestFit="1" customWidth="1"/>
    <col min="178" max="178" width="96.5703125" bestFit="1" customWidth="1"/>
    <col min="179" max="179" width="27" bestFit="1" customWidth="1"/>
    <col min="180" max="180" width="47.7109375" bestFit="1" customWidth="1"/>
    <col min="181" max="181" width="31.140625" bestFit="1" customWidth="1"/>
    <col min="182" max="182" width="29.28515625" bestFit="1" customWidth="1"/>
    <col min="183" max="183" width="28.28515625" bestFit="1" customWidth="1"/>
    <col min="184" max="184" width="29.28515625" bestFit="1" customWidth="1"/>
    <col min="185" max="185" width="28.28515625" bestFit="1" customWidth="1"/>
    <col min="186" max="186" width="49" bestFit="1" customWidth="1"/>
    <col min="187" max="187" width="32.42578125" bestFit="1" customWidth="1"/>
    <col min="188" max="188" width="255.7109375" bestFit="1" customWidth="1"/>
    <col min="189" max="189" width="177.42578125" bestFit="1" customWidth="1"/>
    <col min="190" max="190" width="172" bestFit="1" customWidth="1"/>
    <col min="191" max="191" width="74.7109375" bestFit="1" customWidth="1"/>
    <col min="192" max="192" width="33.5703125" bestFit="1" customWidth="1"/>
    <col min="193" max="193" width="16.7109375" bestFit="1" customWidth="1"/>
    <col min="194" max="194" width="84" bestFit="1" customWidth="1"/>
    <col min="195" max="195" width="171.5703125" bestFit="1" customWidth="1"/>
    <col min="196" max="196" width="255.7109375" bestFit="1" customWidth="1"/>
    <col min="197" max="197" width="20.42578125" bestFit="1" customWidth="1"/>
    <col min="198" max="198" width="16.140625" bestFit="1" customWidth="1"/>
    <col min="199" max="199" width="45.5703125" bestFit="1" customWidth="1"/>
    <col min="200" max="200" width="30.140625" bestFit="1" customWidth="1"/>
    <col min="201" max="201" width="20.5703125" bestFit="1" customWidth="1"/>
    <col min="202" max="202" width="9.85546875" bestFit="1" customWidth="1"/>
    <col min="203" max="203" width="19.5703125" bestFit="1" customWidth="1"/>
    <col min="204" max="204" width="29" bestFit="1" customWidth="1"/>
    <col min="205" max="205" width="255.7109375" bestFit="1" customWidth="1"/>
    <col min="206" max="206" width="57.28515625" bestFit="1" customWidth="1"/>
    <col min="207" max="207" width="255.7109375" bestFit="1" customWidth="1"/>
    <col min="208" max="208" width="24.140625" bestFit="1" customWidth="1"/>
    <col min="209" max="209" width="52.42578125" bestFit="1" customWidth="1"/>
    <col min="210" max="210" width="52.7109375" bestFit="1" customWidth="1"/>
    <col min="211" max="211" width="255.7109375" bestFit="1" customWidth="1"/>
    <col min="212" max="212" width="114" bestFit="1" customWidth="1"/>
    <col min="213" max="213" width="47.7109375" bestFit="1" customWidth="1"/>
    <col min="214" max="214" width="15.5703125" bestFit="1" customWidth="1"/>
    <col min="215" max="215" width="36" bestFit="1" customWidth="1"/>
    <col min="216" max="216" width="12.28515625" bestFit="1" customWidth="1"/>
  </cols>
  <sheetData>
    <row r="1" spans="1:210" x14ac:dyDescent="0.25">
      <c r="A1" s="1"/>
      <c r="B1" s="1"/>
      <c r="C1" s="1"/>
      <c r="D1" s="1"/>
      <c r="E1" s="1"/>
      <c r="F1" s="1"/>
      <c r="G1" s="1"/>
      <c r="H1" s="1"/>
      <c r="I1" s="1"/>
      <c r="J1" s="1"/>
      <c r="K1" s="1"/>
      <c r="L1" s="1" t="s">
        <v>1384</v>
      </c>
      <c r="M1" s="1" t="s">
        <v>1385</v>
      </c>
      <c r="N1" s="1"/>
      <c r="O1" s="1"/>
      <c r="P1" s="1"/>
      <c r="Q1" s="1"/>
      <c r="R1" s="1"/>
      <c r="S1" s="1" t="s">
        <v>1386</v>
      </c>
      <c r="T1" s="1" t="s">
        <v>1387</v>
      </c>
      <c r="U1" s="1" t="s">
        <v>1388</v>
      </c>
      <c r="V1" s="1" t="s">
        <v>1389</v>
      </c>
      <c r="W1" s="1"/>
      <c r="X1" s="1" t="s">
        <v>1390</v>
      </c>
      <c r="Y1" s="1"/>
      <c r="Z1" s="1" t="s">
        <v>1391</v>
      </c>
      <c r="AA1" s="1"/>
      <c r="AB1" s="1" t="s">
        <v>1392</v>
      </c>
      <c r="AC1" s="1"/>
      <c r="AD1" s="1"/>
      <c r="AE1" s="1" t="s">
        <v>1393</v>
      </c>
      <c r="AF1" s="1"/>
      <c r="AG1" s="1"/>
      <c r="AH1" s="1" t="s">
        <v>13</v>
      </c>
      <c r="AI1" s="1"/>
      <c r="AJ1" s="1"/>
      <c r="AK1" s="1"/>
      <c r="AL1" s="1"/>
      <c r="AM1" s="1" t="s">
        <v>1394</v>
      </c>
      <c r="AN1" s="1"/>
      <c r="AO1" s="1"/>
      <c r="AP1" s="1"/>
      <c r="AQ1" s="1"/>
      <c r="AR1" s="1"/>
      <c r="AS1" s="1"/>
      <c r="AT1" s="1"/>
      <c r="AU1" s="1"/>
      <c r="AV1" s="1"/>
      <c r="AW1" s="1" t="s">
        <v>1395</v>
      </c>
      <c r="AX1" s="1"/>
      <c r="AY1" s="1"/>
      <c r="AZ1" s="1"/>
      <c r="BA1" s="1"/>
      <c r="BB1" s="1"/>
      <c r="BC1" s="1"/>
      <c r="BD1" s="1"/>
      <c r="BE1" s="1"/>
      <c r="BF1" s="1"/>
      <c r="BG1" s="1"/>
      <c r="BH1" s="1"/>
      <c r="BI1" s="1"/>
      <c r="BJ1" s="1"/>
      <c r="BK1" s="1"/>
      <c r="BL1" s="1"/>
      <c r="BM1" s="1" t="s">
        <v>14</v>
      </c>
      <c r="BN1" s="1"/>
      <c r="BO1" s="1"/>
      <c r="BP1" s="1"/>
      <c r="BQ1" s="1"/>
      <c r="BR1" s="1"/>
      <c r="BS1" s="1"/>
      <c r="BT1" s="1"/>
      <c r="BU1" s="1"/>
      <c r="BV1" s="1"/>
      <c r="BW1" s="1" t="s">
        <v>1396</v>
      </c>
      <c r="BX1" s="1"/>
      <c r="BY1" s="1"/>
      <c r="BZ1" s="1"/>
      <c r="CA1" s="1"/>
      <c r="CB1" s="1"/>
      <c r="CC1" s="1"/>
      <c r="CD1" s="1"/>
      <c r="CE1" s="1"/>
      <c r="CF1" s="1"/>
      <c r="CG1" s="1"/>
      <c r="CH1" s="1"/>
      <c r="CI1" s="1"/>
      <c r="CJ1" s="1"/>
      <c r="CK1" s="1"/>
      <c r="CL1" s="1"/>
      <c r="CM1" s="1"/>
      <c r="CN1" s="1"/>
      <c r="CO1" s="1"/>
      <c r="CP1" s="1"/>
      <c r="CQ1" s="1"/>
      <c r="CR1" s="1"/>
      <c r="CS1" s="1"/>
      <c r="CT1" s="1"/>
      <c r="CU1" s="1"/>
      <c r="CV1" s="1" t="s">
        <v>1397</v>
      </c>
      <c r="CW1" s="1"/>
      <c r="CX1" s="1"/>
      <c r="CY1" s="1" t="s">
        <v>15</v>
      </c>
      <c r="CZ1" s="1"/>
      <c r="DA1" s="1" t="s">
        <v>16</v>
      </c>
      <c r="DB1" s="1"/>
      <c r="DC1" s="1"/>
      <c r="DD1" s="1"/>
      <c r="DE1" s="1"/>
      <c r="DF1" s="1"/>
      <c r="DG1" s="1"/>
      <c r="DH1" s="1"/>
      <c r="DI1" s="1" t="s">
        <v>17</v>
      </c>
      <c r="DJ1" s="1"/>
      <c r="DK1" s="1"/>
      <c r="DL1" s="1"/>
      <c r="DM1" s="1"/>
      <c r="DN1" s="1" t="s">
        <v>1398</v>
      </c>
      <c r="DO1" s="1"/>
      <c r="DP1" s="1" t="s">
        <v>1399</v>
      </c>
      <c r="DQ1" s="1"/>
      <c r="DR1" s="1" t="s">
        <v>1400</v>
      </c>
      <c r="DS1" s="1"/>
      <c r="DT1" s="1" t="s">
        <v>18</v>
      </c>
      <c r="DU1" s="1" t="s">
        <v>19</v>
      </c>
      <c r="DV1" s="1"/>
      <c r="DW1" s="1"/>
      <c r="DX1" s="1" t="s">
        <v>20</v>
      </c>
      <c r="DY1" s="1"/>
      <c r="DZ1" s="1"/>
      <c r="EA1" s="1"/>
      <c r="EB1" s="1"/>
      <c r="EC1" s="1"/>
      <c r="ED1" s="1"/>
      <c r="EE1" s="1"/>
      <c r="EF1" s="1" t="s">
        <v>21</v>
      </c>
      <c r="EG1" s="1"/>
      <c r="EH1" s="1"/>
      <c r="EI1" s="1"/>
      <c r="EJ1" s="1"/>
      <c r="EK1" s="1" t="s">
        <v>1401</v>
      </c>
      <c r="EL1" s="1"/>
      <c r="EM1" s="1" t="s">
        <v>1402</v>
      </c>
      <c r="EN1" s="1" t="s">
        <v>1403</v>
      </c>
      <c r="EO1" s="1" t="s">
        <v>1404</v>
      </c>
      <c r="EP1" s="1" t="s">
        <v>22</v>
      </c>
      <c r="EQ1" s="1"/>
      <c r="ER1" s="1"/>
      <c r="ES1" s="1"/>
      <c r="ET1" s="1"/>
      <c r="EU1" s="1"/>
      <c r="EV1" s="1"/>
      <c r="EW1" s="1"/>
      <c r="EX1" s="1" t="s">
        <v>16</v>
      </c>
      <c r="EY1" s="1"/>
      <c r="EZ1" s="1"/>
      <c r="FA1" s="1"/>
      <c r="FB1" s="1"/>
      <c r="FC1" s="1"/>
      <c r="FD1" s="1"/>
      <c r="FE1" s="1"/>
      <c r="FF1" s="1" t="s">
        <v>17</v>
      </c>
      <c r="FG1" s="1"/>
      <c r="FH1" s="1"/>
      <c r="FI1" s="1" t="s">
        <v>23</v>
      </c>
      <c r="FJ1" s="1"/>
      <c r="FK1" s="1"/>
      <c r="FL1" s="1"/>
      <c r="FM1" s="1"/>
      <c r="FN1" s="1"/>
      <c r="FO1" s="1"/>
      <c r="FP1" s="1"/>
      <c r="FQ1" s="1" t="s">
        <v>21</v>
      </c>
      <c r="FR1" s="1"/>
      <c r="FS1" s="1"/>
      <c r="FT1" s="1" t="s">
        <v>24</v>
      </c>
      <c r="FU1" s="1"/>
      <c r="FV1" s="1"/>
      <c r="FW1" s="1"/>
      <c r="FX1" s="1"/>
      <c r="FY1" s="1"/>
      <c r="FZ1" s="1"/>
      <c r="GA1" s="1"/>
      <c r="GB1" s="1"/>
      <c r="GC1" s="1"/>
      <c r="GD1" s="1"/>
      <c r="GE1" s="1"/>
      <c r="GF1" s="1"/>
      <c r="GG1" s="1" t="s">
        <v>25</v>
      </c>
      <c r="GH1" s="1" t="s">
        <v>26</v>
      </c>
      <c r="GI1" s="1" t="s">
        <v>27</v>
      </c>
      <c r="GJ1" s="1"/>
      <c r="GK1" s="1"/>
      <c r="GL1" s="1"/>
      <c r="GM1" s="1"/>
      <c r="GN1" s="1"/>
      <c r="GO1" s="1"/>
      <c r="GP1" s="1"/>
      <c r="GQ1" s="1"/>
      <c r="GR1" s="1"/>
      <c r="GS1" s="1"/>
      <c r="GT1" s="1"/>
      <c r="GU1" s="1"/>
      <c r="GV1" s="1"/>
      <c r="GW1" s="1" t="s">
        <v>28</v>
      </c>
      <c r="GX1" s="1" t="s">
        <v>25</v>
      </c>
      <c r="GY1" s="1" t="s">
        <v>29</v>
      </c>
      <c r="GZ1" s="1" t="s">
        <v>30</v>
      </c>
      <c r="HA1" s="1" t="s">
        <v>31</v>
      </c>
      <c r="HB1" s="1" t="s">
        <v>32</v>
      </c>
    </row>
    <row r="2" spans="1:210" x14ac:dyDescent="0.25">
      <c r="A2" s="1" t="s">
        <v>0</v>
      </c>
      <c r="B2" s="1" t="s">
        <v>1</v>
      </c>
      <c r="C2" s="1" t="s">
        <v>2</v>
      </c>
      <c r="D2" s="1" t="s">
        <v>3</v>
      </c>
      <c r="E2" s="1" t="s">
        <v>4</v>
      </c>
      <c r="F2" s="1" t="s">
        <v>5</v>
      </c>
      <c r="G2" s="1" t="s">
        <v>6</v>
      </c>
      <c r="H2" s="1" t="s">
        <v>7</v>
      </c>
      <c r="I2" s="1" t="s">
        <v>8</v>
      </c>
      <c r="J2" s="1" t="s">
        <v>1383</v>
      </c>
      <c r="K2" s="1" t="s">
        <v>33</v>
      </c>
      <c r="L2" s="1" t="s">
        <v>34</v>
      </c>
      <c r="M2" s="1" t="s">
        <v>1406</v>
      </c>
      <c r="N2" s="1" t="s">
        <v>36</v>
      </c>
      <c r="O2" s="1" t="s">
        <v>37</v>
      </c>
      <c r="P2" s="1" t="s">
        <v>38</v>
      </c>
      <c r="Q2" s="1" t="s">
        <v>39</v>
      </c>
      <c r="R2" s="1" t="s">
        <v>40</v>
      </c>
      <c r="S2" s="1" t="s">
        <v>1405</v>
      </c>
      <c r="T2" s="1" t="s">
        <v>34</v>
      </c>
      <c r="U2" s="1" t="s">
        <v>1405</v>
      </c>
      <c r="V2" s="1" t="s">
        <v>1405</v>
      </c>
      <c r="W2" s="1" t="s">
        <v>33</v>
      </c>
      <c r="X2" s="1" t="s">
        <v>1405</v>
      </c>
      <c r="Y2" s="1" t="s">
        <v>33</v>
      </c>
      <c r="Z2" s="1" t="s">
        <v>1405</v>
      </c>
      <c r="AA2" s="1" t="s">
        <v>33</v>
      </c>
      <c r="AB2" s="1" t="s">
        <v>41</v>
      </c>
      <c r="AC2" s="1" t="s">
        <v>42</v>
      </c>
      <c r="AD2" s="1" t="s">
        <v>43</v>
      </c>
      <c r="AE2" s="1" t="s">
        <v>44</v>
      </c>
      <c r="AF2" s="1" t="s">
        <v>45</v>
      </c>
      <c r="AG2" s="1" t="s">
        <v>46</v>
      </c>
      <c r="AH2" s="1" t="s">
        <v>1407</v>
      </c>
      <c r="AI2" s="1" t="s">
        <v>1408</v>
      </c>
      <c r="AJ2" s="1" t="s">
        <v>1409</v>
      </c>
      <c r="AK2" s="1" t="s">
        <v>1410</v>
      </c>
      <c r="AL2" s="1" t="s">
        <v>33</v>
      </c>
      <c r="AM2" s="1" t="s">
        <v>51</v>
      </c>
      <c r="AN2" s="1" t="s">
        <v>52</v>
      </c>
      <c r="AO2" s="1" t="s">
        <v>53</v>
      </c>
      <c r="AP2" s="1" t="s">
        <v>54</v>
      </c>
      <c r="AQ2" s="1" t="s">
        <v>55</v>
      </c>
      <c r="AR2" s="1" t="s">
        <v>56</v>
      </c>
      <c r="AS2" s="1" t="s">
        <v>57</v>
      </c>
      <c r="AT2" s="1" t="s">
        <v>58</v>
      </c>
      <c r="AU2" s="1" t="s">
        <v>59</v>
      </c>
      <c r="AV2" s="1" t="s">
        <v>1411</v>
      </c>
      <c r="AW2" s="1" t="s">
        <v>61</v>
      </c>
      <c r="AX2" s="1" t="s">
        <v>62</v>
      </c>
      <c r="AY2" s="1" t="s">
        <v>63</v>
      </c>
      <c r="AZ2" s="1" t="s">
        <v>64</v>
      </c>
      <c r="BA2" s="1" t="s">
        <v>65</v>
      </c>
      <c r="BB2" s="1" t="s">
        <v>66</v>
      </c>
      <c r="BC2" s="1" t="s">
        <v>67</v>
      </c>
      <c r="BD2" s="1" t="s">
        <v>68</v>
      </c>
      <c r="BE2" s="1" t="s">
        <v>69</v>
      </c>
      <c r="BF2" s="1" t="s">
        <v>70</v>
      </c>
      <c r="BG2" s="1" t="s">
        <v>71</v>
      </c>
      <c r="BH2" s="1" t="s">
        <v>72</v>
      </c>
      <c r="BI2" s="1" t="s">
        <v>73</v>
      </c>
      <c r="BJ2" s="1" t="s">
        <v>74</v>
      </c>
      <c r="BK2" s="1" t="s">
        <v>75</v>
      </c>
      <c r="BL2" s="1" t="s">
        <v>1412</v>
      </c>
      <c r="BM2" s="1" t="s">
        <v>77</v>
      </c>
      <c r="BN2" s="1" t="s">
        <v>78</v>
      </c>
      <c r="BO2" s="1" t="s">
        <v>79</v>
      </c>
      <c r="BP2" s="1" t="s">
        <v>80</v>
      </c>
      <c r="BQ2" s="1" t="s">
        <v>81</v>
      </c>
      <c r="BR2" s="1" t="s">
        <v>82</v>
      </c>
      <c r="BS2" s="1" t="s">
        <v>83</v>
      </c>
      <c r="BT2" s="1" t="s">
        <v>84</v>
      </c>
      <c r="BU2" s="1" t="s">
        <v>85</v>
      </c>
      <c r="BV2" s="1" t="s">
        <v>1412</v>
      </c>
      <c r="BW2" s="1" t="s">
        <v>86</v>
      </c>
      <c r="BX2" s="1" t="s">
        <v>87</v>
      </c>
      <c r="BY2" s="1" t="s">
        <v>88</v>
      </c>
      <c r="BZ2" s="1" t="s">
        <v>89</v>
      </c>
      <c r="CA2" s="1" t="s">
        <v>90</v>
      </c>
      <c r="CB2" s="1" t="s">
        <v>91</v>
      </c>
      <c r="CC2" s="1" t="s">
        <v>92</v>
      </c>
      <c r="CD2" s="1" t="s">
        <v>93</v>
      </c>
      <c r="CE2" s="1" t="s">
        <v>94</v>
      </c>
      <c r="CF2" s="1" t="s">
        <v>95</v>
      </c>
      <c r="CG2" s="1" t="s">
        <v>96</v>
      </c>
      <c r="CH2" s="1" t="s">
        <v>97</v>
      </c>
      <c r="CI2" s="1" t="s">
        <v>98</v>
      </c>
      <c r="CJ2" s="1" t="s">
        <v>99</v>
      </c>
      <c r="CK2" s="1" t="s">
        <v>100</v>
      </c>
      <c r="CL2" s="1" t="s">
        <v>101</v>
      </c>
      <c r="CM2" s="1" t="s">
        <v>102</v>
      </c>
      <c r="CN2" s="1" t="s">
        <v>103</v>
      </c>
      <c r="CO2" s="1" t="s">
        <v>104</v>
      </c>
      <c r="CP2" s="1" t="s">
        <v>105</v>
      </c>
      <c r="CQ2" s="1" t="s">
        <v>106</v>
      </c>
      <c r="CR2" s="1" t="s">
        <v>107</v>
      </c>
      <c r="CS2" s="1" t="s">
        <v>108</v>
      </c>
      <c r="CT2" s="1" t="s">
        <v>109</v>
      </c>
      <c r="CU2" s="1" t="s">
        <v>1412</v>
      </c>
      <c r="CV2" s="1">
        <v>1</v>
      </c>
      <c r="CW2" s="1">
        <v>2</v>
      </c>
      <c r="CX2" s="1">
        <v>3</v>
      </c>
      <c r="CY2" s="1" t="s">
        <v>1405</v>
      </c>
      <c r="CZ2" s="1" t="s">
        <v>117</v>
      </c>
      <c r="DA2" s="1" t="s">
        <v>110</v>
      </c>
      <c r="DB2" s="1" t="s">
        <v>111</v>
      </c>
      <c r="DC2" s="1" t="s">
        <v>112</v>
      </c>
      <c r="DD2" s="1" t="s">
        <v>113</v>
      </c>
      <c r="DE2" s="1" t="s">
        <v>114</v>
      </c>
      <c r="DF2" s="1" t="s">
        <v>115</v>
      </c>
      <c r="DG2" s="1" t="s">
        <v>116</v>
      </c>
      <c r="DH2" s="1" t="s">
        <v>117</v>
      </c>
      <c r="DI2" s="86" t="s">
        <v>1413</v>
      </c>
      <c r="DJ2" s="86" t="s">
        <v>119</v>
      </c>
      <c r="DK2" s="86" t="s">
        <v>1414</v>
      </c>
      <c r="DL2" s="1" t="s">
        <v>1415</v>
      </c>
      <c r="DM2" s="1" t="s">
        <v>121</v>
      </c>
      <c r="DN2" s="1" t="s">
        <v>1405</v>
      </c>
      <c r="DO2" s="1" t="s">
        <v>33</v>
      </c>
      <c r="DP2" s="1" t="s">
        <v>1405</v>
      </c>
      <c r="DQ2" s="1" t="s">
        <v>33</v>
      </c>
      <c r="DR2" s="1" t="s">
        <v>1405</v>
      </c>
      <c r="DS2" s="1" t="s">
        <v>33</v>
      </c>
      <c r="DT2" s="1" t="s">
        <v>34</v>
      </c>
      <c r="DU2" s="1">
        <v>1</v>
      </c>
      <c r="DV2" s="1">
        <v>2</v>
      </c>
      <c r="DW2" s="1">
        <v>3</v>
      </c>
      <c r="DX2" s="1" t="s">
        <v>122</v>
      </c>
      <c r="DY2" s="1" t="s">
        <v>123</v>
      </c>
      <c r="DZ2" s="1" t="s">
        <v>124</v>
      </c>
      <c r="EA2" s="1" t="s">
        <v>113</v>
      </c>
      <c r="EB2" s="1" t="s">
        <v>125</v>
      </c>
      <c r="EC2" s="1" t="s">
        <v>126</v>
      </c>
      <c r="ED2" s="1" t="s">
        <v>127</v>
      </c>
      <c r="EE2" s="1" t="s">
        <v>117</v>
      </c>
      <c r="EF2" s="1" t="s">
        <v>1416</v>
      </c>
      <c r="EG2" s="1" t="s">
        <v>129</v>
      </c>
      <c r="EH2" s="1" t="s">
        <v>1417</v>
      </c>
      <c r="EI2" s="1" t="s">
        <v>1418</v>
      </c>
      <c r="EJ2" s="1" t="s">
        <v>121</v>
      </c>
      <c r="EK2" s="1" t="s">
        <v>1405</v>
      </c>
      <c r="EL2" s="1" t="s">
        <v>33</v>
      </c>
      <c r="EM2" s="1" t="s">
        <v>1405</v>
      </c>
      <c r="EN2" s="1" t="s">
        <v>1405</v>
      </c>
      <c r="EO2" s="1" t="s">
        <v>34</v>
      </c>
      <c r="EP2" s="1" t="s">
        <v>110</v>
      </c>
      <c r="EQ2" s="1" t="s">
        <v>111</v>
      </c>
      <c r="ER2" s="1" t="s">
        <v>112</v>
      </c>
      <c r="ES2" s="1" t="s">
        <v>113</v>
      </c>
      <c r="ET2" s="1" t="s">
        <v>114</v>
      </c>
      <c r="EU2" s="1" t="s">
        <v>115</v>
      </c>
      <c r="EV2" s="1" t="s">
        <v>116</v>
      </c>
      <c r="EW2" s="1" t="s">
        <v>117</v>
      </c>
      <c r="EX2" s="1" t="s">
        <v>110</v>
      </c>
      <c r="EY2" s="1" t="s">
        <v>111</v>
      </c>
      <c r="EZ2" s="1" t="s">
        <v>112</v>
      </c>
      <c r="FA2" s="1" t="s">
        <v>113</v>
      </c>
      <c r="FB2" s="1" t="s">
        <v>114</v>
      </c>
      <c r="FC2" s="1" t="s">
        <v>115</v>
      </c>
      <c r="FD2" s="1" t="s">
        <v>116</v>
      </c>
      <c r="FE2" s="1" t="s">
        <v>117</v>
      </c>
      <c r="FF2" s="1" t="s">
        <v>1413</v>
      </c>
      <c r="FG2" s="1" t="s">
        <v>119</v>
      </c>
      <c r="FH2" s="1" t="s">
        <v>121</v>
      </c>
      <c r="FI2" s="1" t="s">
        <v>131</v>
      </c>
      <c r="FJ2" s="1" t="s">
        <v>132</v>
      </c>
      <c r="FK2" s="1" t="s">
        <v>133</v>
      </c>
      <c r="FL2" s="1" t="s">
        <v>113</v>
      </c>
      <c r="FM2" s="1" t="s">
        <v>134</v>
      </c>
      <c r="FN2" s="1" t="s">
        <v>135</v>
      </c>
      <c r="FO2" s="1" t="s">
        <v>136</v>
      </c>
      <c r="FP2" s="1" t="s">
        <v>137</v>
      </c>
      <c r="FQ2" s="1" t="s">
        <v>1416</v>
      </c>
      <c r="FR2" s="1" t="s">
        <v>129</v>
      </c>
      <c r="FS2" s="1" t="s">
        <v>121</v>
      </c>
      <c r="FT2" s="1" t="s">
        <v>138</v>
      </c>
      <c r="FU2" s="1" t="s">
        <v>139</v>
      </c>
      <c r="FV2" s="1" t="s">
        <v>140</v>
      </c>
      <c r="FW2" s="1" t="s">
        <v>141</v>
      </c>
      <c r="FX2" s="1" t="s">
        <v>142</v>
      </c>
      <c r="FY2" s="1" t="s">
        <v>143</v>
      </c>
      <c r="FZ2" s="1" t="s">
        <v>144</v>
      </c>
      <c r="GA2" s="1" t="s">
        <v>145</v>
      </c>
      <c r="GB2" s="1" t="s">
        <v>146</v>
      </c>
      <c r="GC2" s="1" t="s">
        <v>147</v>
      </c>
      <c r="GD2" s="1" t="s">
        <v>148</v>
      </c>
      <c r="GE2" s="1" t="s">
        <v>149</v>
      </c>
      <c r="GF2" s="1" t="s">
        <v>33</v>
      </c>
      <c r="GG2" s="1" t="s">
        <v>34</v>
      </c>
      <c r="GH2" s="1" t="s">
        <v>34</v>
      </c>
      <c r="GI2" s="1" t="s">
        <v>150</v>
      </c>
      <c r="GJ2" s="1" t="s">
        <v>151</v>
      </c>
      <c r="GK2" s="1" t="s">
        <v>152</v>
      </c>
      <c r="GL2" s="1" t="s">
        <v>153</v>
      </c>
      <c r="GM2" s="1" t="s">
        <v>154</v>
      </c>
      <c r="GN2" s="1" t="s">
        <v>155</v>
      </c>
      <c r="GO2" s="1" t="s">
        <v>156</v>
      </c>
      <c r="GP2" s="1" t="s">
        <v>157</v>
      </c>
      <c r="GQ2" s="1" t="s">
        <v>158</v>
      </c>
      <c r="GR2" s="1" t="s">
        <v>159</v>
      </c>
      <c r="GS2" s="1" t="s">
        <v>160</v>
      </c>
      <c r="GT2" s="1" t="s">
        <v>161</v>
      </c>
      <c r="GU2" s="1" t="s">
        <v>162</v>
      </c>
      <c r="GV2" s="1" t="s">
        <v>33</v>
      </c>
      <c r="GW2" s="1" t="s">
        <v>34</v>
      </c>
      <c r="GX2" s="1" t="s">
        <v>34</v>
      </c>
      <c r="GY2" s="1" t="s">
        <v>34</v>
      </c>
      <c r="GZ2" s="1" t="s">
        <v>34</v>
      </c>
      <c r="HA2" s="1" t="s">
        <v>34</v>
      </c>
      <c r="HB2" s="1" t="s">
        <v>34</v>
      </c>
    </row>
    <row r="3" spans="1:210" x14ac:dyDescent="0.25">
      <c r="A3" s="10">
        <v>10624266416</v>
      </c>
      <c r="B3" s="10">
        <v>223959985</v>
      </c>
      <c r="C3" s="11">
        <v>43552.593923611108</v>
      </c>
      <c r="D3" s="11">
        <v>43552.628831018519</v>
      </c>
      <c r="E3" s="10" t="s">
        <v>163</v>
      </c>
      <c r="F3" s="10"/>
      <c r="G3" s="10"/>
      <c r="H3" s="10"/>
      <c r="I3" s="10"/>
      <c r="J3" s="10" t="s">
        <v>33</v>
      </c>
      <c r="K3" s="10" t="s">
        <v>1419</v>
      </c>
      <c r="L3" s="10">
        <v>300</v>
      </c>
      <c r="M3" s="10">
        <v>100</v>
      </c>
      <c r="N3" s="10">
        <v>0</v>
      </c>
      <c r="O3" s="10">
        <v>0</v>
      </c>
      <c r="P3" s="10">
        <v>0</v>
      </c>
      <c r="Q3" s="10">
        <v>0</v>
      </c>
      <c r="R3" s="10">
        <v>0</v>
      </c>
      <c r="S3" s="10" t="s">
        <v>261</v>
      </c>
      <c r="T3" s="10" t="s">
        <v>217</v>
      </c>
      <c r="U3" s="10" t="s">
        <v>166</v>
      </c>
      <c r="V3" s="10" t="s">
        <v>1420</v>
      </c>
      <c r="W3" s="10"/>
      <c r="X3" s="10" t="s">
        <v>167</v>
      </c>
      <c r="Y3" s="10"/>
      <c r="Z3" s="10" t="s">
        <v>167</v>
      </c>
      <c r="AA3" s="10"/>
      <c r="AB3" s="10"/>
      <c r="AC3" s="10"/>
      <c r="AD3" s="10"/>
      <c r="AE3" s="10" t="s">
        <v>1421</v>
      </c>
      <c r="AF3" s="10" t="s">
        <v>1422</v>
      </c>
      <c r="AG3" s="10"/>
      <c r="AH3" s="10" t="s">
        <v>223</v>
      </c>
      <c r="AI3" s="10" t="s">
        <v>223</v>
      </c>
      <c r="AJ3" s="10" t="s">
        <v>223</v>
      </c>
      <c r="AK3" s="10" t="s">
        <v>223</v>
      </c>
      <c r="AL3" s="10"/>
      <c r="AM3" s="10" t="s">
        <v>402</v>
      </c>
      <c r="AN3" s="10"/>
      <c r="AO3" s="10" t="s">
        <v>177</v>
      </c>
      <c r="AP3" s="10" t="s">
        <v>178</v>
      </c>
      <c r="AQ3" s="10"/>
      <c r="AR3" s="10" t="s">
        <v>177</v>
      </c>
      <c r="AS3" s="10" t="s">
        <v>176</v>
      </c>
      <c r="AT3" s="10"/>
      <c r="AU3" s="10" t="s">
        <v>177</v>
      </c>
      <c r="AV3" s="10"/>
      <c r="AW3" s="10" t="s">
        <v>182</v>
      </c>
      <c r="AX3" s="10"/>
      <c r="AY3" s="10" t="s">
        <v>177</v>
      </c>
      <c r="AZ3" s="10" t="s">
        <v>183</v>
      </c>
      <c r="BA3" s="10"/>
      <c r="BB3" s="10" t="s">
        <v>177</v>
      </c>
      <c r="BC3" s="10"/>
      <c r="BD3" s="10"/>
      <c r="BE3" s="10"/>
      <c r="BF3" s="10"/>
      <c r="BG3" s="10"/>
      <c r="BH3" s="10"/>
      <c r="BI3" s="10"/>
      <c r="BJ3" s="10"/>
      <c r="BK3" s="10"/>
      <c r="BL3" s="10" t="s">
        <v>1423</v>
      </c>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t="s">
        <v>1424</v>
      </c>
      <c r="CW3" s="10" t="s">
        <v>1425</v>
      </c>
      <c r="CX3" s="10" t="s">
        <v>389</v>
      </c>
      <c r="CY3" s="10" t="s">
        <v>117</v>
      </c>
      <c r="CZ3" s="10" t="s">
        <v>208</v>
      </c>
      <c r="DA3" s="10"/>
      <c r="DB3" s="10"/>
      <c r="DC3" s="10"/>
      <c r="DD3" s="10"/>
      <c r="DE3" s="10"/>
      <c r="DF3" s="10"/>
      <c r="DG3" s="10"/>
      <c r="DH3" s="10" t="s">
        <v>1426</v>
      </c>
      <c r="DI3" s="10" t="s">
        <v>200</v>
      </c>
      <c r="DJ3" s="10" t="s">
        <v>199</v>
      </c>
      <c r="DK3" s="10" t="s">
        <v>198</v>
      </c>
      <c r="DL3" s="10" t="s">
        <v>198</v>
      </c>
      <c r="DM3" s="10"/>
      <c r="DN3" s="10" t="s">
        <v>201</v>
      </c>
      <c r="DO3" s="10"/>
      <c r="DP3" s="10" t="s">
        <v>202</v>
      </c>
      <c r="DQ3" s="10"/>
      <c r="DR3" s="10" t="s">
        <v>1042</v>
      </c>
      <c r="DS3" s="10"/>
      <c r="DT3" s="10" t="s">
        <v>1427</v>
      </c>
      <c r="DU3" s="10" t="s">
        <v>1428</v>
      </c>
      <c r="DV3" s="10" t="s">
        <v>1429</v>
      </c>
      <c r="DW3" s="10" t="s">
        <v>1430</v>
      </c>
      <c r="DX3" s="10"/>
      <c r="DY3" s="10"/>
      <c r="DZ3" s="10"/>
      <c r="EA3" s="10"/>
      <c r="EB3" s="10"/>
      <c r="EC3" s="10" t="s">
        <v>126</v>
      </c>
      <c r="ED3" s="10"/>
      <c r="EE3" s="10" t="s">
        <v>1431</v>
      </c>
      <c r="EF3" s="10" t="s">
        <v>200</v>
      </c>
      <c r="EG3" s="10" t="s">
        <v>200</v>
      </c>
      <c r="EH3" s="10" t="s">
        <v>198</v>
      </c>
      <c r="EI3" s="10" t="s">
        <v>198</v>
      </c>
      <c r="EJ3" s="10"/>
      <c r="EK3" s="10" t="s">
        <v>209</v>
      </c>
      <c r="EL3" s="10"/>
      <c r="EM3" s="10" t="s">
        <v>202</v>
      </c>
      <c r="EN3" s="10" t="s">
        <v>203</v>
      </c>
      <c r="EO3" s="10" t="s">
        <v>1432</v>
      </c>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t="s">
        <v>1433</v>
      </c>
      <c r="GI3" s="10" t="s">
        <v>150</v>
      </c>
      <c r="GJ3" s="10" t="s">
        <v>151</v>
      </c>
      <c r="GK3" s="10"/>
      <c r="GL3" s="10"/>
      <c r="GM3" s="10"/>
      <c r="GN3" s="10"/>
      <c r="GO3" s="10"/>
      <c r="GP3" s="10" t="s">
        <v>157</v>
      </c>
      <c r="GQ3" s="10"/>
      <c r="GR3" s="10"/>
      <c r="GS3" s="10"/>
      <c r="GT3" s="10"/>
      <c r="GU3" s="10"/>
      <c r="GV3" s="10"/>
      <c r="GW3" s="10" t="s">
        <v>1434</v>
      </c>
      <c r="GX3" s="10"/>
      <c r="GY3" s="10"/>
      <c r="GZ3" s="10" t="s">
        <v>1435</v>
      </c>
      <c r="HA3" s="10" t="s">
        <v>1436</v>
      </c>
      <c r="HB3" s="10"/>
    </row>
    <row r="4" spans="1:210" x14ac:dyDescent="0.25">
      <c r="A4" s="10">
        <v>10624178414</v>
      </c>
      <c r="B4" s="10">
        <v>223959985</v>
      </c>
      <c r="C4" s="11">
        <v>43552.564745370371</v>
      </c>
      <c r="D4" s="11">
        <v>43552.593240740738</v>
      </c>
      <c r="E4" s="10" t="s">
        <v>163</v>
      </c>
      <c r="F4" s="10"/>
      <c r="G4" s="10"/>
      <c r="H4" s="10"/>
      <c r="I4" s="10"/>
      <c r="J4" s="10" t="s">
        <v>215</v>
      </c>
      <c r="K4" s="10"/>
      <c r="L4" s="10">
        <v>400</v>
      </c>
      <c r="M4" s="10">
        <v>100</v>
      </c>
      <c r="N4" s="10">
        <v>0</v>
      </c>
      <c r="O4" s="10">
        <v>0</v>
      </c>
      <c r="P4" s="10">
        <v>0</v>
      </c>
      <c r="Q4" s="10">
        <v>0</v>
      </c>
      <c r="R4" s="10">
        <v>0</v>
      </c>
      <c r="S4" s="10" t="s">
        <v>216</v>
      </c>
      <c r="T4" s="10" t="s">
        <v>1437</v>
      </c>
      <c r="U4" s="10" t="s">
        <v>312</v>
      </c>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t="s">
        <v>200</v>
      </c>
      <c r="FG4" s="10" t="s">
        <v>198</v>
      </c>
      <c r="FH4" s="10"/>
      <c r="FI4" s="10" t="s">
        <v>200</v>
      </c>
      <c r="FJ4" s="10" t="s">
        <v>198</v>
      </c>
      <c r="FK4" s="10" t="s">
        <v>200</v>
      </c>
      <c r="FL4" s="10" t="s">
        <v>200</v>
      </c>
      <c r="FM4" s="10" t="s">
        <v>200</v>
      </c>
      <c r="FN4" s="10" t="s">
        <v>200</v>
      </c>
      <c r="FO4" s="10" t="s">
        <v>198</v>
      </c>
      <c r="FP4" s="10"/>
      <c r="FQ4" s="10" t="s">
        <v>200</v>
      </c>
      <c r="FR4" s="10" t="s">
        <v>198</v>
      </c>
      <c r="FS4" s="10"/>
      <c r="FT4" s="10"/>
      <c r="FU4" s="10"/>
      <c r="FV4" s="10" t="s">
        <v>772</v>
      </c>
      <c r="FW4" s="10" t="s">
        <v>1438</v>
      </c>
      <c r="FX4" s="10"/>
      <c r="FY4" s="10"/>
      <c r="FZ4" s="10"/>
      <c r="GA4" s="10"/>
      <c r="GB4" s="10" t="s">
        <v>772</v>
      </c>
      <c r="GC4" s="10" t="s">
        <v>1438</v>
      </c>
      <c r="GD4" s="10"/>
      <c r="GE4" s="10"/>
      <c r="GF4" s="10"/>
      <c r="GG4" s="10" t="s">
        <v>1439</v>
      </c>
      <c r="GH4" s="10" t="s">
        <v>1440</v>
      </c>
      <c r="GI4" s="10"/>
      <c r="GJ4" s="10" t="s">
        <v>151</v>
      </c>
      <c r="GK4" s="10"/>
      <c r="GL4" s="10"/>
      <c r="GM4" s="10"/>
      <c r="GN4" s="10" t="s">
        <v>155</v>
      </c>
      <c r="GO4" s="10"/>
      <c r="GP4" s="10"/>
      <c r="GQ4" s="10"/>
      <c r="GR4" s="10"/>
      <c r="GS4" s="10"/>
      <c r="GT4" s="10" t="s">
        <v>161</v>
      </c>
      <c r="GU4" s="10"/>
      <c r="GV4" s="10"/>
      <c r="GW4" s="10" t="s">
        <v>1441</v>
      </c>
      <c r="GX4" s="10"/>
      <c r="GY4" s="10" t="s">
        <v>1442</v>
      </c>
      <c r="GZ4" s="10" t="s">
        <v>1443</v>
      </c>
      <c r="HA4" s="10" t="s">
        <v>1444</v>
      </c>
      <c r="HB4" s="10">
        <v>428946394</v>
      </c>
    </row>
    <row r="5" spans="1:210" x14ac:dyDescent="0.25">
      <c r="A5" s="10">
        <v>10483750864</v>
      </c>
      <c r="B5" s="10">
        <v>223776675</v>
      </c>
      <c r="C5" s="11">
        <v>43488.661817129629</v>
      </c>
      <c r="D5" s="11">
        <v>43488.662754629629</v>
      </c>
      <c r="E5" s="10" t="s">
        <v>1445</v>
      </c>
      <c r="F5" s="10"/>
      <c r="G5" s="10"/>
      <c r="H5" s="10"/>
      <c r="I5" s="10"/>
      <c r="J5" s="10" t="s">
        <v>260</v>
      </c>
      <c r="K5" s="10"/>
      <c r="L5" s="10" t="s">
        <v>1446</v>
      </c>
      <c r="M5" s="10">
        <v>10</v>
      </c>
      <c r="N5" s="10">
        <v>10</v>
      </c>
      <c r="O5" s="10">
        <v>10</v>
      </c>
      <c r="P5" s="10">
        <v>10</v>
      </c>
      <c r="Q5" s="10">
        <v>10</v>
      </c>
      <c r="R5" s="10">
        <v>50</v>
      </c>
      <c r="S5" s="10" t="s">
        <v>322</v>
      </c>
      <c r="T5" s="10" t="s">
        <v>1447</v>
      </c>
      <c r="U5" s="10" t="s">
        <v>166</v>
      </c>
      <c r="V5" s="10" t="s">
        <v>1448</v>
      </c>
      <c r="W5" s="10"/>
      <c r="X5" s="10" t="s">
        <v>168</v>
      </c>
      <c r="Y5" s="10"/>
      <c r="Z5" s="10" t="s">
        <v>263</v>
      </c>
      <c r="AA5" s="10"/>
      <c r="AB5" s="10" t="s">
        <v>1447</v>
      </c>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row>
    <row r="6" spans="1:210" x14ac:dyDescent="0.25">
      <c r="A6" s="10">
        <v>10483668254</v>
      </c>
      <c r="B6" s="10">
        <v>223776675</v>
      </c>
      <c r="C6" s="11">
        <v>43488.603263888886</v>
      </c>
      <c r="D6" s="11">
        <v>43488.646562499998</v>
      </c>
      <c r="E6" s="10" t="s">
        <v>1445</v>
      </c>
      <c r="F6" s="10"/>
      <c r="G6" s="10"/>
      <c r="H6" s="10"/>
      <c r="I6" s="10"/>
      <c r="J6" s="10" t="s">
        <v>366</v>
      </c>
      <c r="K6" s="10"/>
      <c r="L6" s="10">
        <v>222</v>
      </c>
      <c r="M6" s="10">
        <v>10</v>
      </c>
      <c r="N6" s="10">
        <v>10</v>
      </c>
      <c r="O6" s="10">
        <v>10</v>
      </c>
      <c r="P6" s="10">
        <v>10</v>
      </c>
      <c r="Q6" s="10">
        <v>10</v>
      </c>
      <c r="R6" s="10">
        <v>50</v>
      </c>
      <c r="S6" s="10" t="s">
        <v>494</v>
      </c>
      <c r="T6" s="10" t="s">
        <v>45</v>
      </c>
      <c r="U6" s="10" t="s">
        <v>166</v>
      </c>
      <c r="V6" s="10" t="s">
        <v>1420</v>
      </c>
      <c r="W6" s="10"/>
      <c r="X6" s="10" t="s">
        <v>263</v>
      </c>
      <c r="Y6" s="10"/>
      <c r="Z6" s="10" t="s">
        <v>238</v>
      </c>
      <c r="AA6" s="10"/>
      <c r="AB6" s="10" t="s">
        <v>1446</v>
      </c>
      <c r="AC6" s="10" t="s">
        <v>1449</v>
      </c>
      <c r="AD6" s="10" t="s">
        <v>1450</v>
      </c>
      <c r="AE6" s="10" t="s">
        <v>1446</v>
      </c>
      <c r="AF6" s="10" t="s">
        <v>1449</v>
      </c>
      <c r="AG6" s="10" t="s">
        <v>1450</v>
      </c>
      <c r="AH6" s="10" t="s">
        <v>223</v>
      </c>
      <c r="AI6" s="10" t="s">
        <v>223</v>
      </c>
      <c r="AJ6" s="10" t="s">
        <v>223</v>
      </c>
      <c r="AK6" s="10" t="s">
        <v>223</v>
      </c>
      <c r="AL6" s="10"/>
      <c r="AM6" s="10" t="s">
        <v>402</v>
      </c>
      <c r="AN6" s="10">
        <v>1</v>
      </c>
      <c r="AO6" s="10" t="s">
        <v>177</v>
      </c>
      <c r="AP6" s="10" t="s">
        <v>178</v>
      </c>
      <c r="AQ6" s="10">
        <v>1</v>
      </c>
      <c r="AR6" s="10" t="s">
        <v>177</v>
      </c>
      <c r="AS6" s="10" t="s">
        <v>176</v>
      </c>
      <c r="AT6" s="10">
        <v>1</v>
      </c>
      <c r="AU6" s="10" t="s">
        <v>177</v>
      </c>
      <c r="AV6" s="10"/>
      <c r="AW6" s="10" t="s">
        <v>183</v>
      </c>
      <c r="AX6" s="10">
        <v>1</v>
      </c>
      <c r="AY6" s="10" t="s">
        <v>223</v>
      </c>
      <c r="AZ6" s="10"/>
      <c r="BA6" s="10"/>
      <c r="BB6" s="10"/>
      <c r="BC6" s="10"/>
      <c r="BD6" s="10"/>
      <c r="BE6" s="10"/>
      <c r="BF6" s="10"/>
      <c r="BG6" s="10"/>
      <c r="BH6" s="10"/>
      <c r="BI6" s="10"/>
      <c r="BJ6" s="10"/>
      <c r="BK6" s="10"/>
      <c r="BL6" s="10"/>
      <c r="BM6" s="10" t="s">
        <v>184</v>
      </c>
      <c r="BN6" s="10">
        <v>1</v>
      </c>
      <c r="BO6" s="10" t="s">
        <v>177</v>
      </c>
      <c r="BP6" s="10"/>
      <c r="BQ6" s="10"/>
      <c r="BR6" s="10"/>
      <c r="BS6" s="10"/>
      <c r="BT6" s="10"/>
      <c r="BU6" s="10"/>
      <c r="BV6" s="10"/>
      <c r="BW6" s="10" t="s">
        <v>193</v>
      </c>
      <c r="BX6" s="10">
        <v>1</v>
      </c>
      <c r="BY6" s="10" t="s">
        <v>177</v>
      </c>
      <c r="BZ6" s="10"/>
      <c r="CA6" s="10"/>
      <c r="CB6" s="10"/>
      <c r="CC6" s="10"/>
      <c r="CD6" s="10"/>
      <c r="CE6" s="10"/>
      <c r="CF6" s="10"/>
      <c r="CG6" s="10"/>
      <c r="CH6" s="10"/>
      <c r="CI6" s="10"/>
      <c r="CJ6" s="10"/>
      <c r="CK6" s="10"/>
      <c r="CL6" s="10"/>
      <c r="CM6" s="10"/>
      <c r="CN6" s="10"/>
      <c r="CO6" s="10"/>
      <c r="CP6" s="10"/>
      <c r="CQ6" s="10"/>
      <c r="CR6" s="10"/>
      <c r="CS6" s="10"/>
      <c r="CT6" s="10"/>
      <c r="CU6" s="10"/>
      <c r="CV6" s="10" t="s">
        <v>1217</v>
      </c>
      <c r="CW6" s="10"/>
      <c r="CX6" s="10"/>
      <c r="CY6" s="10" t="s">
        <v>112</v>
      </c>
      <c r="CZ6" s="10"/>
      <c r="DA6" s="10"/>
      <c r="DB6" s="10"/>
      <c r="DC6" s="10"/>
      <c r="DD6" s="10"/>
      <c r="DE6" s="10"/>
      <c r="DF6" s="10" t="s">
        <v>115</v>
      </c>
      <c r="DG6" s="10"/>
      <c r="DH6" s="10"/>
      <c r="DI6" s="10" t="s">
        <v>198</v>
      </c>
      <c r="DJ6" s="10" t="s">
        <v>198</v>
      </c>
      <c r="DK6" s="10" t="s">
        <v>198</v>
      </c>
      <c r="DL6" s="10"/>
      <c r="DM6" s="10"/>
      <c r="DN6" s="10" t="s">
        <v>1451</v>
      </c>
      <c r="DO6" s="10"/>
      <c r="DP6" s="10" t="s">
        <v>254</v>
      </c>
      <c r="DQ6" s="10"/>
      <c r="DR6" s="10" t="s">
        <v>203</v>
      </c>
      <c r="DS6" s="10"/>
      <c r="DT6" s="10" t="s">
        <v>1452</v>
      </c>
      <c r="DU6" s="10" t="s">
        <v>1217</v>
      </c>
      <c r="DV6" s="10"/>
      <c r="DW6" s="10"/>
      <c r="DX6" s="10"/>
      <c r="DY6" s="10" t="s">
        <v>123</v>
      </c>
      <c r="DZ6" s="10"/>
      <c r="EA6" s="10"/>
      <c r="EB6" s="10"/>
      <c r="EC6" s="10" t="s">
        <v>126</v>
      </c>
      <c r="ED6" s="10" t="s">
        <v>127</v>
      </c>
      <c r="EE6" s="10"/>
      <c r="EF6" s="10" t="s">
        <v>198</v>
      </c>
      <c r="EG6" s="10" t="s">
        <v>198</v>
      </c>
      <c r="EH6" s="10" t="s">
        <v>198</v>
      </c>
      <c r="EI6" s="10"/>
      <c r="EJ6" s="10"/>
      <c r="EK6" s="10" t="s">
        <v>249</v>
      </c>
      <c r="EL6" s="10"/>
      <c r="EM6" s="10" t="s">
        <v>202</v>
      </c>
      <c r="EN6" s="10" t="s">
        <v>233</v>
      </c>
      <c r="EO6" s="10"/>
      <c r="EP6" s="10" t="s">
        <v>110</v>
      </c>
      <c r="EQ6" s="10"/>
      <c r="ER6" s="10"/>
      <c r="ES6" s="10"/>
      <c r="ET6" s="10"/>
      <c r="EU6" s="10" t="s">
        <v>115</v>
      </c>
      <c r="EV6" s="10"/>
      <c r="EW6" s="10"/>
      <c r="EX6" s="10"/>
      <c r="EY6" s="10"/>
      <c r="EZ6" s="10"/>
      <c r="FA6" s="10"/>
      <c r="FB6" s="10"/>
      <c r="FC6" s="10" t="s">
        <v>115</v>
      </c>
      <c r="FD6" s="10"/>
      <c r="FE6" s="10"/>
      <c r="FF6" s="10" t="s">
        <v>198</v>
      </c>
      <c r="FG6" s="10" t="s">
        <v>198</v>
      </c>
      <c r="FH6" s="10"/>
      <c r="FI6" s="10" t="s">
        <v>198</v>
      </c>
      <c r="FJ6" s="10" t="s">
        <v>198</v>
      </c>
      <c r="FK6" s="10" t="s">
        <v>198</v>
      </c>
      <c r="FL6" s="10"/>
      <c r="FM6" s="10"/>
      <c r="FN6" s="10"/>
      <c r="FO6" s="10"/>
      <c r="FP6" s="10"/>
      <c r="FQ6" s="10" t="s">
        <v>198</v>
      </c>
      <c r="FR6" s="10" t="s">
        <v>198</v>
      </c>
      <c r="FS6" s="10"/>
      <c r="FT6" s="10"/>
      <c r="FU6" s="10"/>
      <c r="FV6" s="10" t="s">
        <v>772</v>
      </c>
      <c r="FW6" s="10" t="s">
        <v>1438</v>
      </c>
      <c r="FX6" s="10"/>
      <c r="FY6" s="10"/>
      <c r="FZ6" s="10"/>
      <c r="GA6" s="10"/>
      <c r="GB6" s="10" t="s">
        <v>772</v>
      </c>
      <c r="GC6" s="10" t="s">
        <v>1438</v>
      </c>
      <c r="GD6" s="10"/>
      <c r="GE6" s="10"/>
      <c r="GF6" s="10"/>
      <c r="GG6" s="10"/>
      <c r="GH6" s="10" t="s">
        <v>1453</v>
      </c>
      <c r="GI6" s="10"/>
      <c r="GJ6" s="10"/>
      <c r="GK6" s="10"/>
      <c r="GL6" s="10"/>
      <c r="GM6" s="10"/>
      <c r="GN6" s="10"/>
      <c r="GO6" s="10"/>
      <c r="GP6" s="10"/>
      <c r="GQ6" s="10"/>
      <c r="GR6" s="10"/>
      <c r="GS6" s="10"/>
      <c r="GT6" s="10"/>
      <c r="GU6" s="10"/>
      <c r="GV6" s="10" t="s">
        <v>1454</v>
      </c>
      <c r="GW6" s="10" t="s">
        <v>1217</v>
      </c>
      <c r="GX6" s="10"/>
      <c r="GY6" s="10"/>
      <c r="GZ6" s="10"/>
      <c r="HA6" s="10"/>
      <c r="HB6" s="10"/>
    </row>
    <row r="7" spans="1:210" x14ac:dyDescent="0.25">
      <c r="A7" s="10">
        <v>10483564736</v>
      </c>
      <c r="B7" s="10">
        <v>223776675</v>
      </c>
      <c r="C7" s="11">
        <v>43488.540300925917</v>
      </c>
      <c r="D7" s="11">
        <v>43488.541701388887</v>
      </c>
      <c r="E7" s="10" t="s">
        <v>904</v>
      </c>
      <c r="F7" s="10"/>
      <c r="G7" s="10"/>
      <c r="H7" s="10"/>
      <c r="I7" s="10"/>
      <c r="J7" s="10" t="s">
        <v>260</v>
      </c>
      <c r="K7" s="10"/>
      <c r="L7" s="10" t="s">
        <v>1455</v>
      </c>
      <c r="M7" s="10">
        <v>60</v>
      </c>
      <c r="N7" s="10">
        <v>20</v>
      </c>
      <c r="O7" s="10">
        <v>10</v>
      </c>
      <c r="P7" s="10">
        <v>0</v>
      </c>
      <c r="Q7" s="10">
        <v>10</v>
      </c>
      <c r="R7" s="10">
        <v>0</v>
      </c>
      <c r="S7" s="10" t="s">
        <v>216</v>
      </c>
      <c r="T7" s="10" t="s">
        <v>1456</v>
      </c>
      <c r="U7" s="10" t="s">
        <v>166</v>
      </c>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row>
    <row r="8" spans="1:210" x14ac:dyDescent="0.25">
      <c r="A8" s="10">
        <v>10483336871</v>
      </c>
      <c r="B8" s="10">
        <v>223959985</v>
      </c>
      <c r="C8" s="11">
        <v>43488.360543981478</v>
      </c>
      <c r="D8" s="11">
        <v>43488.450949074067</v>
      </c>
      <c r="E8" s="10" t="s">
        <v>904</v>
      </c>
      <c r="F8" s="10"/>
      <c r="G8" s="10"/>
      <c r="H8" s="10"/>
      <c r="I8" s="10"/>
      <c r="J8" s="10" t="s">
        <v>260</v>
      </c>
      <c r="K8" s="10"/>
      <c r="L8" s="10">
        <v>2500</v>
      </c>
      <c r="M8" s="10">
        <v>70</v>
      </c>
      <c r="N8" s="10">
        <v>0</v>
      </c>
      <c r="O8" s="10">
        <v>30</v>
      </c>
      <c r="P8" s="10">
        <v>0</v>
      </c>
      <c r="Q8" s="10">
        <v>0</v>
      </c>
      <c r="R8" s="10">
        <v>0</v>
      </c>
      <c r="S8" s="10" t="s">
        <v>1457</v>
      </c>
      <c r="T8" s="10" t="s">
        <v>1458</v>
      </c>
      <c r="U8" s="10" t="s">
        <v>166</v>
      </c>
      <c r="V8" s="10" t="s">
        <v>1420</v>
      </c>
      <c r="W8" s="10"/>
      <c r="X8" s="10" t="s">
        <v>263</v>
      </c>
      <c r="Y8" s="10"/>
      <c r="Z8" s="10" t="s">
        <v>167</v>
      </c>
      <c r="AA8" s="10"/>
      <c r="AB8" s="10" t="s">
        <v>1459</v>
      </c>
      <c r="AC8" s="10" t="s">
        <v>569</v>
      </c>
      <c r="AD8" s="10" t="s">
        <v>170</v>
      </c>
      <c r="AE8" s="10" t="s">
        <v>1460</v>
      </c>
      <c r="AF8" s="10" t="s">
        <v>1461</v>
      </c>
      <c r="AG8" s="10" t="s">
        <v>1462</v>
      </c>
      <c r="AH8" s="10" t="s">
        <v>403</v>
      </c>
      <c r="AI8" s="10" t="s">
        <v>403</v>
      </c>
      <c r="AJ8" s="10" t="s">
        <v>403</v>
      </c>
      <c r="AK8" s="10" t="s">
        <v>223</v>
      </c>
      <c r="AL8" s="10"/>
      <c r="AM8" s="10" t="s">
        <v>402</v>
      </c>
      <c r="AN8" s="10">
        <v>1</v>
      </c>
      <c r="AO8" s="10" t="s">
        <v>177</v>
      </c>
      <c r="AP8" s="10"/>
      <c r="AQ8" s="10"/>
      <c r="AR8" s="10"/>
      <c r="AS8" s="10"/>
      <c r="AT8" s="10"/>
      <c r="AU8" s="10"/>
      <c r="AV8" s="10" t="s">
        <v>1463</v>
      </c>
      <c r="AW8" s="10" t="s">
        <v>182</v>
      </c>
      <c r="AX8" s="10">
        <v>1</v>
      </c>
      <c r="AY8" s="10" t="s">
        <v>177</v>
      </c>
      <c r="AZ8" s="10" t="s">
        <v>183</v>
      </c>
      <c r="BA8" s="10">
        <v>1</v>
      </c>
      <c r="BB8" s="10" t="s">
        <v>177</v>
      </c>
      <c r="BC8" s="10"/>
      <c r="BD8" s="10"/>
      <c r="BE8" s="10"/>
      <c r="BF8" s="10"/>
      <c r="BG8" s="10"/>
      <c r="BH8" s="10"/>
      <c r="BI8" s="10"/>
      <c r="BJ8" s="10"/>
      <c r="BK8" s="10"/>
      <c r="BL8" s="10"/>
      <c r="BM8" s="10"/>
      <c r="BN8" s="10"/>
      <c r="BO8" s="10"/>
      <c r="BP8" s="10"/>
      <c r="BQ8" s="10"/>
      <c r="BR8" s="10"/>
      <c r="BS8" s="10"/>
      <c r="BT8" s="10"/>
      <c r="BU8" s="10"/>
      <c r="BV8" s="10" t="s">
        <v>1464</v>
      </c>
      <c r="BW8" s="10" t="s">
        <v>191</v>
      </c>
      <c r="BX8" s="10"/>
      <c r="BY8" s="10"/>
      <c r="BZ8" s="10"/>
      <c r="CA8" s="10"/>
      <c r="CB8" s="10"/>
      <c r="CC8" s="10"/>
      <c r="CD8" s="10"/>
      <c r="CE8" s="10"/>
      <c r="CF8" s="10"/>
      <c r="CG8" s="10"/>
      <c r="CH8" s="10"/>
      <c r="CI8" s="10"/>
      <c r="CJ8" s="10"/>
      <c r="CK8" s="10"/>
      <c r="CL8" s="10"/>
      <c r="CM8" s="10"/>
      <c r="CN8" s="10"/>
      <c r="CO8" s="10"/>
      <c r="CP8" s="10"/>
      <c r="CQ8" s="10"/>
      <c r="CR8" s="10"/>
      <c r="CS8" s="10"/>
      <c r="CT8" s="10"/>
      <c r="CU8" s="10" t="s">
        <v>1464</v>
      </c>
      <c r="CV8" s="10" t="s">
        <v>1465</v>
      </c>
      <c r="CW8" s="10" t="s">
        <v>1466</v>
      </c>
      <c r="CX8" s="10" t="s">
        <v>1467</v>
      </c>
      <c r="CY8" s="10" t="s">
        <v>111</v>
      </c>
      <c r="CZ8" s="10"/>
      <c r="DA8" s="10" t="s">
        <v>110</v>
      </c>
      <c r="DB8" s="10" t="s">
        <v>111</v>
      </c>
      <c r="DC8" s="10"/>
      <c r="DD8" s="10"/>
      <c r="DE8" s="10"/>
      <c r="DF8" s="10"/>
      <c r="DG8" s="10"/>
      <c r="DH8" s="10"/>
      <c r="DI8" s="10" t="s">
        <v>200</v>
      </c>
      <c r="DJ8" s="10" t="s">
        <v>198</v>
      </c>
      <c r="DK8" s="10" t="s">
        <v>198</v>
      </c>
      <c r="DL8" s="10"/>
      <c r="DM8" s="10"/>
      <c r="DN8" s="10"/>
      <c r="DO8" s="10" t="s">
        <v>313</v>
      </c>
      <c r="DP8" s="10" t="s">
        <v>202</v>
      </c>
      <c r="DQ8" s="10"/>
      <c r="DR8" s="10" t="s">
        <v>203</v>
      </c>
      <c r="DS8" s="10"/>
      <c r="DT8" s="10" t="s">
        <v>1468</v>
      </c>
      <c r="DU8" s="10"/>
      <c r="DV8" s="10"/>
      <c r="DW8" s="10"/>
      <c r="DX8" s="10" t="s">
        <v>122</v>
      </c>
      <c r="DY8" s="10" t="s">
        <v>123</v>
      </c>
      <c r="DZ8" s="10"/>
      <c r="EA8" s="10"/>
      <c r="EB8" s="10"/>
      <c r="EC8" s="10"/>
      <c r="ED8" s="10"/>
      <c r="EE8" s="10"/>
      <c r="EF8" s="10" t="s">
        <v>200</v>
      </c>
      <c r="EG8" s="10" t="s">
        <v>198</v>
      </c>
      <c r="EH8" s="10" t="s">
        <v>200</v>
      </c>
      <c r="EI8" s="10"/>
      <c r="EJ8" s="10"/>
      <c r="EK8" s="10">
        <v>0</v>
      </c>
      <c r="EL8" s="10"/>
      <c r="EM8" s="10" t="s">
        <v>202</v>
      </c>
      <c r="EN8" s="10" t="s">
        <v>203</v>
      </c>
      <c r="EO8" s="10"/>
      <c r="EP8" s="10"/>
      <c r="EQ8" s="10"/>
      <c r="ER8" s="10"/>
      <c r="ES8" s="10"/>
      <c r="ET8" s="10"/>
      <c r="EU8" s="10"/>
      <c r="EV8" s="10"/>
      <c r="EW8" s="10"/>
      <c r="EX8" s="10"/>
      <c r="EY8" s="10"/>
      <c r="EZ8" s="10"/>
      <c r="FA8" s="10"/>
      <c r="FB8" s="10"/>
      <c r="FC8" s="10"/>
      <c r="FD8" s="10"/>
      <c r="FE8" s="10"/>
      <c r="FF8" s="10"/>
      <c r="FG8" s="10"/>
      <c r="FH8" s="10"/>
      <c r="FI8" s="10" t="s">
        <v>198</v>
      </c>
      <c r="FJ8" s="10" t="s">
        <v>198</v>
      </c>
      <c r="FK8" s="10" t="s">
        <v>200</v>
      </c>
      <c r="FL8" s="10" t="s">
        <v>200</v>
      </c>
      <c r="FM8" s="10" t="s">
        <v>200</v>
      </c>
      <c r="FN8" s="10" t="s">
        <v>198</v>
      </c>
      <c r="FO8" s="10" t="s">
        <v>200</v>
      </c>
      <c r="FP8" s="10"/>
      <c r="FQ8" s="10" t="s">
        <v>200</v>
      </c>
      <c r="FR8" s="10" t="s">
        <v>200</v>
      </c>
      <c r="FS8" s="10"/>
      <c r="FT8" s="10"/>
      <c r="FU8" s="10"/>
      <c r="FV8" s="10"/>
      <c r="FW8" s="10"/>
      <c r="FX8" s="10"/>
      <c r="FY8" s="10"/>
      <c r="FZ8" s="10"/>
      <c r="GA8" s="10"/>
      <c r="GB8" s="10"/>
      <c r="GC8" s="10"/>
      <c r="GD8" s="10"/>
      <c r="GE8" s="10"/>
      <c r="GF8" s="10"/>
      <c r="GG8" s="10"/>
      <c r="GH8" s="10" t="s">
        <v>1469</v>
      </c>
      <c r="GI8" s="10" t="s">
        <v>150</v>
      </c>
      <c r="GJ8" s="10" t="s">
        <v>151</v>
      </c>
      <c r="GK8" s="10"/>
      <c r="GL8" s="10"/>
      <c r="GM8" s="10"/>
      <c r="GN8" s="10" t="s">
        <v>155</v>
      </c>
      <c r="GO8" s="10"/>
      <c r="GP8" s="10"/>
      <c r="GQ8" s="10"/>
      <c r="GR8" s="10"/>
      <c r="GS8" s="10"/>
      <c r="GT8" s="10"/>
      <c r="GU8" s="10"/>
      <c r="GV8" s="10"/>
      <c r="GW8" s="10" t="s">
        <v>1470</v>
      </c>
      <c r="GX8" s="10"/>
      <c r="GY8" s="10" t="s">
        <v>1471</v>
      </c>
      <c r="GZ8" s="10" t="s">
        <v>475</v>
      </c>
      <c r="HA8" s="10" t="s">
        <v>1472</v>
      </c>
      <c r="HB8" s="10">
        <v>417830406</v>
      </c>
    </row>
    <row r="9" spans="1:210" x14ac:dyDescent="0.25">
      <c r="A9" s="10">
        <v>10478215007</v>
      </c>
      <c r="B9" s="10">
        <v>223776675</v>
      </c>
      <c r="C9" s="11">
        <v>43485.884085648147</v>
      </c>
      <c r="D9" s="11">
        <v>43485.924270833333</v>
      </c>
      <c r="E9" s="10" t="s">
        <v>1253</v>
      </c>
      <c r="F9" s="10"/>
      <c r="G9" s="10"/>
      <c r="H9" s="10"/>
      <c r="I9" s="10"/>
      <c r="J9" s="10" t="s">
        <v>310</v>
      </c>
      <c r="K9" s="10"/>
      <c r="L9" s="10">
        <v>1100</v>
      </c>
      <c r="M9" s="10">
        <v>60</v>
      </c>
      <c r="N9" s="10">
        <v>40</v>
      </c>
      <c r="O9" s="10">
        <v>0</v>
      </c>
      <c r="P9" s="10">
        <v>0</v>
      </c>
      <c r="Q9" s="10">
        <v>0</v>
      </c>
      <c r="R9" s="10">
        <v>0</v>
      </c>
      <c r="S9" s="10" t="s">
        <v>216</v>
      </c>
      <c r="T9" s="10" t="s">
        <v>45</v>
      </c>
      <c r="U9" s="10" t="s">
        <v>166</v>
      </c>
      <c r="V9" s="10" t="s">
        <v>1420</v>
      </c>
      <c r="W9" s="10"/>
      <c r="X9" s="10" t="s">
        <v>1473</v>
      </c>
      <c r="Y9" s="10" t="s">
        <v>1474</v>
      </c>
      <c r="Z9" s="10" t="s">
        <v>263</v>
      </c>
      <c r="AA9" s="10"/>
      <c r="AB9" s="10" t="s">
        <v>1475</v>
      </c>
      <c r="AC9" s="10" t="s">
        <v>1476</v>
      </c>
      <c r="AD9" s="10" t="s">
        <v>1477</v>
      </c>
      <c r="AE9" s="10" t="s">
        <v>1478</v>
      </c>
      <c r="AF9" s="10" t="s">
        <v>1479</v>
      </c>
      <c r="AG9" s="10" t="s">
        <v>1480</v>
      </c>
      <c r="AH9" s="10" t="s">
        <v>223</v>
      </c>
      <c r="AI9" s="10" t="s">
        <v>405</v>
      </c>
      <c r="AJ9" s="10" t="s">
        <v>223</v>
      </c>
      <c r="AK9" s="10" t="s">
        <v>405</v>
      </c>
      <c r="AL9" s="10"/>
      <c r="AM9" s="10" t="s">
        <v>176</v>
      </c>
      <c r="AN9" s="10">
        <v>1</v>
      </c>
      <c r="AO9" s="10" t="s">
        <v>403</v>
      </c>
      <c r="AP9" s="10"/>
      <c r="AQ9" s="10"/>
      <c r="AR9" s="10"/>
      <c r="AS9" s="10"/>
      <c r="AT9" s="10"/>
      <c r="AU9" s="10"/>
      <c r="AV9" s="10"/>
      <c r="AW9" s="10" t="s">
        <v>182</v>
      </c>
      <c r="AX9" s="10">
        <v>1</v>
      </c>
      <c r="AY9" s="10" t="s">
        <v>403</v>
      </c>
      <c r="AZ9" s="10"/>
      <c r="BA9" s="10"/>
      <c r="BB9" s="10"/>
      <c r="BC9" s="10"/>
      <c r="BD9" s="10"/>
      <c r="BE9" s="10"/>
      <c r="BF9" s="10"/>
      <c r="BG9" s="10"/>
      <c r="BH9" s="10"/>
      <c r="BI9" s="10"/>
      <c r="BJ9" s="10"/>
      <c r="BK9" s="10"/>
      <c r="BL9" s="10"/>
      <c r="BM9" s="10"/>
      <c r="BN9" s="10"/>
      <c r="BO9" s="10"/>
      <c r="BP9" s="10"/>
      <c r="BQ9" s="10"/>
      <c r="BR9" s="10"/>
      <c r="BS9" s="10"/>
      <c r="BT9" s="10"/>
      <c r="BU9" s="10"/>
      <c r="BV9" s="10" t="s">
        <v>1481</v>
      </c>
      <c r="BW9" s="10" t="s">
        <v>186</v>
      </c>
      <c r="BX9" s="10">
        <v>1</v>
      </c>
      <c r="BY9" s="10" t="s">
        <v>403</v>
      </c>
      <c r="BZ9" s="10" t="s">
        <v>188</v>
      </c>
      <c r="CA9" s="10">
        <v>1</v>
      </c>
      <c r="CB9" s="10" t="s">
        <v>403</v>
      </c>
      <c r="CC9" s="10" t="s">
        <v>189</v>
      </c>
      <c r="CD9" s="10">
        <v>1</v>
      </c>
      <c r="CE9" s="10" t="s">
        <v>403</v>
      </c>
      <c r="CF9" s="10" t="s">
        <v>190</v>
      </c>
      <c r="CG9" s="10">
        <v>1</v>
      </c>
      <c r="CH9" s="10" t="s">
        <v>403</v>
      </c>
      <c r="CI9" s="10" t="s">
        <v>191</v>
      </c>
      <c r="CJ9" s="10">
        <v>1</v>
      </c>
      <c r="CK9" s="10" t="s">
        <v>403</v>
      </c>
      <c r="CL9" s="10" t="s">
        <v>193</v>
      </c>
      <c r="CM9" s="10">
        <v>1</v>
      </c>
      <c r="CN9" s="10" t="s">
        <v>403</v>
      </c>
      <c r="CO9" s="10" t="s">
        <v>192</v>
      </c>
      <c r="CP9" s="10">
        <v>1</v>
      </c>
      <c r="CQ9" s="10" t="s">
        <v>403</v>
      </c>
      <c r="CR9" s="10"/>
      <c r="CS9" s="10">
        <v>1</v>
      </c>
      <c r="CT9" s="10"/>
      <c r="CU9" s="10"/>
      <c r="CV9" s="10" t="s">
        <v>1482</v>
      </c>
      <c r="CW9" s="10" t="s">
        <v>1483</v>
      </c>
      <c r="CX9" s="10" t="s">
        <v>1484</v>
      </c>
      <c r="CY9" s="10" t="s">
        <v>110</v>
      </c>
      <c r="CZ9" s="10"/>
      <c r="DA9" s="10"/>
      <c r="DB9" s="10"/>
      <c r="DC9" s="10"/>
      <c r="DD9" s="10"/>
      <c r="DE9" s="10"/>
      <c r="DF9" s="10"/>
      <c r="DG9" s="10"/>
      <c r="DH9" s="10" t="s">
        <v>1485</v>
      </c>
      <c r="DI9" s="10" t="s">
        <v>198</v>
      </c>
      <c r="DJ9" s="10" t="s">
        <v>199</v>
      </c>
      <c r="DK9" s="10" t="s">
        <v>424</v>
      </c>
      <c r="DL9" s="10"/>
      <c r="DM9" s="10"/>
      <c r="DN9" s="10" t="s">
        <v>201</v>
      </c>
      <c r="DO9" s="10"/>
      <c r="DP9" s="10" t="s">
        <v>202</v>
      </c>
      <c r="DQ9" s="10"/>
      <c r="DR9" s="10" t="s">
        <v>203</v>
      </c>
      <c r="DS9" s="10"/>
      <c r="DT9" s="10" t="s">
        <v>1486</v>
      </c>
      <c r="DU9" s="10" t="s">
        <v>1487</v>
      </c>
      <c r="DV9" s="10"/>
      <c r="DW9" s="10"/>
      <c r="DX9" s="10"/>
      <c r="DY9" s="10"/>
      <c r="DZ9" s="10"/>
      <c r="EA9" s="10"/>
      <c r="EB9" s="10"/>
      <c r="EC9" s="10"/>
      <c r="ED9" s="10"/>
      <c r="EE9" s="10" t="s">
        <v>1488</v>
      </c>
      <c r="EF9" s="10" t="s">
        <v>199</v>
      </c>
      <c r="EG9" s="10" t="s">
        <v>199</v>
      </c>
      <c r="EH9" s="10" t="s">
        <v>198</v>
      </c>
      <c r="EI9" s="10"/>
      <c r="EJ9" s="10"/>
      <c r="EK9" s="10" t="s">
        <v>209</v>
      </c>
      <c r="EL9" s="10" t="s">
        <v>1489</v>
      </c>
      <c r="EM9" s="10"/>
      <c r="EN9" s="10" t="s">
        <v>203</v>
      </c>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t="s">
        <v>1490</v>
      </c>
      <c r="FU9" s="10"/>
      <c r="FV9" s="10"/>
      <c r="FW9" s="10"/>
      <c r="FX9" s="10"/>
      <c r="FY9" s="10"/>
      <c r="FZ9" s="10" t="s">
        <v>1490</v>
      </c>
      <c r="GA9" s="10"/>
      <c r="GB9" s="10"/>
      <c r="GC9" s="10"/>
      <c r="GD9" s="10"/>
      <c r="GE9" s="10"/>
      <c r="GF9" s="10" t="s">
        <v>1491</v>
      </c>
      <c r="GG9" s="10"/>
      <c r="GH9" s="10" t="s">
        <v>1492</v>
      </c>
      <c r="GI9" s="10"/>
      <c r="GJ9" s="10"/>
      <c r="GK9" s="10"/>
      <c r="GL9" s="10"/>
      <c r="GM9" s="10"/>
      <c r="GN9" s="10"/>
      <c r="GO9" s="10"/>
      <c r="GP9" s="10"/>
      <c r="GQ9" s="10"/>
      <c r="GR9" s="10"/>
      <c r="GS9" s="10"/>
      <c r="GT9" s="10"/>
      <c r="GU9" s="10"/>
      <c r="GV9" s="10" t="s">
        <v>1493</v>
      </c>
      <c r="GW9" s="10"/>
      <c r="GX9" s="10"/>
      <c r="GY9" s="10"/>
      <c r="GZ9" s="10"/>
      <c r="HA9" s="10"/>
      <c r="HB9" s="10"/>
    </row>
    <row r="10" spans="1:210" x14ac:dyDescent="0.25">
      <c r="A10" s="10">
        <v>10478196844</v>
      </c>
      <c r="B10" s="10">
        <v>223776675</v>
      </c>
      <c r="C10" s="11">
        <v>43485.86446759259</v>
      </c>
      <c r="D10" s="11">
        <v>43485.882974537039</v>
      </c>
      <c r="E10" s="10" t="s">
        <v>1253</v>
      </c>
      <c r="F10" s="10"/>
      <c r="G10" s="10"/>
      <c r="H10" s="10"/>
      <c r="I10" s="10"/>
      <c r="J10" s="10" t="s">
        <v>260</v>
      </c>
      <c r="K10" s="10"/>
      <c r="L10" s="10">
        <v>1800</v>
      </c>
      <c r="M10" s="10">
        <v>60</v>
      </c>
      <c r="N10" s="10">
        <v>20</v>
      </c>
      <c r="O10" s="10">
        <v>10</v>
      </c>
      <c r="P10" s="10">
        <v>0</v>
      </c>
      <c r="Q10" s="10">
        <v>10</v>
      </c>
      <c r="R10" s="10">
        <v>0</v>
      </c>
      <c r="S10" s="10" t="s">
        <v>216</v>
      </c>
      <c r="T10" s="10" t="s">
        <v>1254</v>
      </c>
      <c r="U10" s="10" t="s">
        <v>312</v>
      </c>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t="s">
        <v>199</v>
      </c>
      <c r="FG10" s="10" t="s">
        <v>199</v>
      </c>
      <c r="FH10" s="10" t="s">
        <v>1494</v>
      </c>
      <c r="FI10" s="10" t="s">
        <v>199</v>
      </c>
      <c r="FJ10" s="10" t="s">
        <v>199</v>
      </c>
      <c r="FK10" s="10" t="s">
        <v>199</v>
      </c>
      <c r="FL10" s="10" t="s">
        <v>199</v>
      </c>
      <c r="FM10" s="10" t="s">
        <v>199</v>
      </c>
      <c r="FN10" s="10" t="s">
        <v>199</v>
      </c>
      <c r="FO10" s="10" t="s">
        <v>199</v>
      </c>
      <c r="FP10" s="10" t="s">
        <v>1495</v>
      </c>
      <c r="FQ10" s="10" t="s">
        <v>199</v>
      </c>
      <c r="FR10" s="10" t="s">
        <v>199</v>
      </c>
      <c r="FS10" s="10"/>
      <c r="FT10" s="10"/>
      <c r="FU10" s="10"/>
      <c r="FV10" s="10"/>
      <c r="FW10" s="10"/>
      <c r="FX10" s="10"/>
      <c r="FY10" s="10"/>
      <c r="FZ10" s="10"/>
      <c r="GA10" s="10"/>
      <c r="GB10" s="10"/>
      <c r="GC10" s="10"/>
      <c r="GD10" s="10"/>
      <c r="GE10" s="10"/>
      <c r="GF10" s="10" t="s">
        <v>1496</v>
      </c>
      <c r="GG10" s="10"/>
      <c r="GH10" s="10" t="s">
        <v>1497</v>
      </c>
      <c r="GI10" s="10" t="s">
        <v>150</v>
      </c>
      <c r="GJ10" s="10" t="s">
        <v>151</v>
      </c>
      <c r="GK10" s="10"/>
      <c r="GL10" s="10"/>
      <c r="GM10" s="10"/>
      <c r="GN10" s="10"/>
      <c r="GO10" s="10"/>
      <c r="GP10" s="10"/>
      <c r="GQ10" s="10"/>
      <c r="GR10" s="10"/>
      <c r="GS10" s="10"/>
      <c r="GT10" s="10"/>
      <c r="GU10" s="10"/>
      <c r="GV10" s="10"/>
      <c r="GW10" s="10" t="s">
        <v>1498</v>
      </c>
      <c r="GX10" s="10"/>
      <c r="GY10" s="10"/>
      <c r="GZ10" s="10"/>
      <c r="HA10" s="10"/>
      <c r="HB10" s="10"/>
    </row>
    <row r="11" spans="1:210" x14ac:dyDescent="0.25">
      <c r="A11" s="10">
        <v>10474308940</v>
      </c>
      <c r="B11" s="10">
        <v>223959985</v>
      </c>
      <c r="C11" s="11">
        <v>43483.36209490741</v>
      </c>
      <c r="D11" s="11">
        <v>43483.40525462963</v>
      </c>
      <c r="E11" s="10" t="s">
        <v>904</v>
      </c>
      <c r="F11" s="10"/>
      <c r="G11" s="10"/>
      <c r="H11" s="10"/>
      <c r="I11" s="10"/>
      <c r="J11" s="10" t="s">
        <v>260</v>
      </c>
      <c r="K11" s="10"/>
      <c r="L11" s="10">
        <v>1500</v>
      </c>
      <c r="M11" s="10">
        <v>65</v>
      </c>
      <c r="N11" s="10">
        <v>15</v>
      </c>
      <c r="O11" s="10">
        <v>10</v>
      </c>
      <c r="P11" s="10">
        <v>0</v>
      </c>
      <c r="Q11" s="10">
        <v>10</v>
      </c>
      <c r="R11" s="10">
        <v>0</v>
      </c>
      <c r="S11" s="10" t="s">
        <v>494</v>
      </c>
      <c r="T11" s="10" t="s">
        <v>314</v>
      </c>
      <c r="U11" s="10" t="s">
        <v>166</v>
      </c>
      <c r="V11" s="10" t="s">
        <v>1499</v>
      </c>
      <c r="W11" s="10"/>
      <c r="X11" s="10" t="s">
        <v>1473</v>
      </c>
      <c r="Y11" s="10"/>
      <c r="Z11" s="10" t="s">
        <v>1473</v>
      </c>
      <c r="AA11" s="10"/>
      <c r="AB11" s="10" t="s">
        <v>1500</v>
      </c>
      <c r="AC11" s="10" t="s">
        <v>1501</v>
      </c>
      <c r="AD11" s="10" t="s">
        <v>1502</v>
      </c>
      <c r="AE11" s="10" t="s">
        <v>1503</v>
      </c>
      <c r="AF11" s="10" t="s">
        <v>1504</v>
      </c>
      <c r="AG11" s="10" t="s">
        <v>1505</v>
      </c>
      <c r="AH11" s="10">
        <v>0</v>
      </c>
      <c r="AI11" s="10">
        <v>0</v>
      </c>
      <c r="AJ11" s="10">
        <v>0</v>
      </c>
      <c r="AK11" s="10">
        <v>0</v>
      </c>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t="s">
        <v>111</v>
      </c>
      <c r="CZ11" s="10"/>
      <c r="DA11" s="10" t="s">
        <v>110</v>
      </c>
      <c r="DB11" s="10" t="s">
        <v>111</v>
      </c>
      <c r="DC11" s="10"/>
      <c r="DD11" s="10"/>
      <c r="DE11" s="10"/>
      <c r="DF11" s="10"/>
      <c r="DG11" s="10"/>
      <c r="DH11" s="10"/>
      <c r="DI11" s="10" t="s">
        <v>198</v>
      </c>
      <c r="DJ11" s="10" t="s">
        <v>200</v>
      </c>
      <c r="DK11" s="10" t="s">
        <v>198</v>
      </c>
      <c r="DL11" s="10"/>
      <c r="DM11" s="10"/>
      <c r="DN11" s="10">
        <v>0</v>
      </c>
      <c r="DO11" s="10"/>
      <c r="DP11" s="10" t="s">
        <v>254</v>
      </c>
      <c r="DQ11" s="10"/>
      <c r="DR11" s="10" t="s">
        <v>233</v>
      </c>
      <c r="DS11" s="10" t="s">
        <v>1506</v>
      </c>
      <c r="DT11" s="10" t="s">
        <v>1507</v>
      </c>
      <c r="DU11" s="10" t="s">
        <v>1136</v>
      </c>
      <c r="DV11" s="10" t="s">
        <v>1508</v>
      </c>
      <c r="DW11" s="10" t="s">
        <v>389</v>
      </c>
      <c r="DX11" s="10" t="s">
        <v>122</v>
      </c>
      <c r="DY11" s="10" t="s">
        <v>123</v>
      </c>
      <c r="DZ11" s="10"/>
      <c r="EA11" s="10"/>
      <c r="EB11" s="10"/>
      <c r="EC11" s="10"/>
      <c r="ED11" s="10"/>
      <c r="EE11" s="10"/>
      <c r="EF11" s="10" t="s">
        <v>200</v>
      </c>
      <c r="EG11" s="10" t="s">
        <v>198</v>
      </c>
      <c r="EH11" s="10" t="s">
        <v>198</v>
      </c>
      <c r="EI11" s="10"/>
      <c r="EJ11" s="10"/>
      <c r="EK11" s="10" t="s">
        <v>209</v>
      </c>
      <c r="EL11" s="10"/>
      <c r="EM11" s="10" t="s">
        <v>228</v>
      </c>
      <c r="EN11" s="10" t="s">
        <v>203</v>
      </c>
      <c r="EO11" s="10"/>
      <c r="EP11" s="10" t="s">
        <v>110</v>
      </c>
      <c r="EQ11" s="10" t="s">
        <v>111</v>
      </c>
      <c r="ER11" s="10"/>
      <c r="ES11" s="10"/>
      <c r="ET11" s="10"/>
      <c r="EU11" s="10"/>
      <c r="EV11" s="10"/>
      <c r="EW11" s="10"/>
      <c r="EX11" s="10" t="s">
        <v>110</v>
      </c>
      <c r="EY11" s="10" t="s">
        <v>111</v>
      </c>
      <c r="EZ11" s="10"/>
      <c r="FA11" s="10"/>
      <c r="FB11" s="10"/>
      <c r="FC11" s="10"/>
      <c r="FD11" s="10"/>
      <c r="FE11" s="10"/>
      <c r="FF11" s="10" t="s">
        <v>200</v>
      </c>
      <c r="FG11" s="10" t="s">
        <v>198</v>
      </c>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t="s">
        <v>1509</v>
      </c>
      <c r="GI11" s="10"/>
      <c r="GJ11" s="10" t="s">
        <v>151</v>
      </c>
      <c r="GK11" s="10"/>
      <c r="GL11" s="10"/>
      <c r="GM11" s="10"/>
      <c r="GN11" s="10"/>
      <c r="GO11" s="10"/>
      <c r="GP11" s="10"/>
      <c r="GQ11" s="10" t="s">
        <v>158</v>
      </c>
      <c r="GR11" s="10"/>
      <c r="GS11" s="10"/>
      <c r="GT11" s="10"/>
      <c r="GU11" s="10"/>
      <c r="GV11" s="10" t="s">
        <v>1510</v>
      </c>
      <c r="GW11" s="10" t="s">
        <v>1511</v>
      </c>
      <c r="GX11" s="10"/>
      <c r="GY11" s="10" t="s">
        <v>1512</v>
      </c>
      <c r="GZ11" s="10" t="s">
        <v>1513</v>
      </c>
      <c r="HA11" s="10" t="s">
        <v>1514</v>
      </c>
      <c r="HB11" s="10">
        <v>428615195</v>
      </c>
    </row>
    <row r="12" spans="1:210" x14ac:dyDescent="0.25">
      <c r="A12" s="10">
        <v>10474204443</v>
      </c>
      <c r="B12" s="10">
        <v>223959985</v>
      </c>
      <c r="C12" s="11">
        <v>43483.344918981478</v>
      </c>
      <c r="D12" s="11">
        <v>43483.346770833326</v>
      </c>
      <c r="E12" s="10" t="s">
        <v>904</v>
      </c>
      <c r="F12" s="10"/>
      <c r="G12" s="10"/>
      <c r="H12" s="10"/>
      <c r="I12" s="10"/>
      <c r="J12" s="10" t="s">
        <v>215</v>
      </c>
      <c r="K12" s="10"/>
      <c r="L12" s="10">
        <v>3000</v>
      </c>
      <c r="M12" s="10">
        <v>10</v>
      </c>
      <c r="N12" s="10">
        <v>50</v>
      </c>
      <c r="O12" s="10">
        <v>10</v>
      </c>
      <c r="P12" s="10">
        <v>10</v>
      </c>
      <c r="Q12" s="10">
        <v>10</v>
      </c>
      <c r="R12" s="10">
        <v>10</v>
      </c>
      <c r="S12" s="10" t="s">
        <v>401</v>
      </c>
      <c r="T12" s="10" t="s">
        <v>45</v>
      </c>
      <c r="U12" s="10" t="s">
        <v>166</v>
      </c>
      <c r="V12" s="10" t="s">
        <v>1420</v>
      </c>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row>
    <row r="13" spans="1:210" x14ac:dyDescent="0.25">
      <c r="A13" s="10">
        <v>10472238055</v>
      </c>
      <c r="B13" s="10">
        <v>223959985</v>
      </c>
      <c r="C13" s="11">
        <v>43482.648460648154</v>
      </c>
      <c r="D13" s="11">
        <v>43482.658819444441</v>
      </c>
      <c r="E13" s="10" t="s">
        <v>904</v>
      </c>
      <c r="F13" s="10"/>
      <c r="G13" s="10"/>
      <c r="H13" s="10"/>
      <c r="I13" s="10"/>
      <c r="J13" s="10" t="s">
        <v>310</v>
      </c>
      <c r="K13" s="10"/>
      <c r="L13" s="10" t="s">
        <v>1515</v>
      </c>
      <c r="M13" s="10">
        <v>33</v>
      </c>
      <c r="N13" s="10">
        <v>33</v>
      </c>
      <c r="O13" s="10">
        <v>0</v>
      </c>
      <c r="P13" s="10">
        <v>0</v>
      </c>
      <c r="Q13" s="10">
        <v>33</v>
      </c>
      <c r="R13" s="10">
        <v>0</v>
      </c>
      <c r="S13" s="10" t="s">
        <v>216</v>
      </c>
      <c r="T13" s="10" t="s">
        <v>1516</v>
      </c>
      <c r="U13" s="10" t="s">
        <v>166</v>
      </c>
      <c r="V13" s="10" t="s">
        <v>1499</v>
      </c>
      <c r="W13" s="10"/>
      <c r="X13" s="10" t="s">
        <v>238</v>
      </c>
      <c r="Y13" s="10"/>
      <c r="Z13" s="10" t="s">
        <v>238</v>
      </c>
      <c r="AA13" s="10"/>
      <c r="AB13" s="10" t="s">
        <v>1517</v>
      </c>
      <c r="AC13" s="10" t="s">
        <v>1518</v>
      </c>
      <c r="AD13" s="10" t="s">
        <v>1519</v>
      </c>
      <c r="AE13" s="10" t="s">
        <v>1520</v>
      </c>
      <c r="AF13" s="10"/>
      <c r="AG13" s="10"/>
      <c r="AH13" s="10" t="s">
        <v>223</v>
      </c>
      <c r="AI13" s="10" t="s">
        <v>223</v>
      </c>
      <c r="AJ13" s="10" t="s">
        <v>223</v>
      </c>
      <c r="AK13" s="10" t="s">
        <v>223</v>
      </c>
      <c r="AL13" s="10"/>
      <c r="AM13" s="10" t="s">
        <v>176</v>
      </c>
      <c r="AN13" s="10">
        <v>1</v>
      </c>
      <c r="AO13" s="10" t="s">
        <v>223</v>
      </c>
      <c r="AP13" s="10" t="s">
        <v>402</v>
      </c>
      <c r="AQ13" s="10">
        <v>1</v>
      </c>
      <c r="AR13" s="10" t="s">
        <v>223</v>
      </c>
      <c r="AS13" s="10"/>
      <c r="AT13" s="10"/>
      <c r="AU13" s="10"/>
      <c r="AV13" s="10"/>
      <c r="AW13" s="10" t="s">
        <v>181</v>
      </c>
      <c r="AX13" s="10">
        <v>1</v>
      </c>
      <c r="AY13" s="10" t="s">
        <v>223</v>
      </c>
      <c r="AZ13" s="10"/>
      <c r="BA13" s="10"/>
      <c r="BB13" s="10"/>
      <c r="BC13" s="10"/>
      <c r="BD13" s="10"/>
      <c r="BE13" s="10"/>
      <c r="BF13" s="10"/>
      <c r="BG13" s="10"/>
      <c r="BH13" s="10"/>
      <c r="BI13" s="10"/>
      <c r="BJ13" s="10"/>
      <c r="BK13" s="10"/>
      <c r="BL13" s="10"/>
      <c r="BM13" s="10" t="s">
        <v>184</v>
      </c>
      <c r="BN13" s="10">
        <v>2</v>
      </c>
      <c r="BO13" s="10" t="s">
        <v>223</v>
      </c>
      <c r="BP13" s="10"/>
      <c r="BQ13" s="10"/>
      <c r="BR13" s="10"/>
      <c r="BS13" s="10"/>
      <c r="BT13" s="10"/>
      <c r="BU13" s="10"/>
      <c r="BV13" s="10"/>
      <c r="BW13" s="10" t="s">
        <v>191</v>
      </c>
      <c r="BX13" s="10">
        <v>1</v>
      </c>
      <c r="BY13" s="10" t="s">
        <v>177</v>
      </c>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t="s">
        <v>111</v>
      </c>
      <c r="CZ13" s="10"/>
      <c r="DA13" s="10"/>
      <c r="DB13" s="10" t="s">
        <v>111</v>
      </c>
      <c r="DC13" s="10"/>
      <c r="DD13" s="10"/>
      <c r="DE13" s="10"/>
      <c r="DF13" s="10"/>
      <c r="DG13" s="10"/>
      <c r="DH13" s="10"/>
      <c r="DI13" s="10" t="s">
        <v>424</v>
      </c>
      <c r="DJ13" s="10" t="s">
        <v>199</v>
      </c>
      <c r="DK13" s="10" t="s">
        <v>198</v>
      </c>
      <c r="DL13" s="10"/>
      <c r="DM13" s="10"/>
      <c r="DN13" s="10" t="s">
        <v>201</v>
      </c>
      <c r="DO13" s="10"/>
      <c r="DP13" s="10" t="s">
        <v>202</v>
      </c>
      <c r="DQ13" s="10"/>
      <c r="DR13" s="10" t="s">
        <v>433</v>
      </c>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t="s">
        <v>1521</v>
      </c>
      <c r="GI13" s="10"/>
      <c r="GJ13" s="10" t="s">
        <v>151</v>
      </c>
      <c r="GK13" s="10"/>
      <c r="GL13" s="10"/>
      <c r="GM13" s="10"/>
      <c r="GN13" s="10" t="s">
        <v>155</v>
      </c>
      <c r="GO13" s="10"/>
      <c r="GP13" s="10" t="s">
        <v>157</v>
      </c>
      <c r="GQ13" s="10"/>
      <c r="GR13" s="10"/>
      <c r="GS13" s="10" t="s">
        <v>160</v>
      </c>
      <c r="GT13" s="10"/>
      <c r="GU13" s="10"/>
      <c r="GV13" s="10"/>
      <c r="GW13" s="10" t="s">
        <v>1522</v>
      </c>
      <c r="GX13" s="10"/>
      <c r="GY13" s="10" t="s">
        <v>1523</v>
      </c>
      <c r="GZ13" s="10" t="s">
        <v>1524</v>
      </c>
      <c r="HA13" s="10"/>
      <c r="HB13" s="10" t="s">
        <v>1525</v>
      </c>
    </row>
    <row r="14" spans="1:210" x14ac:dyDescent="0.25">
      <c r="A14" s="10">
        <v>10472215585</v>
      </c>
      <c r="B14" s="10">
        <v>223959985</v>
      </c>
      <c r="C14" s="11">
        <v>43482.634247685193</v>
      </c>
      <c r="D14" s="11">
        <v>43482.635011574072</v>
      </c>
      <c r="E14" s="10" t="s">
        <v>904</v>
      </c>
      <c r="F14" s="10"/>
      <c r="G14" s="10"/>
      <c r="H14" s="10"/>
      <c r="I14" s="10"/>
      <c r="J14" s="10" t="s">
        <v>215</v>
      </c>
      <c r="K14" s="10"/>
      <c r="L14" s="10">
        <v>1</v>
      </c>
      <c r="M14" s="10">
        <v>0</v>
      </c>
      <c r="N14" s="10">
        <v>0</v>
      </c>
      <c r="O14" s="10">
        <v>0</v>
      </c>
      <c r="P14" s="10">
        <v>20</v>
      </c>
      <c r="Q14" s="10">
        <v>20</v>
      </c>
      <c r="R14" s="10">
        <v>60</v>
      </c>
      <c r="S14" s="10" t="s">
        <v>261</v>
      </c>
      <c r="T14" s="10"/>
      <c r="U14" s="10" t="s">
        <v>312</v>
      </c>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row>
    <row r="15" spans="1:210" x14ac:dyDescent="0.25">
      <c r="A15" s="10">
        <v>10472135420</v>
      </c>
      <c r="B15" s="10">
        <v>223959985</v>
      </c>
      <c r="C15" s="11">
        <v>43482.577881944453</v>
      </c>
      <c r="D15" s="11">
        <v>43482.591284722221</v>
      </c>
      <c r="E15" s="10" t="s">
        <v>904</v>
      </c>
      <c r="F15" s="10"/>
      <c r="G15" s="10"/>
      <c r="H15" s="10"/>
      <c r="I15" s="10"/>
      <c r="J15" s="10" t="s">
        <v>291</v>
      </c>
      <c r="K15" s="10"/>
      <c r="L15" s="10" t="s">
        <v>1526</v>
      </c>
      <c r="M15" s="10">
        <v>90</v>
      </c>
      <c r="N15" s="10">
        <v>10</v>
      </c>
      <c r="O15" s="10">
        <v>0</v>
      </c>
      <c r="P15" s="10">
        <v>0</v>
      </c>
      <c r="Q15" s="10">
        <v>0</v>
      </c>
      <c r="R15" s="10">
        <v>0</v>
      </c>
      <c r="S15" s="10" t="s">
        <v>494</v>
      </c>
      <c r="T15" s="10" t="s">
        <v>1527</v>
      </c>
      <c r="U15" s="10" t="s">
        <v>166</v>
      </c>
      <c r="V15" s="10" t="s">
        <v>1499</v>
      </c>
      <c r="W15" s="10"/>
      <c r="X15" s="10" t="s">
        <v>168</v>
      </c>
      <c r="Y15" s="10"/>
      <c r="Z15" s="10" t="s">
        <v>238</v>
      </c>
      <c r="AA15" s="10"/>
      <c r="AB15" s="10" t="s">
        <v>1528</v>
      </c>
      <c r="AC15" s="10" t="s">
        <v>1529</v>
      </c>
      <c r="AD15" s="10" t="s">
        <v>1530</v>
      </c>
      <c r="AE15" s="10" t="s">
        <v>1531</v>
      </c>
      <c r="AF15" s="10" t="s">
        <v>1532</v>
      </c>
      <c r="AG15" s="10" t="s">
        <v>1533</v>
      </c>
      <c r="AH15" s="10" t="s">
        <v>223</v>
      </c>
      <c r="AI15" s="10" t="s">
        <v>223</v>
      </c>
      <c r="AJ15" s="10" t="s">
        <v>223</v>
      </c>
      <c r="AK15" s="10" t="s">
        <v>223</v>
      </c>
      <c r="AL15" s="10"/>
      <c r="AM15" s="10" t="s">
        <v>178</v>
      </c>
      <c r="AN15" s="10">
        <v>1</v>
      </c>
      <c r="AO15" s="10" t="s">
        <v>223</v>
      </c>
      <c r="AP15" s="10" t="s">
        <v>402</v>
      </c>
      <c r="AQ15" s="10">
        <v>1</v>
      </c>
      <c r="AR15" s="10" t="s">
        <v>223</v>
      </c>
      <c r="AS15" s="10"/>
      <c r="AT15" s="10"/>
      <c r="AU15" s="10"/>
      <c r="AV15" s="10"/>
      <c r="AW15" s="10" t="s">
        <v>182</v>
      </c>
      <c r="AX15" s="10">
        <v>1</v>
      </c>
      <c r="AY15" s="10" t="s">
        <v>223</v>
      </c>
      <c r="AZ15" s="10" t="s">
        <v>183</v>
      </c>
      <c r="BA15" s="10">
        <v>1</v>
      </c>
      <c r="BB15" s="10" t="s">
        <v>223</v>
      </c>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t="s">
        <v>1534</v>
      </c>
      <c r="CW15" s="10" t="s">
        <v>1535</v>
      </c>
      <c r="CX15" s="10" t="s">
        <v>1536</v>
      </c>
      <c r="CY15" s="10" t="s">
        <v>110</v>
      </c>
      <c r="CZ15" s="10"/>
      <c r="DA15" s="10" t="s">
        <v>110</v>
      </c>
      <c r="DB15" s="10"/>
      <c r="DC15" s="10"/>
      <c r="DD15" s="10"/>
      <c r="DE15" s="10"/>
      <c r="DF15" s="10"/>
      <c r="DG15" s="10"/>
      <c r="DH15" s="10"/>
      <c r="DI15" s="10" t="s">
        <v>198</v>
      </c>
      <c r="DJ15" s="10" t="s">
        <v>199</v>
      </c>
      <c r="DK15" s="10" t="s">
        <v>198</v>
      </c>
      <c r="DL15" s="10"/>
      <c r="DM15" s="10"/>
      <c r="DN15" s="10" t="s">
        <v>201</v>
      </c>
      <c r="DO15" s="10"/>
      <c r="DP15" s="10" t="s">
        <v>202</v>
      </c>
      <c r="DQ15" s="10"/>
      <c r="DR15" s="10" t="s">
        <v>233</v>
      </c>
      <c r="DS15" s="10"/>
      <c r="DT15" s="10" t="s">
        <v>1537</v>
      </c>
      <c r="DU15" s="10" t="s">
        <v>1538</v>
      </c>
      <c r="DV15" s="10"/>
      <c r="DW15" s="10"/>
      <c r="DX15" s="10"/>
      <c r="DY15" s="10" t="s">
        <v>123</v>
      </c>
      <c r="DZ15" s="10"/>
      <c r="EA15" s="10"/>
      <c r="EB15" s="10"/>
      <c r="EC15" s="10"/>
      <c r="ED15" s="10"/>
      <c r="EE15" s="10" t="s">
        <v>1539</v>
      </c>
      <c r="EF15" s="10" t="s">
        <v>198</v>
      </c>
      <c r="EG15" s="10" t="s">
        <v>198</v>
      </c>
      <c r="EH15" s="10" t="s">
        <v>198</v>
      </c>
      <c r="EI15" s="10"/>
      <c r="EJ15" s="10"/>
      <c r="EK15" s="10" t="s">
        <v>209</v>
      </c>
      <c r="EL15" s="10"/>
      <c r="EM15" s="10" t="s">
        <v>202</v>
      </c>
      <c r="EN15" s="10" t="s">
        <v>203</v>
      </c>
      <c r="EO15" s="10"/>
      <c r="EP15" s="10"/>
      <c r="EQ15" s="10"/>
      <c r="ER15" s="10"/>
      <c r="ES15" s="10" t="s">
        <v>113</v>
      </c>
      <c r="ET15" s="10"/>
      <c r="EU15" s="10"/>
      <c r="EV15" s="10"/>
      <c r="EW15" s="10"/>
      <c r="EX15" s="10"/>
      <c r="EY15" s="10"/>
      <c r="EZ15" s="10"/>
      <c r="FA15" s="10" t="s">
        <v>113</v>
      </c>
      <c r="FB15" s="10"/>
      <c r="FC15" s="10"/>
      <c r="FD15" s="10"/>
      <c r="FE15" s="10"/>
      <c r="FF15" s="10" t="s">
        <v>200</v>
      </c>
      <c r="FG15" s="10" t="s">
        <v>200</v>
      </c>
      <c r="FH15" s="10"/>
      <c r="FI15" s="10" t="s">
        <v>424</v>
      </c>
      <c r="FJ15" s="10" t="s">
        <v>198</v>
      </c>
      <c r="FK15" s="10" t="s">
        <v>424</v>
      </c>
      <c r="FL15" s="10" t="s">
        <v>198</v>
      </c>
      <c r="FM15" s="10"/>
      <c r="FN15" s="10" t="s">
        <v>198</v>
      </c>
      <c r="FO15" s="10" t="s">
        <v>198</v>
      </c>
      <c r="FP15" s="10"/>
      <c r="FQ15" s="10" t="s">
        <v>198</v>
      </c>
      <c r="FR15" s="10" t="s">
        <v>198</v>
      </c>
      <c r="FS15" s="10"/>
      <c r="FT15" s="10"/>
      <c r="FU15" s="10" t="s">
        <v>1540</v>
      </c>
      <c r="FV15" s="10"/>
      <c r="FW15" s="10"/>
      <c r="FX15" s="10"/>
      <c r="FY15" s="10"/>
      <c r="FZ15" s="10"/>
      <c r="GA15" s="10" t="s">
        <v>1540</v>
      </c>
      <c r="GB15" s="10"/>
      <c r="GC15" s="10"/>
      <c r="GD15" s="10"/>
      <c r="GE15" s="10"/>
      <c r="GF15" s="10"/>
      <c r="GG15" s="10"/>
      <c r="GH15" s="10" t="s">
        <v>1541</v>
      </c>
      <c r="GI15" s="10" t="s">
        <v>150</v>
      </c>
      <c r="GJ15" s="10" t="s">
        <v>151</v>
      </c>
      <c r="GK15" s="10"/>
      <c r="GL15" s="10"/>
      <c r="GM15" s="10"/>
      <c r="GN15" s="10" t="s">
        <v>155</v>
      </c>
      <c r="GO15" s="10" t="s">
        <v>156</v>
      </c>
      <c r="GP15" s="10" t="s">
        <v>157</v>
      </c>
      <c r="GQ15" s="10" t="s">
        <v>158</v>
      </c>
      <c r="GR15" s="10" t="s">
        <v>159</v>
      </c>
      <c r="GS15" s="10" t="s">
        <v>160</v>
      </c>
      <c r="GT15" s="10"/>
      <c r="GU15" s="10" t="s">
        <v>162</v>
      </c>
      <c r="GV15" s="10"/>
      <c r="GW15" s="10" t="s">
        <v>1542</v>
      </c>
      <c r="GX15" s="10"/>
      <c r="GY15" s="10" t="s">
        <v>1543</v>
      </c>
      <c r="GZ15" s="10" t="s">
        <v>1544</v>
      </c>
      <c r="HA15" s="10"/>
      <c r="HB15" s="10" t="s">
        <v>1545</v>
      </c>
    </row>
    <row r="16" spans="1:210" x14ac:dyDescent="0.25">
      <c r="A16" s="10">
        <v>10472129112</v>
      </c>
      <c r="B16" s="10">
        <v>223959985</v>
      </c>
      <c r="C16" s="11">
        <v>43482.573935185188</v>
      </c>
      <c r="D16" s="11">
        <v>43482.594918981478</v>
      </c>
      <c r="E16" s="10" t="s">
        <v>904</v>
      </c>
      <c r="F16" s="10"/>
      <c r="G16" s="10"/>
      <c r="H16" s="10"/>
      <c r="I16" s="10"/>
      <c r="J16" s="10" t="s">
        <v>260</v>
      </c>
      <c r="K16" s="10"/>
      <c r="L16" s="10">
        <v>200</v>
      </c>
      <c r="M16" s="10">
        <v>60</v>
      </c>
      <c r="N16" s="10">
        <v>0</v>
      </c>
      <c r="O16" s="10">
        <v>40</v>
      </c>
      <c r="P16" s="10">
        <v>0</v>
      </c>
      <c r="Q16" s="10">
        <v>0</v>
      </c>
      <c r="R16" s="10">
        <v>0</v>
      </c>
      <c r="S16" s="10" t="s">
        <v>322</v>
      </c>
      <c r="T16" s="10" t="s">
        <v>1546</v>
      </c>
      <c r="U16" s="10" t="s">
        <v>166</v>
      </c>
      <c r="V16" s="10" t="s">
        <v>1459</v>
      </c>
      <c r="W16" s="10"/>
      <c r="X16" s="10" t="s">
        <v>1547</v>
      </c>
      <c r="Y16" s="10"/>
      <c r="Z16" s="10" t="s">
        <v>1547</v>
      </c>
      <c r="AA16" s="10"/>
      <c r="AB16" s="10" t="s">
        <v>1459</v>
      </c>
      <c r="AC16" s="10" t="s">
        <v>170</v>
      </c>
      <c r="AD16" s="10" t="s">
        <v>1548</v>
      </c>
      <c r="AE16" s="10" t="s">
        <v>1549</v>
      </c>
      <c r="AF16" s="10" t="s">
        <v>1549</v>
      </c>
      <c r="AG16" s="10"/>
      <c r="AH16" s="10" t="s">
        <v>405</v>
      </c>
      <c r="AI16" s="10" t="s">
        <v>405</v>
      </c>
      <c r="AJ16" s="10" t="s">
        <v>405</v>
      </c>
      <c r="AK16" s="10" t="s">
        <v>405</v>
      </c>
      <c r="AL16" s="10"/>
      <c r="AM16" s="10"/>
      <c r="AN16" s="10"/>
      <c r="AO16" s="10"/>
      <c r="AP16" s="10"/>
      <c r="AQ16" s="10"/>
      <c r="AR16" s="10"/>
      <c r="AS16" s="10"/>
      <c r="AT16" s="10"/>
      <c r="AU16" s="10"/>
      <c r="AV16" s="10" t="s">
        <v>1550</v>
      </c>
      <c r="AW16" s="10"/>
      <c r="AX16" s="10"/>
      <c r="AY16" s="10"/>
      <c r="AZ16" s="10"/>
      <c r="BA16" s="10"/>
      <c r="BB16" s="10"/>
      <c r="BC16" s="10"/>
      <c r="BD16" s="10"/>
      <c r="BE16" s="10"/>
      <c r="BF16" s="10"/>
      <c r="BG16" s="10"/>
      <c r="BH16" s="10"/>
      <c r="BI16" s="10"/>
      <c r="BJ16" s="10"/>
      <c r="BK16" s="10"/>
      <c r="BL16" s="10" t="s">
        <v>1550</v>
      </c>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t="s">
        <v>1551</v>
      </c>
      <c r="CW16" s="10" t="s">
        <v>1552</v>
      </c>
      <c r="CX16" s="10" t="s">
        <v>1553</v>
      </c>
      <c r="CY16" s="10" t="s">
        <v>110</v>
      </c>
      <c r="CZ16" s="10"/>
      <c r="DA16" s="10" t="s">
        <v>110</v>
      </c>
      <c r="DB16" s="10" t="s">
        <v>111</v>
      </c>
      <c r="DC16" s="10" t="s">
        <v>112</v>
      </c>
      <c r="DD16" s="10"/>
      <c r="DE16" s="10"/>
      <c r="DF16" s="10"/>
      <c r="DG16" s="10"/>
      <c r="DH16" s="10"/>
      <c r="DI16" s="10" t="s">
        <v>200</v>
      </c>
      <c r="DJ16" s="10" t="s">
        <v>198</v>
      </c>
      <c r="DK16" s="10" t="s">
        <v>200</v>
      </c>
      <c r="DL16" s="10"/>
      <c r="DM16" s="10"/>
      <c r="DN16" s="10" t="s">
        <v>201</v>
      </c>
      <c r="DO16" s="10"/>
      <c r="DP16" s="10" t="s">
        <v>228</v>
      </c>
      <c r="DQ16" s="10"/>
      <c r="DR16" s="10" t="s">
        <v>233</v>
      </c>
      <c r="DS16" s="10" t="s">
        <v>1554</v>
      </c>
      <c r="DT16" s="10" t="s">
        <v>1555</v>
      </c>
      <c r="DU16" s="10" t="s">
        <v>1556</v>
      </c>
      <c r="DV16" s="10" t="s">
        <v>1557</v>
      </c>
      <c r="DW16" s="10" t="s">
        <v>1558</v>
      </c>
      <c r="DX16" s="10" t="s">
        <v>122</v>
      </c>
      <c r="DY16" s="10" t="s">
        <v>123</v>
      </c>
      <c r="DZ16" s="10"/>
      <c r="EA16" s="10"/>
      <c r="EB16" s="10"/>
      <c r="EC16" s="10"/>
      <c r="ED16" s="10"/>
      <c r="EE16" s="10"/>
      <c r="EF16" s="10" t="s">
        <v>200</v>
      </c>
      <c r="EG16" s="10" t="s">
        <v>200</v>
      </c>
      <c r="EH16" s="10" t="s">
        <v>198</v>
      </c>
      <c r="EI16" s="10"/>
      <c r="EJ16" s="10"/>
      <c r="EK16" s="10" t="s">
        <v>209</v>
      </c>
      <c r="EL16" s="10"/>
      <c r="EM16" s="10" t="s">
        <v>228</v>
      </c>
      <c r="EN16" s="10" t="s">
        <v>203</v>
      </c>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t="s">
        <v>1559</v>
      </c>
      <c r="GI16" s="10"/>
      <c r="GJ16" s="10"/>
      <c r="GK16" s="10" t="s">
        <v>152</v>
      </c>
      <c r="GL16" s="10"/>
      <c r="GM16" s="10"/>
      <c r="GN16" s="10" t="s">
        <v>155</v>
      </c>
      <c r="GO16" s="10" t="s">
        <v>156</v>
      </c>
      <c r="GP16" s="10"/>
      <c r="GQ16" s="10"/>
      <c r="GR16" s="10" t="s">
        <v>159</v>
      </c>
      <c r="GS16" s="10"/>
      <c r="GT16" s="10"/>
      <c r="GU16" s="10"/>
      <c r="GV16" s="10"/>
      <c r="GW16" s="10" t="s">
        <v>1560</v>
      </c>
      <c r="GX16" s="10"/>
      <c r="GY16" s="10" t="s">
        <v>1561</v>
      </c>
      <c r="GZ16" s="10" t="s">
        <v>1562</v>
      </c>
      <c r="HA16" s="10" t="s">
        <v>1563</v>
      </c>
      <c r="HB16" s="10" t="s">
        <v>1564</v>
      </c>
    </row>
    <row r="17" spans="1:216" x14ac:dyDescent="0.25">
      <c r="A17" s="10">
        <v>10472012947</v>
      </c>
      <c r="B17" s="10">
        <v>223959985</v>
      </c>
      <c r="C17" s="11">
        <v>43482.411377314813</v>
      </c>
      <c r="D17" s="11">
        <v>43482.536041666674</v>
      </c>
      <c r="E17" s="10" t="s">
        <v>904</v>
      </c>
      <c r="F17" s="10"/>
      <c r="G17" s="10"/>
      <c r="H17" s="10"/>
      <c r="I17" s="10"/>
      <c r="J17" s="10" t="s">
        <v>215</v>
      </c>
      <c r="K17" s="10"/>
      <c r="L17" s="10">
        <v>3000</v>
      </c>
      <c r="M17" s="10">
        <v>75</v>
      </c>
      <c r="N17" s="10">
        <v>25</v>
      </c>
      <c r="O17" s="10">
        <v>0</v>
      </c>
      <c r="P17" s="10">
        <v>0</v>
      </c>
      <c r="Q17" s="10">
        <v>0</v>
      </c>
      <c r="R17" s="10">
        <v>0</v>
      </c>
      <c r="S17" s="10" t="s">
        <v>1457</v>
      </c>
      <c r="T17" s="10" t="s">
        <v>1565</v>
      </c>
      <c r="U17" s="10" t="s">
        <v>166</v>
      </c>
      <c r="V17" s="10" t="s">
        <v>1420</v>
      </c>
      <c r="W17" s="10"/>
      <c r="X17" s="10" t="s">
        <v>238</v>
      </c>
      <c r="Y17" s="10"/>
      <c r="Z17" s="10" t="s">
        <v>263</v>
      </c>
      <c r="AA17" s="10"/>
      <c r="AB17" s="10" t="s">
        <v>1566</v>
      </c>
      <c r="AC17" s="10" t="s">
        <v>1567</v>
      </c>
      <c r="AD17" s="10" t="s">
        <v>1568</v>
      </c>
      <c r="AE17" s="10" t="s">
        <v>1569</v>
      </c>
      <c r="AF17" s="10" t="s">
        <v>1570</v>
      </c>
      <c r="AG17" s="10"/>
      <c r="AH17" s="10" t="s">
        <v>403</v>
      </c>
      <c r="AI17" s="10" t="s">
        <v>403</v>
      </c>
      <c r="AJ17" s="10" t="s">
        <v>403</v>
      </c>
      <c r="AK17" s="10" t="s">
        <v>403</v>
      </c>
      <c r="AL17" s="10"/>
      <c r="AM17" s="10" t="s">
        <v>178</v>
      </c>
      <c r="AN17" s="10"/>
      <c r="AO17" s="10"/>
      <c r="AP17" s="10"/>
      <c r="AQ17" s="10"/>
      <c r="AR17" s="10"/>
      <c r="AS17" s="10"/>
      <c r="AT17" s="10"/>
      <c r="AU17" s="10"/>
      <c r="AV17" s="10" t="s">
        <v>1571</v>
      </c>
      <c r="AW17" s="10" t="s">
        <v>1572</v>
      </c>
      <c r="AX17" s="10"/>
      <c r="AY17" s="10"/>
      <c r="AZ17" s="10"/>
      <c r="BA17" s="10"/>
      <c r="BB17" s="10"/>
      <c r="BC17" s="10"/>
      <c r="BD17" s="10"/>
      <c r="BE17" s="10"/>
      <c r="BF17" s="10"/>
      <c r="BG17" s="10"/>
      <c r="BH17" s="10"/>
      <c r="BI17" s="10"/>
      <c r="BJ17" s="10"/>
      <c r="BK17" s="10"/>
      <c r="BL17" s="10" t="s">
        <v>1573</v>
      </c>
      <c r="BM17" s="10"/>
      <c r="BN17" s="10"/>
      <c r="BO17" s="10"/>
      <c r="BP17" s="10"/>
      <c r="BQ17" s="10"/>
      <c r="BR17" s="10"/>
      <c r="BS17" s="10"/>
      <c r="BT17" s="10"/>
      <c r="BU17" s="10"/>
      <c r="BV17" s="10" t="s">
        <v>1574</v>
      </c>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t="s">
        <v>1575</v>
      </c>
      <c r="CV17" s="10" t="s">
        <v>1576</v>
      </c>
      <c r="CW17" s="10" t="s">
        <v>1577</v>
      </c>
      <c r="CX17" s="10" t="s">
        <v>1578</v>
      </c>
      <c r="CY17" s="10" t="s">
        <v>114</v>
      </c>
      <c r="CZ17" s="10"/>
      <c r="DA17" s="10"/>
      <c r="DB17" s="10"/>
      <c r="DC17" s="10"/>
      <c r="DD17" s="10"/>
      <c r="DE17" s="10"/>
      <c r="DF17" s="10"/>
      <c r="DG17" s="10"/>
      <c r="DH17" s="10" t="s">
        <v>1579</v>
      </c>
      <c r="DI17" s="10" t="s">
        <v>198</v>
      </c>
      <c r="DJ17" s="10" t="s">
        <v>199</v>
      </c>
      <c r="DK17" s="10" t="s">
        <v>198</v>
      </c>
      <c r="DL17" s="10"/>
      <c r="DM17" s="10"/>
      <c r="DN17" s="10" t="s">
        <v>201</v>
      </c>
      <c r="DO17" s="10" t="s">
        <v>1580</v>
      </c>
      <c r="DP17" s="10" t="s">
        <v>202</v>
      </c>
      <c r="DQ17" s="10"/>
      <c r="DR17" s="10" t="s">
        <v>233</v>
      </c>
      <c r="DS17" s="10" t="s">
        <v>1581</v>
      </c>
      <c r="DT17" s="10" t="s">
        <v>1582</v>
      </c>
      <c r="DU17" s="10" t="s">
        <v>1583</v>
      </c>
      <c r="DV17" s="10"/>
      <c r="DW17" s="10"/>
      <c r="DX17" s="10"/>
      <c r="DY17" s="10" t="s">
        <v>123</v>
      </c>
      <c r="DZ17" s="10"/>
      <c r="EA17" s="10"/>
      <c r="EB17" s="10"/>
      <c r="EC17" s="10"/>
      <c r="ED17" s="10"/>
      <c r="EE17" s="10"/>
      <c r="EF17" s="10" t="s">
        <v>198</v>
      </c>
      <c r="EG17" s="10" t="s">
        <v>199</v>
      </c>
      <c r="EH17" s="10" t="s">
        <v>198</v>
      </c>
      <c r="EI17" s="10"/>
      <c r="EJ17" s="10"/>
      <c r="EK17" s="10" t="s">
        <v>209</v>
      </c>
      <c r="EL17" s="10"/>
      <c r="EM17" s="10" t="s">
        <v>228</v>
      </c>
      <c r="EN17" s="10" t="s">
        <v>433</v>
      </c>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t="s">
        <v>1584</v>
      </c>
      <c r="GI17" s="10"/>
      <c r="GJ17" s="10" t="s">
        <v>151</v>
      </c>
      <c r="GK17" s="10"/>
      <c r="GL17" s="10"/>
      <c r="GM17" s="10"/>
      <c r="GN17" s="10"/>
      <c r="GO17" s="10"/>
      <c r="GP17" s="10"/>
      <c r="GQ17" s="10"/>
      <c r="GR17" s="10"/>
      <c r="GS17" s="10"/>
      <c r="GT17" s="10"/>
      <c r="GU17" s="10"/>
      <c r="GV17" s="10"/>
      <c r="GW17" s="10" t="s">
        <v>1585</v>
      </c>
      <c r="GX17" s="10"/>
      <c r="GY17" s="10" t="s">
        <v>1586</v>
      </c>
      <c r="GZ17" s="10" t="s">
        <v>1587</v>
      </c>
      <c r="HA17" s="10" t="s">
        <v>1588</v>
      </c>
      <c r="HB17" s="10">
        <v>407329019</v>
      </c>
    </row>
    <row r="18" spans="1:216" x14ac:dyDescent="0.25">
      <c r="A18" s="10">
        <v>10471946749</v>
      </c>
      <c r="B18" s="10">
        <v>223959985</v>
      </c>
      <c r="C18" s="11">
        <v>43482.488645833328</v>
      </c>
      <c r="D18" s="11">
        <v>43482.573761574073</v>
      </c>
      <c r="E18" s="10" t="s">
        <v>904</v>
      </c>
      <c r="F18" s="10"/>
      <c r="G18" s="10"/>
      <c r="H18" s="10"/>
      <c r="I18" s="10"/>
      <c r="J18" s="10" t="s">
        <v>260</v>
      </c>
      <c r="K18" s="10"/>
      <c r="L18" s="10">
        <v>2000</v>
      </c>
      <c r="M18" s="10">
        <v>75</v>
      </c>
      <c r="N18" s="10">
        <v>0</v>
      </c>
      <c r="O18" s="10">
        <v>25</v>
      </c>
      <c r="P18" s="10">
        <v>0</v>
      </c>
      <c r="Q18" s="10">
        <v>0</v>
      </c>
      <c r="R18" s="10">
        <v>0</v>
      </c>
      <c r="S18" s="10" t="s">
        <v>313</v>
      </c>
      <c r="T18" s="10" t="s">
        <v>1589</v>
      </c>
      <c r="U18" s="10" t="s">
        <v>312</v>
      </c>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t="s">
        <v>200</v>
      </c>
      <c r="FG18" s="10" t="s">
        <v>200</v>
      </c>
      <c r="FH18" s="10"/>
      <c r="FI18" s="10" t="s">
        <v>198</v>
      </c>
      <c r="FJ18" s="10" t="s">
        <v>198</v>
      </c>
      <c r="FK18" s="10" t="s">
        <v>198</v>
      </c>
      <c r="FL18" s="10" t="s">
        <v>200</v>
      </c>
      <c r="FM18" s="10" t="s">
        <v>200</v>
      </c>
      <c r="FN18" s="10" t="s">
        <v>198</v>
      </c>
      <c r="FO18" s="10" t="s">
        <v>198</v>
      </c>
      <c r="FP18" s="10"/>
      <c r="FQ18" s="10" t="s">
        <v>200</v>
      </c>
      <c r="FR18" s="10" t="s">
        <v>200</v>
      </c>
      <c r="FS18" s="10"/>
      <c r="FT18" s="10" t="s">
        <v>1490</v>
      </c>
      <c r="FU18" s="10" t="s">
        <v>1540</v>
      </c>
      <c r="FV18" s="10"/>
      <c r="FW18" s="10"/>
      <c r="FX18" s="10"/>
      <c r="FY18" s="10"/>
      <c r="FZ18" s="10" t="s">
        <v>1490</v>
      </c>
      <c r="GA18" s="10" t="s">
        <v>1540</v>
      </c>
      <c r="GB18" s="10"/>
      <c r="GC18" s="10"/>
      <c r="GD18" s="10"/>
      <c r="GE18" s="10"/>
      <c r="GF18" s="10"/>
      <c r="GG18" s="10"/>
      <c r="GH18" s="10" t="s">
        <v>1590</v>
      </c>
      <c r="GI18" s="10"/>
      <c r="GJ18" s="10"/>
      <c r="GK18" s="10"/>
      <c r="GL18" s="10"/>
      <c r="GM18" s="10"/>
      <c r="GN18" s="10" t="s">
        <v>155</v>
      </c>
      <c r="GO18" s="10" t="s">
        <v>156</v>
      </c>
      <c r="GP18" s="10"/>
      <c r="GQ18" s="10"/>
      <c r="GR18" s="10"/>
      <c r="GS18" s="10"/>
      <c r="GT18" s="10" t="s">
        <v>161</v>
      </c>
      <c r="GU18" s="10" t="s">
        <v>162</v>
      </c>
      <c r="GV18" s="10"/>
      <c r="GW18" s="10" t="s">
        <v>1591</v>
      </c>
      <c r="GX18" s="10"/>
      <c r="GY18" s="10" t="s">
        <v>1592</v>
      </c>
      <c r="GZ18" s="10" t="s">
        <v>1593</v>
      </c>
      <c r="HA18" s="10" t="s">
        <v>1594</v>
      </c>
      <c r="HB18" s="10" t="s">
        <v>1595</v>
      </c>
    </row>
    <row r="19" spans="1:216" x14ac:dyDescent="0.25">
      <c r="A19" s="10">
        <v>10471819176</v>
      </c>
      <c r="B19" s="10">
        <v>223959985</v>
      </c>
      <c r="C19" s="11">
        <v>43482.406192129631</v>
      </c>
      <c r="D19" s="11">
        <v>43482.465763888889</v>
      </c>
      <c r="E19" s="10" t="s">
        <v>904</v>
      </c>
      <c r="F19" s="10"/>
      <c r="G19" s="10"/>
      <c r="H19" s="10"/>
      <c r="I19" s="10"/>
      <c r="J19" s="10" t="s">
        <v>366</v>
      </c>
      <c r="K19" s="10"/>
      <c r="L19" s="10">
        <v>12000</v>
      </c>
      <c r="M19" s="10">
        <v>70</v>
      </c>
      <c r="N19" s="10">
        <v>10</v>
      </c>
      <c r="O19" s="10">
        <v>20</v>
      </c>
      <c r="P19" s="10">
        <v>0</v>
      </c>
      <c r="Q19" s="10">
        <v>0</v>
      </c>
      <c r="R19" s="10">
        <v>0</v>
      </c>
      <c r="S19" s="10" t="s">
        <v>322</v>
      </c>
      <c r="T19" s="10" t="s">
        <v>1596</v>
      </c>
      <c r="U19" s="10" t="s">
        <v>166</v>
      </c>
      <c r="V19" s="10" t="s">
        <v>1420</v>
      </c>
      <c r="W19" s="10"/>
      <c r="X19" s="10" t="s">
        <v>167</v>
      </c>
      <c r="Y19" s="10"/>
      <c r="Z19" s="10" t="s">
        <v>167</v>
      </c>
      <c r="AA19" s="10"/>
      <c r="AB19" s="10" t="s">
        <v>1597</v>
      </c>
      <c r="AC19" s="10" t="s">
        <v>1501</v>
      </c>
      <c r="AD19" s="10" t="s">
        <v>1598</v>
      </c>
      <c r="AE19" s="10" t="s">
        <v>1599</v>
      </c>
      <c r="AF19" s="10" t="s">
        <v>1600</v>
      </c>
      <c r="AG19" s="10" t="s">
        <v>1601</v>
      </c>
      <c r="AH19" s="10" t="s">
        <v>403</v>
      </c>
      <c r="AI19" s="10" t="s">
        <v>403</v>
      </c>
      <c r="AJ19" s="10" t="s">
        <v>403</v>
      </c>
      <c r="AK19" s="10" t="s">
        <v>403</v>
      </c>
      <c r="AL19" s="10"/>
      <c r="AM19" s="10" t="s">
        <v>402</v>
      </c>
      <c r="AN19" s="10">
        <v>1</v>
      </c>
      <c r="AO19" s="10" t="s">
        <v>223</v>
      </c>
      <c r="AP19" s="10"/>
      <c r="AQ19" s="10"/>
      <c r="AR19" s="10"/>
      <c r="AS19" s="10"/>
      <c r="AT19" s="10"/>
      <c r="AU19" s="10"/>
      <c r="AV19" s="10"/>
      <c r="AW19" s="10" t="s">
        <v>679</v>
      </c>
      <c r="AX19" s="10">
        <v>1</v>
      </c>
      <c r="AY19" s="10" t="s">
        <v>223</v>
      </c>
      <c r="AZ19" s="10"/>
      <c r="BA19" s="10"/>
      <c r="BB19" s="10"/>
      <c r="BC19" s="10"/>
      <c r="BD19" s="10"/>
      <c r="BE19" s="10"/>
      <c r="BF19" s="10"/>
      <c r="BG19" s="10"/>
      <c r="BH19" s="10"/>
      <c r="BI19" s="10"/>
      <c r="BJ19" s="10"/>
      <c r="BK19" s="10"/>
      <c r="BL19" s="10"/>
      <c r="BM19" s="10"/>
      <c r="BN19" s="10"/>
      <c r="BO19" s="10"/>
      <c r="BP19" s="10"/>
      <c r="BQ19" s="10"/>
      <c r="BR19" s="10"/>
      <c r="BS19" s="10"/>
      <c r="BT19" s="10"/>
      <c r="BU19" s="10"/>
      <c r="BV19" s="10" t="s">
        <v>1602</v>
      </c>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t="s">
        <v>1602</v>
      </c>
      <c r="CV19" s="10" t="s">
        <v>1603</v>
      </c>
      <c r="CW19" s="10" t="s">
        <v>1604</v>
      </c>
      <c r="CX19" s="10" t="s">
        <v>1605</v>
      </c>
      <c r="CY19" s="10" t="s">
        <v>116</v>
      </c>
      <c r="CZ19" s="10"/>
      <c r="DA19" s="10"/>
      <c r="DB19" s="10"/>
      <c r="DC19" s="10"/>
      <c r="DD19" s="10"/>
      <c r="DE19" s="10"/>
      <c r="DF19" s="10"/>
      <c r="DG19" s="10" t="s">
        <v>116</v>
      </c>
      <c r="DH19" s="10"/>
      <c r="DI19" s="10" t="s">
        <v>199</v>
      </c>
      <c r="DJ19" s="10" t="s">
        <v>424</v>
      </c>
      <c r="DK19" s="10" t="s">
        <v>198</v>
      </c>
      <c r="DL19" s="10"/>
      <c r="DM19" s="10" t="s">
        <v>1606</v>
      </c>
      <c r="DN19" s="10" t="s">
        <v>1451</v>
      </c>
      <c r="DO19" s="10"/>
      <c r="DP19" s="10" t="s">
        <v>202</v>
      </c>
      <c r="DQ19" s="10"/>
      <c r="DR19" s="10" t="s">
        <v>233</v>
      </c>
      <c r="DS19" s="10"/>
      <c r="DT19" s="10" t="s">
        <v>1607</v>
      </c>
      <c r="DU19" s="10"/>
      <c r="DV19" s="10"/>
      <c r="DW19" s="10"/>
      <c r="DX19" s="10"/>
      <c r="DY19" s="10"/>
      <c r="DZ19" s="10"/>
      <c r="EA19" s="10"/>
      <c r="EB19" s="10"/>
      <c r="EC19" s="10"/>
      <c r="ED19" s="10" t="s">
        <v>127</v>
      </c>
      <c r="EE19" s="10"/>
      <c r="EF19" s="10" t="s">
        <v>198</v>
      </c>
      <c r="EG19" s="10" t="s">
        <v>200</v>
      </c>
      <c r="EH19" s="10" t="s">
        <v>198</v>
      </c>
      <c r="EI19" s="10"/>
      <c r="EJ19" s="10"/>
      <c r="EK19" s="10">
        <v>0</v>
      </c>
      <c r="EL19" s="10"/>
      <c r="EM19" s="10" t="s">
        <v>228</v>
      </c>
      <c r="EN19" s="10" t="s">
        <v>233</v>
      </c>
      <c r="EO19" s="10"/>
      <c r="EP19" s="10"/>
      <c r="EQ19" s="10"/>
      <c r="ER19" s="10"/>
      <c r="ES19" s="10"/>
      <c r="ET19" s="10"/>
      <c r="EU19" s="10"/>
      <c r="EV19" s="10"/>
      <c r="EW19" s="10"/>
      <c r="EX19" s="10"/>
      <c r="EY19" s="10"/>
      <c r="EZ19" s="10"/>
      <c r="FA19" s="10"/>
      <c r="FB19" s="10"/>
      <c r="FC19" s="10"/>
      <c r="FD19" s="10"/>
      <c r="FE19" s="10"/>
      <c r="FF19" s="10" t="s">
        <v>198</v>
      </c>
      <c r="FG19" s="10" t="s">
        <v>198</v>
      </c>
      <c r="FH19" s="10"/>
      <c r="FI19" s="10" t="s">
        <v>198</v>
      </c>
      <c r="FJ19" s="10" t="s">
        <v>198</v>
      </c>
      <c r="FK19" s="10" t="s">
        <v>200</v>
      </c>
      <c r="FL19" s="10" t="s">
        <v>200</v>
      </c>
      <c r="FM19" s="10" t="s">
        <v>200</v>
      </c>
      <c r="FN19" s="10" t="s">
        <v>198</v>
      </c>
      <c r="FO19" s="10" t="s">
        <v>424</v>
      </c>
      <c r="FP19" s="10"/>
      <c r="FQ19" s="10" t="s">
        <v>198</v>
      </c>
      <c r="FR19" s="10" t="s">
        <v>424</v>
      </c>
      <c r="FS19" s="10"/>
      <c r="FT19" s="10"/>
      <c r="FU19" s="10"/>
      <c r="FV19" s="10"/>
      <c r="FW19" s="10"/>
      <c r="FX19" s="10"/>
      <c r="FY19" s="10"/>
      <c r="FZ19" s="10"/>
      <c r="GA19" s="10"/>
      <c r="GB19" s="10"/>
      <c r="GC19" s="10"/>
      <c r="GD19" s="10" t="s">
        <v>1608</v>
      </c>
      <c r="GE19" s="10"/>
      <c r="GF19" s="10" t="s">
        <v>1609</v>
      </c>
      <c r="GG19" s="10" t="s">
        <v>1610</v>
      </c>
      <c r="GH19" s="10" t="s">
        <v>1611</v>
      </c>
      <c r="GI19" s="10"/>
      <c r="GJ19" s="10" t="s">
        <v>151</v>
      </c>
      <c r="GK19" s="10"/>
      <c r="GL19" s="10"/>
      <c r="GM19" s="10"/>
      <c r="GN19" s="10" t="s">
        <v>155</v>
      </c>
      <c r="GO19" s="10" t="s">
        <v>156</v>
      </c>
      <c r="GP19" s="10"/>
      <c r="GQ19" s="10"/>
      <c r="GR19" s="10"/>
      <c r="GS19" s="10"/>
      <c r="GT19" s="10"/>
      <c r="GU19" s="10" t="s">
        <v>162</v>
      </c>
      <c r="GV19" s="10" t="s">
        <v>1612</v>
      </c>
      <c r="GW19" s="10" t="s">
        <v>1613</v>
      </c>
      <c r="GX19" s="10"/>
      <c r="GY19" s="10" t="s">
        <v>1614</v>
      </c>
      <c r="GZ19" s="10" t="s">
        <v>258</v>
      </c>
      <c r="HA19" s="10" t="s">
        <v>1615</v>
      </c>
      <c r="HB19" s="10" t="s">
        <v>1616</v>
      </c>
    </row>
    <row r="20" spans="1:216" x14ac:dyDescent="0.25">
      <c r="A20">
        <v>10656132316</v>
      </c>
      <c r="B20">
        <v>224510252</v>
      </c>
      <c r="C20" s="2">
        <v>43566.479953703703</v>
      </c>
      <c r="D20" s="2">
        <v>43566.494062500002</v>
      </c>
      <c r="E20" t="s">
        <v>163</v>
      </c>
      <c r="J20" t="s">
        <v>310</v>
      </c>
      <c r="L20" t="s">
        <v>1617</v>
      </c>
      <c r="M20">
        <v>70</v>
      </c>
      <c r="N20">
        <v>20</v>
      </c>
      <c r="O20">
        <v>10</v>
      </c>
      <c r="P20">
        <v>0</v>
      </c>
      <c r="Q20">
        <v>0</v>
      </c>
      <c r="R20">
        <v>0</v>
      </c>
      <c r="S20" t="s">
        <v>216</v>
      </c>
      <c r="T20" t="s">
        <v>1618</v>
      </c>
      <c r="U20" t="s">
        <v>166</v>
      </c>
      <c r="V20" t="s">
        <v>1499</v>
      </c>
      <c r="X20" t="s">
        <v>263</v>
      </c>
      <c r="Z20" t="s">
        <v>263</v>
      </c>
      <c r="AB20" t="s">
        <v>1619</v>
      </c>
      <c r="AC20" t="s">
        <v>1620</v>
      </c>
      <c r="AD20" t="s">
        <v>1621</v>
      </c>
      <c r="AE20" t="s">
        <v>1622</v>
      </c>
      <c r="AF20" t="s">
        <v>1623</v>
      </c>
      <c r="AH20" t="s">
        <v>403</v>
      </c>
      <c r="AI20" t="s">
        <v>403</v>
      </c>
      <c r="AJ20">
        <v>0</v>
      </c>
      <c r="AK20" t="s">
        <v>403</v>
      </c>
      <c r="AM20" t="s">
        <v>402</v>
      </c>
      <c r="AO20" t="s">
        <v>223</v>
      </c>
      <c r="AP20" t="s">
        <v>178</v>
      </c>
      <c r="AR20" t="s">
        <v>223</v>
      </c>
      <c r="AV20" t="s">
        <v>1624</v>
      </c>
      <c r="AW20" t="s">
        <v>182</v>
      </c>
      <c r="AY20" t="s">
        <v>223</v>
      </c>
      <c r="AZ20" t="s">
        <v>180</v>
      </c>
      <c r="BB20" t="s">
        <v>223</v>
      </c>
      <c r="BC20" t="s">
        <v>183</v>
      </c>
      <c r="BE20" t="s">
        <v>223</v>
      </c>
      <c r="BL20" t="s">
        <v>1625</v>
      </c>
      <c r="BM20" t="s">
        <v>184</v>
      </c>
      <c r="BW20" t="s">
        <v>186</v>
      </c>
      <c r="BZ20" t="s">
        <v>189</v>
      </c>
      <c r="CV20" t="s">
        <v>1626</v>
      </c>
      <c r="CZ20" t="s">
        <v>111</v>
      </c>
      <c r="DF20" t="s">
        <v>1627</v>
      </c>
      <c r="DN20" t="s">
        <v>1628</v>
      </c>
      <c r="DO20" t="s">
        <v>198</v>
      </c>
      <c r="DP20" t="s">
        <v>198</v>
      </c>
      <c r="DQ20" t="s">
        <v>198</v>
      </c>
      <c r="DR20" t="s">
        <v>198</v>
      </c>
      <c r="DT20" t="s">
        <v>201</v>
      </c>
      <c r="DV20" t="s">
        <v>228</v>
      </c>
      <c r="DX20" t="s">
        <v>233</v>
      </c>
      <c r="DY20" t="s">
        <v>1629</v>
      </c>
      <c r="DZ20" t="s">
        <v>1630</v>
      </c>
      <c r="EG20" t="s">
        <v>113</v>
      </c>
      <c r="EI20" t="s">
        <v>126</v>
      </c>
      <c r="EJ20" t="s">
        <v>127</v>
      </c>
      <c r="EL20" t="s">
        <v>198</v>
      </c>
      <c r="EM20" t="s">
        <v>198</v>
      </c>
      <c r="EN20" t="s">
        <v>200</v>
      </c>
      <c r="EO20" t="s">
        <v>200</v>
      </c>
      <c r="EP20" t="s">
        <v>1631</v>
      </c>
      <c r="EQ20">
        <v>0</v>
      </c>
      <c r="ES20" t="s">
        <v>202</v>
      </c>
      <c r="ET20" t="s">
        <v>433</v>
      </c>
      <c r="EU20" t="s">
        <v>1632</v>
      </c>
      <c r="GN20" t="s">
        <v>1633</v>
      </c>
      <c r="GP20" t="s">
        <v>151</v>
      </c>
      <c r="GY20" t="s">
        <v>160</v>
      </c>
      <c r="GZ20" t="s">
        <v>161</v>
      </c>
      <c r="HC20" t="s">
        <v>1634</v>
      </c>
      <c r="HE20" t="s">
        <v>1635</v>
      </c>
      <c r="HF20" t="s">
        <v>1636</v>
      </c>
      <c r="HH20" t="s">
        <v>1637</v>
      </c>
    </row>
    <row r="21" spans="1:216" x14ac:dyDescent="0.25">
      <c r="A21">
        <v>10647674065</v>
      </c>
      <c r="B21">
        <v>224510252</v>
      </c>
      <c r="C21" s="2">
        <v>43563.596655092602</v>
      </c>
      <c r="D21" s="2">
        <v>43563.609340277777</v>
      </c>
      <c r="E21" t="s">
        <v>163</v>
      </c>
      <c r="J21" t="s">
        <v>215</v>
      </c>
      <c r="L21" t="s">
        <v>1638</v>
      </c>
      <c r="M21">
        <v>70</v>
      </c>
      <c r="N21">
        <v>0</v>
      </c>
      <c r="O21">
        <v>30</v>
      </c>
      <c r="P21">
        <v>0</v>
      </c>
      <c r="Q21">
        <v>0</v>
      </c>
      <c r="R21">
        <v>0</v>
      </c>
      <c r="S21" t="s">
        <v>1457</v>
      </c>
      <c r="T21" t="s">
        <v>1639</v>
      </c>
      <c r="U21" t="s">
        <v>312</v>
      </c>
      <c r="FL21" t="s">
        <v>198</v>
      </c>
      <c r="FM21" t="s">
        <v>199</v>
      </c>
      <c r="FN21" t="s">
        <v>1640</v>
      </c>
      <c r="FO21" t="s">
        <v>198</v>
      </c>
      <c r="FP21" t="s">
        <v>198</v>
      </c>
      <c r="FQ21" t="s">
        <v>198</v>
      </c>
      <c r="FR21" t="s">
        <v>200</v>
      </c>
      <c r="FS21" t="s">
        <v>200</v>
      </c>
      <c r="FT21" t="s">
        <v>200</v>
      </c>
      <c r="FU21" t="s">
        <v>200</v>
      </c>
      <c r="FV21" t="s">
        <v>1641</v>
      </c>
      <c r="FW21" t="s">
        <v>198</v>
      </c>
      <c r="FX21" t="s">
        <v>199</v>
      </c>
      <c r="FZ21" t="s">
        <v>1490</v>
      </c>
      <c r="GB21" t="s">
        <v>772</v>
      </c>
      <c r="GC21" t="s">
        <v>1438</v>
      </c>
      <c r="GD21" t="s">
        <v>1608</v>
      </c>
      <c r="GF21" t="s">
        <v>1490</v>
      </c>
      <c r="GH21" t="s">
        <v>772</v>
      </c>
      <c r="GI21" t="s">
        <v>1438</v>
      </c>
      <c r="GJ21" t="s">
        <v>1608</v>
      </c>
      <c r="GL21" t="s">
        <v>1642</v>
      </c>
      <c r="GN21" t="s">
        <v>1643</v>
      </c>
      <c r="GT21" t="s">
        <v>155</v>
      </c>
      <c r="GV21" t="s">
        <v>157</v>
      </c>
      <c r="HC21" t="s">
        <v>1644</v>
      </c>
      <c r="HF21" t="s">
        <v>1645</v>
      </c>
      <c r="HH21" t="s">
        <v>1646</v>
      </c>
    </row>
    <row r="22" spans="1:216" x14ac:dyDescent="0.25">
      <c r="A22">
        <v>10647650652</v>
      </c>
      <c r="B22">
        <v>224510252</v>
      </c>
      <c r="C22" s="2">
        <v>43563.447685185187</v>
      </c>
      <c r="D22" s="2">
        <v>43563.586840277778</v>
      </c>
      <c r="E22" t="s">
        <v>163</v>
      </c>
      <c r="J22" t="s">
        <v>260</v>
      </c>
      <c r="L22">
        <v>2600</v>
      </c>
      <c r="M22">
        <v>75</v>
      </c>
      <c r="N22">
        <v>0</v>
      </c>
      <c r="O22">
        <v>5</v>
      </c>
      <c r="P22">
        <v>0</v>
      </c>
      <c r="Q22">
        <v>20</v>
      </c>
      <c r="R22">
        <v>0</v>
      </c>
      <c r="S22" t="s">
        <v>261</v>
      </c>
      <c r="T22" t="s">
        <v>905</v>
      </c>
      <c r="U22" t="s">
        <v>312</v>
      </c>
      <c r="FL22" t="s">
        <v>200</v>
      </c>
      <c r="FM22" t="s">
        <v>200</v>
      </c>
      <c r="FO22" t="s">
        <v>198</v>
      </c>
      <c r="FP22" t="s">
        <v>424</v>
      </c>
      <c r="FQ22" t="s">
        <v>198</v>
      </c>
      <c r="FR22" t="s">
        <v>199</v>
      </c>
      <c r="FS22" t="s">
        <v>199</v>
      </c>
      <c r="FT22" t="s">
        <v>198</v>
      </c>
      <c r="FU22" t="s">
        <v>198</v>
      </c>
      <c r="FW22" t="s">
        <v>200</v>
      </c>
      <c r="FX22" t="s">
        <v>198</v>
      </c>
      <c r="FZ22" t="s">
        <v>1490</v>
      </c>
      <c r="GA22" t="s">
        <v>1540</v>
      </c>
      <c r="GD22" t="s">
        <v>1608</v>
      </c>
      <c r="GF22" t="s">
        <v>1490</v>
      </c>
      <c r="GG22" t="s">
        <v>1540</v>
      </c>
      <c r="GH22" t="s">
        <v>772</v>
      </c>
      <c r="GI22" t="s">
        <v>1438</v>
      </c>
      <c r="GJ22" t="s">
        <v>1608</v>
      </c>
      <c r="GN22" t="s">
        <v>1647</v>
      </c>
      <c r="GP22" t="s">
        <v>151</v>
      </c>
      <c r="GZ22" t="s">
        <v>161</v>
      </c>
      <c r="HA22" t="s">
        <v>162</v>
      </c>
      <c r="HC22" t="s">
        <v>235</v>
      </c>
      <c r="HE22" t="s">
        <v>1648</v>
      </c>
      <c r="HF22" t="s">
        <v>1649</v>
      </c>
    </row>
    <row r="23" spans="1:216" x14ac:dyDescent="0.25">
      <c r="A23">
        <v>10647609012</v>
      </c>
      <c r="B23">
        <v>224510252</v>
      </c>
      <c r="C23" s="2">
        <v>43563.548391203702</v>
      </c>
      <c r="D23" s="2">
        <v>43563.555543981478</v>
      </c>
      <c r="E23" t="s">
        <v>163</v>
      </c>
      <c r="J23" t="s">
        <v>366</v>
      </c>
      <c r="L23">
        <v>1200</v>
      </c>
      <c r="M23">
        <v>50</v>
      </c>
      <c r="N23">
        <v>25</v>
      </c>
      <c r="O23">
        <v>25</v>
      </c>
      <c r="P23">
        <v>0</v>
      </c>
      <c r="Q23">
        <v>0</v>
      </c>
      <c r="R23">
        <v>0</v>
      </c>
      <c r="S23" t="s">
        <v>1457</v>
      </c>
      <c r="T23" t="s">
        <v>1650</v>
      </c>
      <c r="U23" t="s">
        <v>166</v>
      </c>
      <c r="V23" t="s">
        <v>1499</v>
      </c>
      <c r="X23" t="s">
        <v>238</v>
      </c>
      <c r="Z23" t="s">
        <v>238</v>
      </c>
      <c r="AB23" t="s">
        <v>1651</v>
      </c>
      <c r="AC23" t="s">
        <v>1652</v>
      </c>
      <c r="AD23" t="s">
        <v>1653</v>
      </c>
      <c r="AF23" t="s">
        <v>1654</v>
      </c>
      <c r="AH23" t="s">
        <v>405</v>
      </c>
      <c r="AI23" t="s">
        <v>405</v>
      </c>
      <c r="AJ23" t="s">
        <v>223</v>
      </c>
      <c r="AK23" t="s">
        <v>405</v>
      </c>
      <c r="AM23" t="s">
        <v>176</v>
      </c>
      <c r="AV23" t="s">
        <v>1655</v>
      </c>
      <c r="AW23" t="s">
        <v>182</v>
      </c>
      <c r="CV23" t="s">
        <v>1656</v>
      </c>
      <c r="CW23" t="s">
        <v>595</v>
      </c>
      <c r="CX23" t="s">
        <v>1657</v>
      </c>
      <c r="DF23" t="s">
        <v>1658</v>
      </c>
      <c r="DO23" t="s">
        <v>199</v>
      </c>
      <c r="DP23" t="s">
        <v>199</v>
      </c>
      <c r="DQ23" t="s">
        <v>198</v>
      </c>
      <c r="DR23" t="s">
        <v>198</v>
      </c>
      <c r="DT23" t="s">
        <v>201</v>
      </c>
      <c r="DV23" t="s">
        <v>228</v>
      </c>
      <c r="DW23" t="s">
        <v>1659</v>
      </c>
      <c r="DX23" t="s">
        <v>233</v>
      </c>
      <c r="DZ23" t="s">
        <v>1660</v>
      </c>
      <c r="GN23" t="s">
        <v>1661</v>
      </c>
      <c r="GP23" t="s">
        <v>151</v>
      </c>
      <c r="GV23" t="s">
        <v>157</v>
      </c>
      <c r="GX23" t="s">
        <v>159</v>
      </c>
      <c r="HC23" t="s">
        <v>1662</v>
      </c>
      <c r="HE23" t="s">
        <v>1663</v>
      </c>
      <c r="HF23" t="s">
        <v>1664</v>
      </c>
      <c r="HH23" t="s">
        <v>1665</v>
      </c>
    </row>
    <row r="24" spans="1:216" ht="14.25" customHeight="1" x14ac:dyDescent="0.25">
      <c r="A24">
        <v>10647559791</v>
      </c>
      <c r="B24">
        <v>224510252</v>
      </c>
      <c r="C24" s="2">
        <v>43563.500810185193</v>
      </c>
      <c r="D24" s="2">
        <v>43563.519479166673</v>
      </c>
      <c r="E24" t="s">
        <v>163</v>
      </c>
      <c r="J24" t="s">
        <v>366</v>
      </c>
      <c r="L24">
        <v>2500</v>
      </c>
      <c r="M24">
        <v>80</v>
      </c>
      <c r="N24">
        <v>10</v>
      </c>
      <c r="O24">
        <v>10</v>
      </c>
      <c r="P24">
        <v>0</v>
      </c>
      <c r="Q24">
        <v>0</v>
      </c>
      <c r="R24">
        <v>0</v>
      </c>
      <c r="S24" t="s">
        <v>216</v>
      </c>
      <c r="T24" t="s">
        <v>1666</v>
      </c>
      <c r="U24" t="s">
        <v>166</v>
      </c>
      <c r="V24" t="s">
        <v>1420</v>
      </c>
      <c r="X24" t="s">
        <v>238</v>
      </c>
      <c r="Z24" t="s">
        <v>238</v>
      </c>
      <c r="AB24" t="s">
        <v>1619</v>
      </c>
      <c r="AC24" t="s">
        <v>1667</v>
      </c>
      <c r="AE24" t="s">
        <v>1668</v>
      </c>
      <c r="AF24" t="s">
        <v>1669</v>
      </c>
      <c r="AH24" t="s">
        <v>223</v>
      </c>
      <c r="AI24" t="s">
        <v>223</v>
      </c>
      <c r="AJ24" t="s">
        <v>223</v>
      </c>
      <c r="AK24" t="s">
        <v>223</v>
      </c>
      <c r="AM24" t="s">
        <v>178</v>
      </c>
      <c r="AV24" t="s">
        <v>1670</v>
      </c>
      <c r="AW24" t="s">
        <v>182</v>
      </c>
      <c r="BL24" t="s">
        <v>1671</v>
      </c>
      <c r="CV24" t="s">
        <v>1672</v>
      </c>
      <c r="CW24" t="s">
        <v>1673</v>
      </c>
      <c r="CZ24" t="s">
        <v>111</v>
      </c>
      <c r="DH24" t="s">
        <v>111</v>
      </c>
      <c r="DO24" t="s">
        <v>198</v>
      </c>
      <c r="DP24" t="s">
        <v>199</v>
      </c>
      <c r="DQ24" t="s">
        <v>198</v>
      </c>
      <c r="DR24" t="s">
        <v>198</v>
      </c>
      <c r="DT24" t="s">
        <v>201</v>
      </c>
      <c r="DV24" t="s">
        <v>202</v>
      </c>
      <c r="DX24" t="s">
        <v>203</v>
      </c>
      <c r="DZ24" t="s">
        <v>1674</v>
      </c>
      <c r="GN24" t="s">
        <v>1675</v>
      </c>
      <c r="GO24" t="s">
        <v>150</v>
      </c>
      <c r="GR24" t="s">
        <v>153</v>
      </c>
      <c r="GT24" t="s">
        <v>155</v>
      </c>
      <c r="GZ24" t="s">
        <v>161</v>
      </c>
      <c r="HC24" t="s">
        <v>1676</v>
      </c>
      <c r="HE24" t="s">
        <v>1677</v>
      </c>
      <c r="HF24" t="s">
        <v>308</v>
      </c>
      <c r="HH24" t="s">
        <v>1678</v>
      </c>
    </row>
    <row r="25" spans="1:216" x14ac:dyDescent="0.25">
      <c r="A25">
        <v>10647501623</v>
      </c>
      <c r="B25">
        <v>224510252</v>
      </c>
      <c r="C25" s="2">
        <v>43563.46770833333</v>
      </c>
      <c r="D25" s="2">
        <v>43563.478414351863</v>
      </c>
      <c r="E25" t="s">
        <v>163</v>
      </c>
      <c r="J25" t="s">
        <v>315</v>
      </c>
      <c r="L25">
        <v>1500</v>
      </c>
      <c r="M25">
        <v>55</v>
      </c>
      <c r="N25">
        <v>30</v>
      </c>
      <c r="O25">
        <v>15</v>
      </c>
      <c r="P25">
        <v>0</v>
      </c>
      <c r="Q25">
        <v>0</v>
      </c>
      <c r="R25">
        <v>0</v>
      </c>
      <c r="S25" t="s">
        <v>1457</v>
      </c>
      <c r="T25" t="s">
        <v>1679</v>
      </c>
      <c r="U25" t="s">
        <v>166</v>
      </c>
      <c r="V25" t="s">
        <v>1420</v>
      </c>
      <c r="X25" t="s">
        <v>263</v>
      </c>
      <c r="Z25" t="s">
        <v>263</v>
      </c>
      <c r="AB25" t="s">
        <v>1680</v>
      </c>
      <c r="AF25" t="s">
        <v>1681</v>
      </c>
      <c r="AH25" t="s">
        <v>1682</v>
      </c>
      <c r="AI25" t="s">
        <v>1682</v>
      </c>
      <c r="AJ25" t="s">
        <v>1682</v>
      </c>
      <c r="AK25" t="s">
        <v>1683</v>
      </c>
      <c r="AM25" t="s">
        <v>178</v>
      </c>
      <c r="AP25" t="s">
        <v>176</v>
      </c>
      <c r="AW25" t="s">
        <v>182</v>
      </c>
      <c r="BW25" t="s">
        <v>186</v>
      </c>
      <c r="BZ25" t="s">
        <v>187</v>
      </c>
      <c r="CV25" t="s">
        <v>1684</v>
      </c>
      <c r="CW25" t="s">
        <v>1685</v>
      </c>
      <c r="CY25" t="s">
        <v>110</v>
      </c>
      <c r="DA25" t="s">
        <v>112</v>
      </c>
      <c r="DG25" t="s">
        <v>110</v>
      </c>
      <c r="DI25" t="s">
        <v>112</v>
      </c>
      <c r="DO25" t="s">
        <v>199</v>
      </c>
      <c r="DP25" t="s">
        <v>199</v>
      </c>
      <c r="DQ25" t="s">
        <v>198</v>
      </c>
      <c r="DR25" t="s">
        <v>198</v>
      </c>
      <c r="DS25" t="s">
        <v>1686</v>
      </c>
      <c r="DT25" t="s">
        <v>201</v>
      </c>
      <c r="DV25" t="s">
        <v>228</v>
      </c>
      <c r="DX25" t="s">
        <v>203</v>
      </c>
      <c r="DZ25" t="s">
        <v>1687</v>
      </c>
      <c r="EA25" t="s">
        <v>1688</v>
      </c>
      <c r="EK25" t="s">
        <v>1689</v>
      </c>
      <c r="EL25" t="s">
        <v>200</v>
      </c>
      <c r="EM25" t="s">
        <v>200</v>
      </c>
      <c r="EN25" t="s">
        <v>200</v>
      </c>
      <c r="EO25" t="s">
        <v>200</v>
      </c>
      <c r="EQ25" t="s">
        <v>209</v>
      </c>
      <c r="ES25" t="s">
        <v>202</v>
      </c>
      <c r="GN25" t="s">
        <v>1690</v>
      </c>
      <c r="GO25" t="s">
        <v>150</v>
      </c>
      <c r="GP25" t="s">
        <v>151</v>
      </c>
      <c r="GV25" t="s">
        <v>157</v>
      </c>
      <c r="GX25" t="s">
        <v>159</v>
      </c>
      <c r="HC25" t="s">
        <v>1691</v>
      </c>
      <c r="HE25" t="s">
        <v>1692</v>
      </c>
      <c r="HF25" t="s">
        <v>1693</v>
      </c>
      <c r="HH25" t="s">
        <v>1694</v>
      </c>
    </row>
    <row r="26" spans="1:216" x14ac:dyDescent="0.25">
      <c r="A26">
        <v>10647473749</v>
      </c>
      <c r="B26">
        <v>224510252</v>
      </c>
      <c r="C26" s="2">
        <v>43563.4528125</v>
      </c>
      <c r="D26" s="2">
        <v>43563.458171296297</v>
      </c>
      <c r="E26" t="s">
        <v>163</v>
      </c>
      <c r="J26" t="s">
        <v>366</v>
      </c>
      <c r="L26" t="s">
        <v>1695</v>
      </c>
      <c r="M26">
        <v>60</v>
      </c>
      <c r="N26">
        <v>30</v>
      </c>
      <c r="O26">
        <v>10</v>
      </c>
      <c r="P26">
        <v>0</v>
      </c>
      <c r="Q26">
        <v>0</v>
      </c>
      <c r="R26">
        <v>0</v>
      </c>
      <c r="S26" t="s">
        <v>330</v>
      </c>
      <c r="T26" t="s">
        <v>1696</v>
      </c>
      <c r="U26" t="s">
        <v>166</v>
      </c>
      <c r="V26" t="s">
        <v>1420</v>
      </c>
      <c r="X26" t="s">
        <v>263</v>
      </c>
      <c r="Z26" t="s">
        <v>238</v>
      </c>
      <c r="AB26" t="s">
        <v>1697</v>
      </c>
      <c r="AC26" t="s">
        <v>1698</v>
      </c>
      <c r="AD26" t="s">
        <v>1680</v>
      </c>
      <c r="AE26" t="s">
        <v>1699</v>
      </c>
      <c r="AF26" t="s">
        <v>1699</v>
      </c>
      <c r="AG26" t="s">
        <v>1700</v>
      </c>
      <c r="AH26" t="s">
        <v>403</v>
      </c>
      <c r="AI26" t="s">
        <v>403</v>
      </c>
      <c r="AJ26">
        <v>0</v>
      </c>
      <c r="AK26" t="s">
        <v>403</v>
      </c>
      <c r="AV26" t="s">
        <v>1701</v>
      </c>
      <c r="AW26" t="s">
        <v>182</v>
      </c>
      <c r="BL26" t="s">
        <v>968</v>
      </c>
      <c r="BW26" t="s">
        <v>191</v>
      </c>
      <c r="BZ26" t="s">
        <v>186</v>
      </c>
      <c r="CV26" t="s">
        <v>1702</v>
      </c>
      <c r="CW26" t="s">
        <v>1703</v>
      </c>
      <c r="CY26" t="s">
        <v>110</v>
      </c>
      <c r="CZ26" t="s">
        <v>111</v>
      </c>
      <c r="DF26" t="s">
        <v>1704</v>
      </c>
      <c r="DN26" t="s">
        <v>1705</v>
      </c>
      <c r="DO26" t="s">
        <v>199</v>
      </c>
      <c r="DP26" t="s">
        <v>200</v>
      </c>
      <c r="DQ26" t="s">
        <v>198</v>
      </c>
      <c r="DR26" t="s">
        <v>198</v>
      </c>
      <c r="DT26" t="s">
        <v>201</v>
      </c>
      <c r="DV26" t="s">
        <v>228</v>
      </c>
      <c r="DX26" t="s">
        <v>233</v>
      </c>
      <c r="DY26" t="s">
        <v>1706</v>
      </c>
      <c r="DZ26" t="s">
        <v>1707</v>
      </c>
      <c r="EI26" t="s">
        <v>126</v>
      </c>
      <c r="EJ26" t="s">
        <v>127</v>
      </c>
      <c r="EL26" t="s">
        <v>200</v>
      </c>
      <c r="EM26" t="s">
        <v>200</v>
      </c>
      <c r="EN26" t="s">
        <v>199</v>
      </c>
      <c r="EO26" t="s">
        <v>200</v>
      </c>
      <c r="EQ26">
        <v>0</v>
      </c>
      <c r="ES26" t="s">
        <v>202</v>
      </c>
      <c r="ET26" t="s">
        <v>203</v>
      </c>
      <c r="EU26" t="s">
        <v>1708</v>
      </c>
      <c r="GN26" t="s">
        <v>1709</v>
      </c>
      <c r="GO26" t="s">
        <v>150</v>
      </c>
      <c r="GP26" t="s">
        <v>151</v>
      </c>
      <c r="GT26" t="s">
        <v>155</v>
      </c>
      <c r="GV26" t="s">
        <v>157</v>
      </c>
      <c r="GZ26" t="s">
        <v>161</v>
      </c>
      <c r="HE26" t="s">
        <v>1710</v>
      </c>
      <c r="HF26" t="s">
        <v>1711</v>
      </c>
    </row>
    <row r="27" spans="1:216" x14ac:dyDescent="0.25">
      <c r="A27">
        <v>10640244373</v>
      </c>
      <c r="B27">
        <v>224510252</v>
      </c>
      <c r="C27" s="2">
        <v>43559.606793981482</v>
      </c>
      <c r="D27" s="2">
        <v>43559.636377314811</v>
      </c>
      <c r="E27" t="s">
        <v>163</v>
      </c>
      <c r="J27" t="s">
        <v>310</v>
      </c>
      <c r="L27">
        <v>650</v>
      </c>
      <c r="M27">
        <v>70</v>
      </c>
      <c r="N27">
        <v>10</v>
      </c>
      <c r="O27">
        <v>20</v>
      </c>
      <c r="P27">
        <v>0</v>
      </c>
      <c r="Q27">
        <v>0</v>
      </c>
      <c r="R27">
        <v>0</v>
      </c>
      <c r="S27" t="s">
        <v>261</v>
      </c>
      <c r="T27" t="s">
        <v>1712</v>
      </c>
      <c r="U27" t="s">
        <v>166</v>
      </c>
      <c r="V27" t="s">
        <v>1420</v>
      </c>
      <c r="X27" t="s">
        <v>263</v>
      </c>
      <c r="Z27" t="s">
        <v>263</v>
      </c>
      <c r="AB27" t="s">
        <v>1475</v>
      </c>
      <c r="AC27" t="s">
        <v>1697</v>
      </c>
      <c r="AD27" t="s">
        <v>1713</v>
      </c>
      <c r="AE27" t="s">
        <v>1714</v>
      </c>
      <c r="AF27" t="s">
        <v>1714</v>
      </c>
      <c r="AG27" t="s">
        <v>1714</v>
      </c>
      <c r="AH27" t="s">
        <v>403</v>
      </c>
      <c r="AI27" t="s">
        <v>403</v>
      </c>
      <c r="AJ27" t="s">
        <v>403</v>
      </c>
      <c r="AK27" t="s">
        <v>403</v>
      </c>
      <c r="AL27" t="s">
        <v>1715</v>
      </c>
      <c r="AW27" t="s">
        <v>182</v>
      </c>
      <c r="BM27" t="s">
        <v>184</v>
      </c>
      <c r="BW27" t="s">
        <v>186</v>
      </c>
      <c r="BZ27" t="s">
        <v>188</v>
      </c>
      <c r="CC27" t="s">
        <v>190</v>
      </c>
      <c r="CF27" t="s">
        <v>189</v>
      </c>
      <c r="CI27" t="s">
        <v>323</v>
      </c>
      <c r="CL27" t="s">
        <v>191</v>
      </c>
      <c r="CO27" t="s">
        <v>224</v>
      </c>
      <c r="CR27" t="s">
        <v>192</v>
      </c>
      <c r="CV27" t="s">
        <v>1716</v>
      </c>
      <c r="CW27" t="s">
        <v>1717</v>
      </c>
      <c r="CY27" t="s">
        <v>110</v>
      </c>
      <c r="CZ27" t="s">
        <v>111</v>
      </c>
      <c r="DA27" t="s">
        <v>112</v>
      </c>
      <c r="DD27" t="s">
        <v>115</v>
      </c>
      <c r="DG27" t="s">
        <v>110</v>
      </c>
      <c r="DH27" t="s">
        <v>111</v>
      </c>
      <c r="DI27" t="s">
        <v>112</v>
      </c>
      <c r="DL27" t="s">
        <v>115</v>
      </c>
      <c r="DO27" t="s">
        <v>198</v>
      </c>
      <c r="DP27" t="s">
        <v>198</v>
      </c>
      <c r="DQ27" t="s">
        <v>198</v>
      </c>
      <c r="DR27" t="s">
        <v>198</v>
      </c>
      <c r="DT27" t="s">
        <v>201</v>
      </c>
      <c r="DV27" t="s">
        <v>228</v>
      </c>
      <c r="DW27" t="s">
        <v>1718</v>
      </c>
      <c r="DX27" t="s">
        <v>203</v>
      </c>
      <c r="DZ27" t="s">
        <v>1719</v>
      </c>
      <c r="GN27" t="s">
        <v>1720</v>
      </c>
      <c r="GP27" t="s">
        <v>151</v>
      </c>
      <c r="GT27" t="s">
        <v>155</v>
      </c>
      <c r="HE27" t="s">
        <v>1721</v>
      </c>
      <c r="HF27" t="s">
        <v>1722</v>
      </c>
    </row>
    <row r="28" spans="1:216" x14ac:dyDescent="0.25">
      <c r="A28">
        <v>10640212604</v>
      </c>
      <c r="B28">
        <v>224510252</v>
      </c>
      <c r="C28" s="2">
        <v>43559.516030092593</v>
      </c>
      <c r="D28" s="2">
        <v>43559.613495370373</v>
      </c>
      <c r="E28" t="s">
        <v>163</v>
      </c>
      <c r="J28" t="s">
        <v>260</v>
      </c>
      <c r="L28">
        <v>2000</v>
      </c>
      <c r="M28">
        <v>80</v>
      </c>
      <c r="N28">
        <v>0</v>
      </c>
      <c r="O28">
        <v>0</v>
      </c>
      <c r="P28">
        <v>0</v>
      </c>
      <c r="Q28">
        <v>20</v>
      </c>
      <c r="R28">
        <v>0</v>
      </c>
      <c r="S28" t="s">
        <v>313</v>
      </c>
      <c r="T28" t="s">
        <v>905</v>
      </c>
      <c r="U28" t="s">
        <v>312</v>
      </c>
      <c r="FL28" t="s">
        <v>200</v>
      </c>
      <c r="FM28" t="s">
        <v>200</v>
      </c>
      <c r="FO28" t="s">
        <v>200</v>
      </c>
      <c r="FP28" t="s">
        <v>198</v>
      </c>
      <c r="FQ28" t="s">
        <v>200</v>
      </c>
      <c r="FR28" t="s">
        <v>200</v>
      </c>
      <c r="FS28" t="s">
        <v>199</v>
      </c>
      <c r="FT28" t="s">
        <v>198</v>
      </c>
      <c r="FU28" t="s">
        <v>198</v>
      </c>
      <c r="FW28" t="s">
        <v>200</v>
      </c>
      <c r="FX28" t="s">
        <v>198</v>
      </c>
      <c r="GB28" t="s">
        <v>772</v>
      </c>
      <c r="GC28" t="s">
        <v>1438</v>
      </c>
      <c r="GD28" t="s">
        <v>1608</v>
      </c>
      <c r="GH28" t="s">
        <v>772</v>
      </c>
      <c r="GI28" t="s">
        <v>1438</v>
      </c>
      <c r="GJ28" t="s">
        <v>1608</v>
      </c>
      <c r="GN28" t="s">
        <v>1723</v>
      </c>
      <c r="GP28" t="s">
        <v>151</v>
      </c>
      <c r="GT28" t="s">
        <v>155</v>
      </c>
      <c r="GZ28" t="s">
        <v>161</v>
      </c>
      <c r="HA28" t="s">
        <v>162</v>
      </c>
      <c r="HC28" t="s">
        <v>1724</v>
      </c>
      <c r="HE28" t="s">
        <v>1725</v>
      </c>
    </row>
    <row r="29" spans="1:216" x14ac:dyDescent="0.25">
      <c r="A29">
        <v>10640127025</v>
      </c>
      <c r="B29">
        <v>224510252</v>
      </c>
      <c r="C29" s="2">
        <v>43559.553078703713</v>
      </c>
      <c r="D29" s="2">
        <v>43559.573611111111</v>
      </c>
      <c r="E29" t="s">
        <v>163</v>
      </c>
      <c r="J29" t="s">
        <v>164</v>
      </c>
      <c r="L29">
        <v>1200</v>
      </c>
      <c r="M29">
        <v>80</v>
      </c>
      <c r="N29">
        <v>0</v>
      </c>
      <c r="O29">
        <v>0</v>
      </c>
      <c r="P29">
        <v>0</v>
      </c>
      <c r="Q29">
        <v>0</v>
      </c>
      <c r="R29">
        <v>0</v>
      </c>
      <c r="S29" t="s">
        <v>216</v>
      </c>
      <c r="T29" t="s">
        <v>1726</v>
      </c>
      <c r="U29" t="s">
        <v>166</v>
      </c>
      <c r="V29" t="s">
        <v>1420</v>
      </c>
      <c r="X29" t="s">
        <v>263</v>
      </c>
      <c r="Z29" t="s">
        <v>263</v>
      </c>
      <c r="AB29" t="s">
        <v>1727</v>
      </c>
      <c r="AC29" t="s">
        <v>1728</v>
      </c>
      <c r="AD29" t="s">
        <v>1729</v>
      </c>
      <c r="AF29" t="s">
        <v>1730</v>
      </c>
      <c r="AH29" t="s">
        <v>223</v>
      </c>
      <c r="AI29" t="s">
        <v>223</v>
      </c>
      <c r="AJ29" t="s">
        <v>223</v>
      </c>
      <c r="AK29" t="s">
        <v>223</v>
      </c>
      <c r="AM29" t="s">
        <v>178</v>
      </c>
      <c r="AW29" t="s">
        <v>182</v>
      </c>
      <c r="BM29" t="s">
        <v>184</v>
      </c>
      <c r="BW29" t="s">
        <v>191</v>
      </c>
      <c r="BZ29" t="s">
        <v>323</v>
      </c>
      <c r="CV29" t="s">
        <v>1731</v>
      </c>
      <c r="DF29" t="s">
        <v>1732</v>
      </c>
      <c r="DN29" t="s">
        <v>1733</v>
      </c>
      <c r="DO29" t="s">
        <v>199</v>
      </c>
      <c r="DP29" t="s">
        <v>199</v>
      </c>
      <c r="DQ29" t="s">
        <v>198</v>
      </c>
      <c r="DR29" t="s">
        <v>198</v>
      </c>
      <c r="DT29" t="s">
        <v>201</v>
      </c>
      <c r="DV29" t="s">
        <v>228</v>
      </c>
      <c r="DX29" t="s">
        <v>233</v>
      </c>
      <c r="DZ29" t="s">
        <v>1734</v>
      </c>
      <c r="EA29" t="s">
        <v>1735</v>
      </c>
      <c r="ED29" t="s">
        <v>122</v>
      </c>
      <c r="EE29" t="s">
        <v>123</v>
      </c>
      <c r="EL29" t="s">
        <v>198</v>
      </c>
      <c r="EM29" t="s">
        <v>199</v>
      </c>
      <c r="EN29" t="s">
        <v>198</v>
      </c>
      <c r="EO29" t="s">
        <v>198</v>
      </c>
      <c r="EQ29" t="s">
        <v>209</v>
      </c>
      <c r="ES29" t="s">
        <v>228</v>
      </c>
      <c r="ET29" t="s">
        <v>233</v>
      </c>
      <c r="GN29" t="s">
        <v>1736</v>
      </c>
      <c r="GP29" t="s">
        <v>151</v>
      </c>
      <c r="GQ29" t="s">
        <v>152</v>
      </c>
      <c r="GV29" t="s">
        <v>157</v>
      </c>
      <c r="HC29" t="s">
        <v>1737</v>
      </c>
      <c r="HE29" t="s">
        <v>1738</v>
      </c>
      <c r="HF29" t="s">
        <v>1711</v>
      </c>
      <c r="HH29" t="s">
        <v>1739</v>
      </c>
    </row>
    <row r="30" spans="1:216" x14ac:dyDescent="0.25">
      <c r="A30">
        <v>10640059086</v>
      </c>
      <c r="B30">
        <v>224510252</v>
      </c>
      <c r="C30" s="2">
        <v>43559.502997685187</v>
      </c>
      <c r="D30" s="2">
        <v>43559.522858796299</v>
      </c>
      <c r="E30" t="s">
        <v>163</v>
      </c>
      <c r="J30" t="s">
        <v>366</v>
      </c>
      <c r="L30">
        <v>2300</v>
      </c>
      <c r="M30">
        <v>70</v>
      </c>
      <c r="N30">
        <v>0</v>
      </c>
      <c r="O30">
        <v>20</v>
      </c>
      <c r="P30">
        <v>0</v>
      </c>
      <c r="Q30">
        <v>10</v>
      </c>
      <c r="R30">
        <v>0</v>
      </c>
      <c r="S30" t="s">
        <v>322</v>
      </c>
      <c r="T30" t="s">
        <v>1740</v>
      </c>
      <c r="U30" t="s">
        <v>166</v>
      </c>
      <c r="V30" t="s">
        <v>1459</v>
      </c>
      <c r="X30" t="s">
        <v>263</v>
      </c>
      <c r="Z30" t="s">
        <v>263</v>
      </c>
      <c r="AB30" t="s">
        <v>1741</v>
      </c>
      <c r="AF30" t="s">
        <v>1730</v>
      </c>
      <c r="AH30" t="s">
        <v>223</v>
      </c>
      <c r="AI30" t="s">
        <v>223</v>
      </c>
      <c r="AJ30" t="s">
        <v>223</v>
      </c>
      <c r="AK30" t="s">
        <v>223</v>
      </c>
      <c r="AM30" t="s">
        <v>178</v>
      </c>
      <c r="AV30" t="s">
        <v>1742</v>
      </c>
      <c r="AW30" t="s">
        <v>182</v>
      </c>
      <c r="CV30" t="s">
        <v>1743</v>
      </c>
      <c r="CW30" t="s">
        <v>1744</v>
      </c>
      <c r="DF30" t="s">
        <v>1745</v>
      </c>
      <c r="DG30" t="s">
        <v>110</v>
      </c>
      <c r="DO30" t="s">
        <v>199</v>
      </c>
      <c r="DP30" t="s">
        <v>199</v>
      </c>
      <c r="DQ30" t="s">
        <v>198</v>
      </c>
      <c r="DR30" t="s">
        <v>198</v>
      </c>
      <c r="DT30" t="s">
        <v>201</v>
      </c>
      <c r="DV30" t="s">
        <v>228</v>
      </c>
      <c r="DX30" t="s">
        <v>233</v>
      </c>
      <c r="DY30" t="s">
        <v>1746</v>
      </c>
      <c r="DZ30" t="s">
        <v>1747</v>
      </c>
      <c r="ED30" t="s">
        <v>122</v>
      </c>
      <c r="EE30" t="s">
        <v>123</v>
      </c>
      <c r="GN30" t="s">
        <v>1748</v>
      </c>
      <c r="GP30" t="s">
        <v>151</v>
      </c>
      <c r="GT30" t="s">
        <v>155</v>
      </c>
      <c r="HC30" t="s">
        <v>1749</v>
      </c>
      <c r="HE30" t="s">
        <v>1750</v>
      </c>
      <c r="HF30" t="s">
        <v>1751</v>
      </c>
      <c r="HH30" t="s">
        <v>1752</v>
      </c>
    </row>
    <row r="31" spans="1:216" x14ac:dyDescent="0.25">
      <c r="A31">
        <v>10639977069</v>
      </c>
      <c r="B31">
        <v>224510252</v>
      </c>
      <c r="C31" s="2">
        <v>43559.474803240737</v>
      </c>
      <c r="D31" s="2">
        <v>43559.481840277767</v>
      </c>
      <c r="E31" t="s">
        <v>163</v>
      </c>
      <c r="J31" t="s">
        <v>260</v>
      </c>
      <c r="L31">
        <v>50</v>
      </c>
      <c r="M31">
        <v>100</v>
      </c>
      <c r="N31">
        <v>0</v>
      </c>
      <c r="O31">
        <v>0</v>
      </c>
      <c r="P31">
        <v>0</v>
      </c>
      <c r="Q31">
        <v>0</v>
      </c>
      <c r="R31">
        <v>0</v>
      </c>
      <c r="S31" t="s">
        <v>401</v>
      </c>
      <c r="T31" t="s">
        <v>44</v>
      </c>
      <c r="U31" t="s">
        <v>312</v>
      </c>
      <c r="FL31" t="s">
        <v>200</v>
      </c>
      <c r="FM31" t="s">
        <v>199</v>
      </c>
      <c r="FO31" t="s">
        <v>200</v>
      </c>
      <c r="FP31" t="s">
        <v>198</v>
      </c>
      <c r="FQ31" t="s">
        <v>200</v>
      </c>
      <c r="FR31" t="s">
        <v>200</v>
      </c>
      <c r="FS31" t="s">
        <v>200</v>
      </c>
      <c r="FT31" t="s">
        <v>200</v>
      </c>
      <c r="FU31" t="s">
        <v>200</v>
      </c>
      <c r="FV31" t="s">
        <v>1753</v>
      </c>
      <c r="FW31" t="s">
        <v>200</v>
      </c>
      <c r="FX31" t="s">
        <v>199</v>
      </c>
      <c r="GL31" t="s">
        <v>1754</v>
      </c>
      <c r="GN31" t="s">
        <v>1755</v>
      </c>
      <c r="GO31" t="s">
        <v>150</v>
      </c>
      <c r="GP31" t="s">
        <v>151</v>
      </c>
      <c r="GU31" t="s">
        <v>156</v>
      </c>
      <c r="HC31" t="s">
        <v>313</v>
      </c>
      <c r="HE31" t="s">
        <v>653</v>
      </c>
      <c r="HF31" t="s">
        <v>1756</v>
      </c>
      <c r="HH31" t="s">
        <v>1757</v>
      </c>
    </row>
    <row r="32" spans="1:216" x14ac:dyDescent="0.25">
      <c r="A32">
        <v>10639943258</v>
      </c>
      <c r="B32">
        <v>224510252</v>
      </c>
      <c r="C32" s="2">
        <v>43559.459421296298</v>
      </c>
      <c r="D32" s="2">
        <v>43559.463576388887</v>
      </c>
      <c r="E32" t="s">
        <v>163</v>
      </c>
      <c r="J32" t="s">
        <v>310</v>
      </c>
      <c r="L32" t="s">
        <v>1758</v>
      </c>
      <c r="M32">
        <v>765</v>
      </c>
      <c r="N32">
        <v>25</v>
      </c>
      <c r="O32">
        <v>0</v>
      </c>
      <c r="P32">
        <v>0</v>
      </c>
      <c r="Q32">
        <v>0</v>
      </c>
      <c r="R32">
        <v>0</v>
      </c>
      <c r="S32" t="s">
        <v>322</v>
      </c>
      <c r="T32" t="s">
        <v>1208</v>
      </c>
      <c r="U32" t="s">
        <v>312</v>
      </c>
      <c r="FL32" t="s">
        <v>199</v>
      </c>
      <c r="FM32" t="s">
        <v>199</v>
      </c>
      <c r="FN32" t="s">
        <v>1759</v>
      </c>
      <c r="FO32" t="s">
        <v>424</v>
      </c>
      <c r="FP32" t="s">
        <v>424</v>
      </c>
      <c r="FQ32" t="s">
        <v>424</v>
      </c>
      <c r="FR32" t="s">
        <v>200</v>
      </c>
      <c r="FS32" t="s">
        <v>200</v>
      </c>
      <c r="FT32" t="s">
        <v>200</v>
      </c>
      <c r="FU32" t="s">
        <v>200</v>
      </c>
      <c r="FW32" t="s">
        <v>199</v>
      </c>
      <c r="FX32" t="s">
        <v>199</v>
      </c>
      <c r="FZ32" t="s">
        <v>1490</v>
      </c>
      <c r="GA32" t="s">
        <v>1540</v>
      </c>
      <c r="GF32" t="s">
        <v>1490</v>
      </c>
      <c r="GG32" t="s">
        <v>1540</v>
      </c>
      <c r="GL32" t="s">
        <v>1760</v>
      </c>
      <c r="GN32" t="s">
        <v>1761</v>
      </c>
      <c r="GT32" t="s">
        <v>155</v>
      </c>
      <c r="GY32" t="s">
        <v>160</v>
      </c>
      <c r="HA32" t="s">
        <v>162</v>
      </c>
      <c r="HB32" t="s">
        <v>1762</v>
      </c>
      <c r="HC32" t="s">
        <v>1763</v>
      </c>
      <c r="HE32" t="s">
        <v>1764</v>
      </c>
      <c r="HF32" t="s">
        <v>806</v>
      </c>
      <c r="HH32" t="s">
        <v>1765</v>
      </c>
    </row>
    <row r="33" spans="1:216" x14ac:dyDescent="0.25">
      <c r="A33">
        <v>10637330774</v>
      </c>
      <c r="B33">
        <v>224510252</v>
      </c>
      <c r="C33" s="2">
        <v>43558.591643518521</v>
      </c>
      <c r="D33" s="2">
        <v>43558.592824074083</v>
      </c>
      <c r="E33" t="s">
        <v>163</v>
      </c>
      <c r="J33" t="s">
        <v>366</v>
      </c>
      <c r="L33" t="s">
        <v>1766</v>
      </c>
      <c r="M33">
        <v>60</v>
      </c>
      <c r="N33">
        <v>20</v>
      </c>
      <c r="O33">
        <v>20</v>
      </c>
      <c r="P33">
        <v>0</v>
      </c>
      <c r="Q33">
        <v>0</v>
      </c>
      <c r="R33">
        <v>0</v>
      </c>
      <c r="S33" t="s">
        <v>494</v>
      </c>
      <c r="T33" t="s">
        <v>1767</v>
      </c>
      <c r="U33" t="s">
        <v>312</v>
      </c>
      <c r="FL33" t="s">
        <v>198</v>
      </c>
      <c r="FM33" t="s">
        <v>198</v>
      </c>
      <c r="FO33" t="s">
        <v>200</v>
      </c>
      <c r="FP33" t="s">
        <v>200</v>
      </c>
      <c r="FQ33" t="s">
        <v>200</v>
      </c>
      <c r="FR33" t="s">
        <v>200</v>
      </c>
      <c r="FS33" t="s">
        <v>200</v>
      </c>
      <c r="FT33" t="s">
        <v>200</v>
      </c>
      <c r="FU33" t="s">
        <v>200</v>
      </c>
      <c r="FV33" t="s">
        <v>1768</v>
      </c>
      <c r="FW33" t="s">
        <v>200</v>
      </c>
      <c r="FX33" t="s">
        <v>198</v>
      </c>
      <c r="FZ33" t="s">
        <v>1490</v>
      </c>
      <c r="GA33" t="s">
        <v>1540</v>
      </c>
      <c r="GF33" t="s">
        <v>1490</v>
      </c>
      <c r="GG33" t="s">
        <v>1540</v>
      </c>
    </row>
    <row r="34" spans="1:216" x14ac:dyDescent="0.25">
      <c r="A34">
        <v>10637309319</v>
      </c>
      <c r="B34">
        <v>224510252</v>
      </c>
      <c r="C34" s="2">
        <v>43558.57539351852</v>
      </c>
      <c r="D34" s="2">
        <v>43558.584722222222</v>
      </c>
      <c r="E34" t="s">
        <v>163</v>
      </c>
      <c r="J34" t="s">
        <v>366</v>
      </c>
      <c r="L34">
        <v>2200</v>
      </c>
      <c r="M34">
        <v>50</v>
      </c>
      <c r="N34">
        <v>25</v>
      </c>
      <c r="O34">
        <v>25</v>
      </c>
      <c r="P34">
        <v>0</v>
      </c>
      <c r="Q34">
        <v>0</v>
      </c>
      <c r="R34">
        <v>0</v>
      </c>
      <c r="S34" t="s">
        <v>1457</v>
      </c>
      <c r="T34" t="s">
        <v>1769</v>
      </c>
      <c r="U34" t="s">
        <v>166</v>
      </c>
      <c r="V34" t="s">
        <v>1420</v>
      </c>
      <c r="X34" t="s">
        <v>238</v>
      </c>
      <c r="Z34" t="s">
        <v>238</v>
      </c>
      <c r="AB34" t="s">
        <v>171</v>
      </c>
      <c r="AC34" t="s">
        <v>1475</v>
      </c>
      <c r="AD34" t="s">
        <v>1770</v>
      </c>
      <c r="AE34" t="s">
        <v>1771</v>
      </c>
      <c r="AF34" t="s">
        <v>1772</v>
      </c>
      <c r="AH34" t="s">
        <v>223</v>
      </c>
      <c r="AI34" t="s">
        <v>223</v>
      </c>
      <c r="AJ34" t="s">
        <v>223</v>
      </c>
      <c r="AK34" t="s">
        <v>223</v>
      </c>
      <c r="AM34" t="s">
        <v>178</v>
      </c>
      <c r="AW34" t="s">
        <v>182</v>
      </c>
      <c r="BL34" t="s">
        <v>1773</v>
      </c>
      <c r="BM34" t="s">
        <v>184</v>
      </c>
      <c r="BW34" t="s">
        <v>186</v>
      </c>
      <c r="BZ34" t="s">
        <v>191</v>
      </c>
      <c r="CV34" t="s">
        <v>1774</v>
      </c>
      <c r="CY34" t="s">
        <v>110</v>
      </c>
      <c r="DG34" t="s">
        <v>110</v>
      </c>
      <c r="DN34" t="s">
        <v>1775</v>
      </c>
      <c r="DO34" t="s">
        <v>199</v>
      </c>
      <c r="DP34" t="s">
        <v>199</v>
      </c>
      <c r="DQ34" t="s">
        <v>198</v>
      </c>
      <c r="DR34" t="s">
        <v>198</v>
      </c>
      <c r="DT34" t="s">
        <v>201</v>
      </c>
      <c r="DV34" t="s">
        <v>228</v>
      </c>
      <c r="DW34" t="s">
        <v>1776</v>
      </c>
      <c r="DX34" t="s">
        <v>203</v>
      </c>
      <c r="DZ34" t="s">
        <v>1777</v>
      </c>
      <c r="ED34" t="s">
        <v>122</v>
      </c>
      <c r="EK34" t="s">
        <v>1778</v>
      </c>
      <c r="EL34" t="s">
        <v>200</v>
      </c>
      <c r="EM34" t="s">
        <v>200</v>
      </c>
      <c r="EN34" t="s">
        <v>200</v>
      </c>
      <c r="EO34" t="s">
        <v>200</v>
      </c>
      <c r="ES34" t="s">
        <v>202</v>
      </c>
      <c r="ET34" t="s">
        <v>203</v>
      </c>
      <c r="GN34" t="s">
        <v>1779</v>
      </c>
      <c r="GP34" t="s">
        <v>151</v>
      </c>
      <c r="GQ34" t="s">
        <v>152</v>
      </c>
      <c r="GT34" t="s">
        <v>155</v>
      </c>
      <c r="HE34" t="s">
        <v>1780</v>
      </c>
      <c r="HF34" t="s">
        <v>1781</v>
      </c>
      <c r="HH34" t="s">
        <v>1782</v>
      </c>
    </row>
    <row r="35" spans="1:216" x14ac:dyDescent="0.25">
      <c r="A35">
        <v>10637306986</v>
      </c>
      <c r="B35">
        <v>224510252</v>
      </c>
      <c r="C35" s="2">
        <v>43558.574618055558</v>
      </c>
      <c r="D35" s="2">
        <v>43558.575300925928</v>
      </c>
      <c r="E35" t="s">
        <v>163</v>
      </c>
      <c r="J35" t="s">
        <v>366</v>
      </c>
      <c r="L35" t="s">
        <v>1766</v>
      </c>
      <c r="M35">
        <v>60</v>
      </c>
      <c r="N35">
        <v>20</v>
      </c>
      <c r="O35">
        <v>20</v>
      </c>
      <c r="P35">
        <v>0</v>
      </c>
      <c r="Q35">
        <v>0</v>
      </c>
      <c r="R35">
        <v>0</v>
      </c>
      <c r="S35" t="s">
        <v>494</v>
      </c>
      <c r="T35" t="s">
        <v>1767</v>
      </c>
      <c r="U35" t="s">
        <v>312</v>
      </c>
    </row>
    <row r="36" spans="1:216" x14ac:dyDescent="0.25">
      <c r="A36">
        <v>10637289803</v>
      </c>
      <c r="B36">
        <v>224510252</v>
      </c>
      <c r="C36" s="2">
        <v>43558.562361111108</v>
      </c>
      <c r="D36" s="2">
        <v>43558.566365740742</v>
      </c>
      <c r="E36" t="s">
        <v>163</v>
      </c>
      <c r="J36" t="s">
        <v>366</v>
      </c>
      <c r="L36">
        <v>590</v>
      </c>
      <c r="M36">
        <v>80</v>
      </c>
      <c r="N36">
        <v>10</v>
      </c>
      <c r="O36">
        <v>5</v>
      </c>
      <c r="P36">
        <v>5</v>
      </c>
      <c r="Q36">
        <v>0</v>
      </c>
      <c r="R36">
        <v>0</v>
      </c>
      <c r="S36" t="s">
        <v>216</v>
      </c>
      <c r="T36" t="s">
        <v>905</v>
      </c>
      <c r="U36" t="s">
        <v>312</v>
      </c>
      <c r="FL36" t="s">
        <v>198</v>
      </c>
      <c r="FM36" t="s">
        <v>199</v>
      </c>
      <c r="FN36" t="s">
        <v>1783</v>
      </c>
      <c r="FO36" t="s">
        <v>200</v>
      </c>
      <c r="FP36" t="s">
        <v>198</v>
      </c>
      <c r="FQ36" t="s">
        <v>200</v>
      </c>
      <c r="FR36" t="s">
        <v>198</v>
      </c>
      <c r="FS36" t="s">
        <v>200</v>
      </c>
      <c r="FT36" t="s">
        <v>198</v>
      </c>
      <c r="FU36" t="s">
        <v>198</v>
      </c>
      <c r="FV36" t="s">
        <v>1784</v>
      </c>
      <c r="FW36" t="s">
        <v>198</v>
      </c>
      <c r="FX36" t="s">
        <v>198</v>
      </c>
      <c r="FZ36" t="s">
        <v>1490</v>
      </c>
      <c r="GA36" t="s">
        <v>1540</v>
      </c>
      <c r="GB36" t="s">
        <v>772</v>
      </c>
      <c r="GC36" t="s">
        <v>1438</v>
      </c>
      <c r="GD36" t="s">
        <v>1608</v>
      </c>
      <c r="GF36" t="s">
        <v>1490</v>
      </c>
      <c r="GG36" t="s">
        <v>1540</v>
      </c>
      <c r="GH36" t="s">
        <v>772</v>
      </c>
      <c r="GI36" t="s">
        <v>1438</v>
      </c>
      <c r="GJ36" t="s">
        <v>1608</v>
      </c>
      <c r="GN36" t="s">
        <v>1785</v>
      </c>
      <c r="GP36" t="s">
        <v>151</v>
      </c>
      <c r="GQ36" t="s">
        <v>152</v>
      </c>
      <c r="GT36" t="s">
        <v>155</v>
      </c>
      <c r="GV36" t="s">
        <v>157</v>
      </c>
      <c r="HC36" t="s">
        <v>1786</v>
      </c>
    </row>
    <row r="37" spans="1:216" x14ac:dyDescent="0.25">
      <c r="A37">
        <v>10637269306</v>
      </c>
      <c r="B37">
        <v>224510252</v>
      </c>
      <c r="C37" s="2">
        <v>43558.548194444447</v>
      </c>
      <c r="D37" s="2">
        <v>43558.561099537037</v>
      </c>
      <c r="E37" t="s">
        <v>163</v>
      </c>
      <c r="J37" t="s">
        <v>366</v>
      </c>
      <c r="L37">
        <v>1200</v>
      </c>
      <c r="M37">
        <v>80</v>
      </c>
      <c r="N37">
        <v>10</v>
      </c>
      <c r="O37">
        <v>5</v>
      </c>
      <c r="P37">
        <v>0</v>
      </c>
      <c r="Q37">
        <v>5</v>
      </c>
      <c r="R37">
        <v>0</v>
      </c>
      <c r="S37" t="s">
        <v>261</v>
      </c>
      <c r="T37" t="s">
        <v>1787</v>
      </c>
      <c r="U37" t="s">
        <v>166</v>
      </c>
      <c r="V37" t="s">
        <v>1499</v>
      </c>
      <c r="X37" t="s">
        <v>168</v>
      </c>
      <c r="Z37" t="s">
        <v>168</v>
      </c>
      <c r="AB37" t="s">
        <v>1788</v>
      </c>
      <c r="AC37" t="s">
        <v>1621</v>
      </c>
      <c r="AD37" t="s">
        <v>1789</v>
      </c>
      <c r="AF37" t="s">
        <v>1790</v>
      </c>
      <c r="AH37" t="s">
        <v>1683</v>
      </c>
      <c r="AI37" t="s">
        <v>1683</v>
      </c>
      <c r="AJ37" t="s">
        <v>1683</v>
      </c>
      <c r="AK37" t="s">
        <v>1683</v>
      </c>
      <c r="AM37" t="s">
        <v>178</v>
      </c>
      <c r="AW37" t="s">
        <v>182</v>
      </c>
      <c r="BM37" t="s">
        <v>184</v>
      </c>
      <c r="BW37" t="s">
        <v>186</v>
      </c>
      <c r="BZ37" t="s">
        <v>188</v>
      </c>
      <c r="CC37" t="s">
        <v>191</v>
      </c>
      <c r="CV37" t="s">
        <v>1791</v>
      </c>
      <c r="CZ37" t="s">
        <v>111</v>
      </c>
      <c r="DH37" t="s">
        <v>111</v>
      </c>
      <c r="DO37" t="s">
        <v>198</v>
      </c>
      <c r="DP37" t="s">
        <v>200</v>
      </c>
      <c r="DQ37" t="s">
        <v>198</v>
      </c>
      <c r="DR37" t="s">
        <v>198</v>
      </c>
      <c r="DT37" t="s">
        <v>201</v>
      </c>
      <c r="DV37" t="s">
        <v>254</v>
      </c>
      <c r="DX37" t="s">
        <v>203</v>
      </c>
      <c r="DY37" t="s">
        <v>1792</v>
      </c>
      <c r="DZ37" t="s">
        <v>1793</v>
      </c>
      <c r="GN37" t="s">
        <v>1794</v>
      </c>
      <c r="GQ37" t="s">
        <v>152</v>
      </c>
      <c r="GW37" t="s">
        <v>158</v>
      </c>
      <c r="GX37" t="s">
        <v>159</v>
      </c>
      <c r="HC37" t="s">
        <v>1795</v>
      </c>
      <c r="HE37" t="s">
        <v>1796</v>
      </c>
      <c r="HF37" t="s">
        <v>1797</v>
      </c>
      <c r="HH37" t="s">
        <v>1798</v>
      </c>
    </row>
    <row r="38" spans="1:216" x14ac:dyDescent="0.25">
      <c r="A38">
        <v>10637154285</v>
      </c>
      <c r="B38">
        <v>224510252</v>
      </c>
      <c r="C38" s="2">
        <v>43558.480775462973</v>
      </c>
      <c r="D38" s="2">
        <v>43558.498472222222</v>
      </c>
      <c r="E38" t="s">
        <v>163</v>
      </c>
      <c r="J38" t="s">
        <v>310</v>
      </c>
      <c r="L38">
        <v>340</v>
      </c>
      <c r="M38">
        <v>100</v>
      </c>
      <c r="N38">
        <v>0</v>
      </c>
      <c r="O38">
        <v>0</v>
      </c>
      <c r="P38">
        <v>0</v>
      </c>
      <c r="Q38">
        <v>0</v>
      </c>
      <c r="R38">
        <v>0</v>
      </c>
      <c r="S38" t="s">
        <v>322</v>
      </c>
      <c r="T38" t="s">
        <v>1799</v>
      </c>
      <c r="U38" t="s">
        <v>166</v>
      </c>
      <c r="V38" t="s">
        <v>1420</v>
      </c>
      <c r="X38" t="s">
        <v>263</v>
      </c>
      <c r="Z38" t="s">
        <v>263</v>
      </c>
      <c r="AB38" t="s">
        <v>1475</v>
      </c>
      <c r="AC38" t="s">
        <v>1800</v>
      </c>
      <c r="AE38" t="s">
        <v>1801</v>
      </c>
      <c r="AF38" t="s">
        <v>1802</v>
      </c>
      <c r="AH38" t="s">
        <v>223</v>
      </c>
      <c r="AI38" t="s">
        <v>223</v>
      </c>
      <c r="AJ38" t="s">
        <v>223</v>
      </c>
      <c r="AK38" t="s">
        <v>223</v>
      </c>
      <c r="AM38" t="s">
        <v>178</v>
      </c>
      <c r="AW38" t="s">
        <v>182</v>
      </c>
      <c r="CV38" t="s">
        <v>1803</v>
      </c>
      <c r="CW38" t="s">
        <v>1804</v>
      </c>
      <c r="CX38" t="s">
        <v>1805</v>
      </c>
      <c r="CZ38" t="s">
        <v>111</v>
      </c>
      <c r="DA38" t="s">
        <v>112</v>
      </c>
      <c r="DF38" t="s">
        <v>1806</v>
      </c>
      <c r="DG38" t="s">
        <v>110</v>
      </c>
      <c r="DH38" t="s">
        <v>111</v>
      </c>
      <c r="DN38" t="s">
        <v>1807</v>
      </c>
      <c r="DO38" t="s">
        <v>199</v>
      </c>
      <c r="DP38" t="s">
        <v>199</v>
      </c>
      <c r="DQ38" t="s">
        <v>198</v>
      </c>
      <c r="DR38" t="s">
        <v>198</v>
      </c>
      <c r="DS38" t="s">
        <v>1808</v>
      </c>
      <c r="DT38" t="s">
        <v>201</v>
      </c>
      <c r="DV38" t="s">
        <v>202</v>
      </c>
      <c r="DW38" t="s">
        <v>1809</v>
      </c>
      <c r="DX38" t="s">
        <v>203</v>
      </c>
      <c r="ED38" t="s">
        <v>122</v>
      </c>
      <c r="EE38" t="s">
        <v>123</v>
      </c>
      <c r="EG38" t="s">
        <v>113</v>
      </c>
      <c r="EL38" t="s">
        <v>200</v>
      </c>
      <c r="EM38" t="s">
        <v>200</v>
      </c>
      <c r="EN38" t="s">
        <v>200</v>
      </c>
      <c r="EO38" t="s">
        <v>200</v>
      </c>
      <c r="EP38" t="s">
        <v>1810</v>
      </c>
      <c r="EQ38">
        <v>0</v>
      </c>
      <c r="GN38" t="s">
        <v>1811</v>
      </c>
      <c r="GT38" t="s">
        <v>155</v>
      </c>
      <c r="GV38" t="s">
        <v>157</v>
      </c>
      <c r="HC38" t="s">
        <v>1812</v>
      </c>
      <c r="HE38" t="s">
        <v>1813</v>
      </c>
      <c r="HF38" t="s">
        <v>1814</v>
      </c>
      <c r="HH38" t="s">
        <v>1815</v>
      </c>
    </row>
    <row r="39" spans="1:216" x14ac:dyDescent="0.25">
      <c r="A39">
        <v>10637085835</v>
      </c>
      <c r="B39">
        <v>224510252</v>
      </c>
      <c r="C39" s="2">
        <v>43558.457731481481</v>
      </c>
      <c r="D39" s="2">
        <v>43558.479305555556</v>
      </c>
      <c r="E39" t="s">
        <v>163</v>
      </c>
      <c r="J39" t="s">
        <v>366</v>
      </c>
      <c r="L39">
        <v>5000</v>
      </c>
      <c r="M39">
        <v>80</v>
      </c>
      <c r="N39">
        <v>10</v>
      </c>
      <c r="O39">
        <v>10</v>
      </c>
      <c r="P39">
        <v>0</v>
      </c>
      <c r="Q39">
        <v>0</v>
      </c>
      <c r="R39">
        <v>0</v>
      </c>
      <c r="S39" t="s">
        <v>216</v>
      </c>
      <c r="T39" t="s">
        <v>905</v>
      </c>
      <c r="U39" t="s">
        <v>166</v>
      </c>
      <c r="V39" t="s">
        <v>1499</v>
      </c>
      <c r="X39" t="s">
        <v>263</v>
      </c>
      <c r="Z39" t="s">
        <v>263</v>
      </c>
      <c r="AB39" t="s">
        <v>1816</v>
      </c>
      <c r="AC39" t="s">
        <v>1680</v>
      </c>
      <c r="AF39" t="s">
        <v>1817</v>
      </c>
      <c r="AH39" t="s">
        <v>223</v>
      </c>
      <c r="AI39" t="s">
        <v>223</v>
      </c>
      <c r="AJ39" t="s">
        <v>223</v>
      </c>
      <c r="AK39" t="s">
        <v>223</v>
      </c>
      <c r="AL39" t="s">
        <v>1818</v>
      </c>
      <c r="AM39" t="s">
        <v>178</v>
      </c>
      <c r="AW39" t="s">
        <v>182</v>
      </c>
      <c r="BM39" t="s">
        <v>184</v>
      </c>
      <c r="BW39" t="s">
        <v>186</v>
      </c>
      <c r="BZ39" t="s">
        <v>191</v>
      </c>
      <c r="CC39" t="s">
        <v>191</v>
      </c>
      <c r="CV39" t="s">
        <v>1819</v>
      </c>
      <c r="CW39" t="s">
        <v>1820</v>
      </c>
      <c r="CY39" t="s">
        <v>110</v>
      </c>
      <c r="CZ39" t="s">
        <v>111</v>
      </c>
      <c r="DA39" t="s">
        <v>112</v>
      </c>
      <c r="DG39" t="s">
        <v>110</v>
      </c>
      <c r="DH39" t="s">
        <v>111</v>
      </c>
      <c r="DI39" t="s">
        <v>112</v>
      </c>
      <c r="DO39" t="s">
        <v>198</v>
      </c>
      <c r="DP39" t="s">
        <v>200</v>
      </c>
      <c r="DQ39" t="s">
        <v>198</v>
      </c>
      <c r="DR39" t="s">
        <v>198</v>
      </c>
      <c r="DT39" t="s">
        <v>201</v>
      </c>
      <c r="DV39" t="s">
        <v>228</v>
      </c>
      <c r="DX39" t="s">
        <v>233</v>
      </c>
      <c r="DZ39" t="s">
        <v>930</v>
      </c>
      <c r="EL39" t="s">
        <v>198</v>
      </c>
      <c r="EM39" t="s">
        <v>198</v>
      </c>
      <c r="EN39" t="s">
        <v>200</v>
      </c>
      <c r="EO39" t="s">
        <v>200</v>
      </c>
      <c r="EQ39" t="s">
        <v>249</v>
      </c>
      <c r="ES39" t="s">
        <v>202</v>
      </c>
      <c r="ET39" t="s">
        <v>233</v>
      </c>
      <c r="HF39" t="s">
        <v>1821</v>
      </c>
      <c r="HH39" t="s">
        <v>1822</v>
      </c>
    </row>
    <row r="40" spans="1:216" x14ac:dyDescent="0.25">
      <c r="A40">
        <v>10637062096</v>
      </c>
      <c r="B40">
        <v>224510252</v>
      </c>
      <c r="C40" s="2">
        <v>43558.434155092589</v>
      </c>
      <c r="D40" s="2">
        <v>43558.454918981479</v>
      </c>
      <c r="E40" t="s">
        <v>163</v>
      </c>
      <c r="J40" t="s">
        <v>366</v>
      </c>
      <c r="L40" t="s">
        <v>1823</v>
      </c>
      <c r="M40">
        <v>60</v>
      </c>
      <c r="N40">
        <v>10</v>
      </c>
      <c r="O40">
        <v>30</v>
      </c>
      <c r="P40">
        <v>0</v>
      </c>
      <c r="Q40">
        <v>0</v>
      </c>
      <c r="R40">
        <v>0</v>
      </c>
      <c r="S40" t="s">
        <v>330</v>
      </c>
      <c r="T40" t="s">
        <v>1208</v>
      </c>
      <c r="U40" t="s">
        <v>312</v>
      </c>
      <c r="FL40" t="s">
        <v>198</v>
      </c>
      <c r="FM40" t="s">
        <v>198</v>
      </c>
      <c r="FO40" t="s">
        <v>424</v>
      </c>
      <c r="FP40" t="s">
        <v>424</v>
      </c>
      <c r="FQ40" t="s">
        <v>424</v>
      </c>
      <c r="FW40" t="s">
        <v>198</v>
      </c>
      <c r="FX40" t="s">
        <v>198</v>
      </c>
      <c r="FZ40" t="s">
        <v>1490</v>
      </c>
      <c r="GA40" t="s">
        <v>1540</v>
      </c>
      <c r="GF40" t="s">
        <v>1490</v>
      </c>
      <c r="GG40" t="s">
        <v>1540</v>
      </c>
      <c r="GL40" t="s">
        <v>1824</v>
      </c>
      <c r="GN40" t="s">
        <v>1825</v>
      </c>
      <c r="GT40" t="s">
        <v>155</v>
      </c>
      <c r="GZ40" t="s">
        <v>161</v>
      </c>
      <c r="HA40" t="s">
        <v>162</v>
      </c>
      <c r="HB40" t="s">
        <v>1826</v>
      </c>
      <c r="HC40" t="s">
        <v>1827</v>
      </c>
      <c r="HE40" t="s">
        <v>1828</v>
      </c>
      <c r="HF40" t="s">
        <v>1829</v>
      </c>
      <c r="HH40" t="s">
        <v>1830</v>
      </c>
    </row>
    <row r="41" spans="1:216" x14ac:dyDescent="0.25">
      <c r="A41">
        <v>10631392492</v>
      </c>
      <c r="B41">
        <v>224510252</v>
      </c>
      <c r="C41" s="2">
        <v>43556.411446759259</v>
      </c>
      <c r="D41" s="2">
        <v>43556.417164351849</v>
      </c>
      <c r="E41" t="s">
        <v>163</v>
      </c>
      <c r="J41" t="s">
        <v>366</v>
      </c>
      <c r="L41" t="s">
        <v>1831</v>
      </c>
      <c r="M41">
        <v>70</v>
      </c>
      <c r="N41">
        <v>10</v>
      </c>
      <c r="O41">
        <v>20</v>
      </c>
      <c r="P41">
        <v>0</v>
      </c>
      <c r="Q41">
        <v>0</v>
      </c>
      <c r="R41">
        <v>0</v>
      </c>
      <c r="S41" t="s">
        <v>261</v>
      </c>
      <c r="T41" t="s">
        <v>1832</v>
      </c>
      <c r="U41" t="s">
        <v>312</v>
      </c>
      <c r="FL41" t="s">
        <v>200</v>
      </c>
      <c r="FM41" t="s">
        <v>200</v>
      </c>
      <c r="FO41" t="s">
        <v>198</v>
      </c>
      <c r="FP41" t="s">
        <v>198</v>
      </c>
      <c r="FQ41" t="s">
        <v>198</v>
      </c>
      <c r="FR41" t="s">
        <v>200</v>
      </c>
      <c r="FS41" t="s">
        <v>198</v>
      </c>
      <c r="FT41" t="s">
        <v>198</v>
      </c>
      <c r="FU41" t="s">
        <v>198</v>
      </c>
      <c r="FW41" t="s">
        <v>199</v>
      </c>
      <c r="FX41" t="s">
        <v>199</v>
      </c>
      <c r="GA41" t="s">
        <v>1540</v>
      </c>
      <c r="GB41" t="s">
        <v>772</v>
      </c>
      <c r="GG41" t="s">
        <v>1540</v>
      </c>
      <c r="GH41" t="s">
        <v>772</v>
      </c>
      <c r="GN41" t="s">
        <v>1833</v>
      </c>
      <c r="GP41" t="s">
        <v>151</v>
      </c>
      <c r="GQ41" t="s">
        <v>152</v>
      </c>
      <c r="GT41" t="s">
        <v>155</v>
      </c>
      <c r="GU41" t="s">
        <v>156</v>
      </c>
      <c r="GW41" t="s">
        <v>158</v>
      </c>
      <c r="HB41" t="s">
        <v>1834</v>
      </c>
      <c r="HC41" t="s">
        <v>1835</v>
      </c>
    </row>
    <row r="42" spans="1:216" x14ac:dyDescent="0.25">
      <c r="A42">
        <v>10627054454</v>
      </c>
      <c r="B42">
        <v>224510252</v>
      </c>
      <c r="C42" s="2">
        <v>43553.650150462963</v>
      </c>
      <c r="D42" s="2">
        <v>43553.656828703701</v>
      </c>
      <c r="E42" t="s">
        <v>163</v>
      </c>
      <c r="J42" t="s">
        <v>215</v>
      </c>
      <c r="L42">
        <v>1300</v>
      </c>
      <c r="M42">
        <v>60</v>
      </c>
      <c r="N42">
        <v>0</v>
      </c>
      <c r="O42">
        <v>20</v>
      </c>
      <c r="P42">
        <v>10</v>
      </c>
      <c r="Q42">
        <v>10</v>
      </c>
      <c r="R42">
        <v>0</v>
      </c>
      <c r="S42" t="s">
        <v>216</v>
      </c>
      <c r="T42" t="s">
        <v>1836</v>
      </c>
      <c r="U42" t="s">
        <v>312</v>
      </c>
      <c r="FL42" t="s">
        <v>200</v>
      </c>
      <c r="FM42" t="s">
        <v>200</v>
      </c>
      <c r="FO42" t="s">
        <v>200</v>
      </c>
      <c r="FP42" t="s">
        <v>198</v>
      </c>
      <c r="FQ42" t="s">
        <v>200</v>
      </c>
      <c r="FR42" t="s">
        <v>200</v>
      </c>
      <c r="FS42" t="s">
        <v>200</v>
      </c>
      <c r="FT42" t="s">
        <v>424</v>
      </c>
      <c r="FU42" t="s">
        <v>198</v>
      </c>
      <c r="FW42" t="s">
        <v>200</v>
      </c>
      <c r="FX42" t="s">
        <v>198</v>
      </c>
      <c r="GD42" t="s">
        <v>1608</v>
      </c>
      <c r="GH42" t="s">
        <v>772</v>
      </c>
      <c r="GI42" t="s">
        <v>1438</v>
      </c>
      <c r="GN42" t="s">
        <v>1837</v>
      </c>
      <c r="GO42" t="s">
        <v>150</v>
      </c>
      <c r="GP42" t="s">
        <v>151</v>
      </c>
      <c r="GT42" t="s">
        <v>155</v>
      </c>
      <c r="HC42" t="s">
        <v>1838</v>
      </c>
      <c r="HE42" t="s">
        <v>1839</v>
      </c>
      <c r="HF42" t="s">
        <v>872</v>
      </c>
    </row>
    <row r="43" spans="1:216" x14ac:dyDescent="0.25">
      <c r="A43">
        <v>10626907274</v>
      </c>
      <c r="B43">
        <v>224510252</v>
      </c>
      <c r="C43" s="2">
        <v>43553.534432870372</v>
      </c>
      <c r="D43" s="2">
        <v>43553.552708333344</v>
      </c>
      <c r="E43" t="s">
        <v>163</v>
      </c>
      <c r="J43" t="s">
        <v>164</v>
      </c>
      <c r="L43" t="s">
        <v>1840</v>
      </c>
      <c r="M43">
        <v>100</v>
      </c>
      <c r="N43">
        <v>0</v>
      </c>
      <c r="O43">
        <v>0</v>
      </c>
      <c r="P43">
        <v>0</v>
      </c>
      <c r="Q43">
        <v>0</v>
      </c>
      <c r="R43">
        <v>0</v>
      </c>
      <c r="S43" t="s">
        <v>401</v>
      </c>
      <c r="T43" t="s">
        <v>1841</v>
      </c>
      <c r="U43" t="s">
        <v>312</v>
      </c>
      <c r="FL43" t="s">
        <v>199</v>
      </c>
      <c r="FM43" t="s">
        <v>199</v>
      </c>
      <c r="FN43" t="s">
        <v>1842</v>
      </c>
      <c r="FO43" t="s">
        <v>199</v>
      </c>
      <c r="FP43" t="s">
        <v>199</v>
      </c>
      <c r="FQ43" t="s">
        <v>199</v>
      </c>
      <c r="FR43" t="s">
        <v>199</v>
      </c>
      <c r="FS43" t="s">
        <v>199</v>
      </c>
      <c r="FT43" t="s">
        <v>199</v>
      </c>
      <c r="FU43" t="s">
        <v>199</v>
      </c>
      <c r="FW43" t="s">
        <v>199</v>
      </c>
      <c r="FX43" t="s">
        <v>199</v>
      </c>
      <c r="FZ43" t="s">
        <v>1490</v>
      </c>
      <c r="GF43" t="s">
        <v>1490</v>
      </c>
      <c r="GN43" t="s">
        <v>1843</v>
      </c>
      <c r="GP43" t="s">
        <v>151</v>
      </c>
      <c r="GQ43" t="s">
        <v>152</v>
      </c>
      <c r="GT43" t="s">
        <v>155</v>
      </c>
      <c r="GW43" t="s">
        <v>158</v>
      </c>
      <c r="HC43" t="s">
        <v>1844</v>
      </c>
      <c r="HE43" t="s">
        <v>1845</v>
      </c>
      <c r="HF43" t="s">
        <v>1846</v>
      </c>
      <c r="HH43" t="s">
        <v>1847</v>
      </c>
    </row>
    <row r="44" spans="1:216" x14ac:dyDescent="0.25">
      <c r="A44">
        <v>10626805003</v>
      </c>
      <c r="B44">
        <v>224510252</v>
      </c>
      <c r="C44" s="2">
        <v>43553.481944444437</v>
      </c>
      <c r="D44" s="2">
        <v>43553.491562499999</v>
      </c>
      <c r="E44" t="s">
        <v>163</v>
      </c>
      <c r="J44" t="s">
        <v>366</v>
      </c>
      <c r="L44">
        <v>1500</v>
      </c>
      <c r="M44">
        <v>80</v>
      </c>
      <c r="N44">
        <v>20</v>
      </c>
      <c r="O44">
        <v>0</v>
      </c>
      <c r="P44">
        <v>0</v>
      </c>
      <c r="Q44">
        <v>0</v>
      </c>
      <c r="R44">
        <v>0</v>
      </c>
      <c r="S44" t="s">
        <v>216</v>
      </c>
      <c r="T44" t="s">
        <v>1208</v>
      </c>
      <c r="U44" t="s">
        <v>312</v>
      </c>
      <c r="FL44" t="s">
        <v>198</v>
      </c>
      <c r="FM44" t="s">
        <v>199</v>
      </c>
      <c r="FO44" t="s">
        <v>198</v>
      </c>
      <c r="FP44" t="s">
        <v>198</v>
      </c>
      <c r="FW44" t="s">
        <v>198</v>
      </c>
      <c r="FX44" t="s">
        <v>200</v>
      </c>
      <c r="GD44" t="s">
        <v>1608</v>
      </c>
      <c r="GJ44" t="s">
        <v>1608</v>
      </c>
      <c r="GL44" t="s">
        <v>1848</v>
      </c>
      <c r="GM44" t="s">
        <v>1849</v>
      </c>
      <c r="GN44" t="s">
        <v>1850</v>
      </c>
      <c r="GQ44" t="s">
        <v>152</v>
      </c>
      <c r="GT44" t="s">
        <v>155</v>
      </c>
      <c r="HB44" t="s">
        <v>1851</v>
      </c>
      <c r="HC44" t="s">
        <v>1852</v>
      </c>
      <c r="HE44" t="s">
        <v>1853</v>
      </c>
      <c r="HF44" t="s">
        <v>806</v>
      </c>
      <c r="HH44" t="s">
        <v>1854</v>
      </c>
    </row>
    <row r="45" spans="1:216" x14ac:dyDescent="0.25">
      <c r="A45">
        <v>10626748032</v>
      </c>
      <c r="B45">
        <v>224510252</v>
      </c>
      <c r="C45" s="2">
        <v>43553.428483796299</v>
      </c>
      <c r="D45" s="2">
        <v>43553.462222222217</v>
      </c>
      <c r="E45" t="s">
        <v>163</v>
      </c>
      <c r="J45" t="s">
        <v>366</v>
      </c>
      <c r="L45" t="s">
        <v>1855</v>
      </c>
      <c r="M45">
        <v>80</v>
      </c>
      <c r="N45">
        <v>0</v>
      </c>
      <c r="O45">
        <v>20</v>
      </c>
      <c r="P45">
        <v>0</v>
      </c>
      <c r="Q45">
        <v>0</v>
      </c>
      <c r="R45">
        <v>0</v>
      </c>
      <c r="S45" t="s">
        <v>216</v>
      </c>
      <c r="T45" t="s">
        <v>1856</v>
      </c>
      <c r="U45" t="s">
        <v>166</v>
      </c>
      <c r="V45" t="s">
        <v>1420</v>
      </c>
      <c r="X45" t="s">
        <v>263</v>
      </c>
      <c r="Z45" t="s">
        <v>263</v>
      </c>
      <c r="AB45" t="s">
        <v>1475</v>
      </c>
      <c r="AC45" t="s">
        <v>1857</v>
      </c>
      <c r="AF45" t="s">
        <v>1858</v>
      </c>
      <c r="AH45">
        <v>0</v>
      </c>
      <c r="AI45" t="s">
        <v>223</v>
      </c>
      <c r="AJ45" t="s">
        <v>223</v>
      </c>
      <c r="AK45">
        <v>0</v>
      </c>
      <c r="AM45" t="s">
        <v>178</v>
      </c>
      <c r="AV45" t="s">
        <v>1859</v>
      </c>
      <c r="CV45" t="s">
        <v>1860</v>
      </c>
      <c r="DF45" t="s">
        <v>1861</v>
      </c>
      <c r="DO45" t="s">
        <v>199</v>
      </c>
      <c r="DP45" t="s">
        <v>199</v>
      </c>
      <c r="DQ45" t="s">
        <v>198</v>
      </c>
      <c r="DR45" t="s">
        <v>198</v>
      </c>
      <c r="DT45" t="s">
        <v>201</v>
      </c>
      <c r="DV45" t="s">
        <v>202</v>
      </c>
      <c r="DX45" t="s">
        <v>203</v>
      </c>
      <c r="DZ45" t="s">
        <v>1862</v>
      </c>
      <c r="GN45" t="s">
        <v>1863</v>
      </c>
      <c r="GP45" t="s">
        <v>151</v>
      </c>
      <c r="GQ45" t="s">
        <v>152</v>
      </c>
      <c r="GY45" t="s">
        <v>160</v>
      </c>
      <c r="HC45" t="s">
        <v>1864</v>
      </c>
      <c r="HE45" t="s">
        <v>1865</v>
      </c>
      <c r="HF45" t="s">
        <v>822</v>
      </c>
      <c r="HH45" t="s">
        <v>1866</v>
      </c>
    </row>
    <row r="46" spans="1:216" x14ac:dyDescent="0.25">
      <c r="A46">
        <v>10626675976</v>
      </c>
      <c r="B46">
        <v>224510252</v>
      </c>
      <c r="C46" s="2">
        <v>43553.416805555556</v>
      </c>
      <c r="D46" s="2">
        <v>43553.427233796298</v>
      </c>
      <c r="E46" t="s">
        <v>163</v>
      </c>
      <c r="J46" t="s">
        <v>366</v>
      </c>
      <c r="L46" t="s">
        <v>1867</v>
      </c>
      <c r="M46">
        <v>80</v>
      </c>
      <c r="N46">
        <v>0</v>
      </c>
      <c r="O46">
        <v>20</v>
      </c>
      <c r="P46">
        <v>0</v>
      </c>
      <c r="Q46">
        <v>0</v>
      </c>
      <c r="R46">
        <v>0</v>
      </c>
      <c r="S46" t="s">
        <v>330</v>
      </c>
      <c r="T46" t="s">
        <v>1868</v>
      </c>
      <c r="U46" t="s">
        <v>312</v>
      </c>
      <c r="FL46" t="s">
        <v>198</v>
      </c>
      <c r="FM46" t="s">
        <v>199</v>
      </c>
      <c r="FN46" t="s">
        <v>1869</v>
      </c>
      <c r="FO46" t="s">
        <v>424</v>
      </c>
      <c r="FP46" t="s">
        <v>424</v>
      </c>
      <c r="FQ46" t="s">
        <v>200</v>
      </c>
      <c r="FR46" t="s">
        <v>200</v>
      </c>
      <c r="FS46" t="s">
        <v>200</v>
      </c>
      <c r="FT46" t="s">
        <v>200</v>
      </c>
      <c r="FU46" t="s">
        <v>200</v>
      </c>
      <c r="FW46" t="s">
        <v>198</v>
      </c>
      <c r="FX46" t="s">
        <v>199</v>
      </c>
      <c r="FZ46" t="s">
        <v>1490</v>
      </c>
      <c r="GA46" t="s">
        <v>1540</v>
      </c>
      <c r="GB46" t="s">
        <v>772</v>
      </c>
      <c r="GC46" t="s">
        <v>1438</v>
      </c>
      <c r="GF46" t="s">
        <v>1490</v>
      </c>
      <c r="GG46" t="s">
        <v>1540</v>
      </c>
      <c r="GH46" t="s">
        <v>772</v>
      </c>
      <c r="GI46" t="s">
        <v>1438</v>
      </c>
      <c r="GL46" t="s">
        <v>1870</v>
      </c>
      <c r="GN46" t="s">
        <v>1871</v>
      </c>
      <c r="GP46" t="s">
        <v>151</v>
      </c>
      <c r="GW46" t="s">
        <v>158</v>
      </c>
      <c r="GY46" t="s">
        <v>160</v>
      </c>
      <c r="HC46" t="s">
        <v>1872</v>
      </c>
      <c r="HE46" t="s">
        <v>1873</v>
      </c>
      <c r="HF46" t="s">
        <v>1874</v>
      </c>
      <c r="HH46" t="s">
        <v>1875</v>
      </c>
    </row>
    <row r="47" spans="1:216" x14ac:dyDescent="0.25">
      <c r="A47">
        <v>10624329537</v>
      </c>
      <c r="B47">
        <v>224510252</v>
      </c>
      <c r="C47" s="2">
        <v>43552.655925925923</v>
      </c>
      <c r="D47" s="2">
        <v>43552.669432870367</v>
      </c>
      <c r="E47" t="s">
        <v>163</v>
      </c>
      <c r="J47" t="s">
        <v>315</v>
      </c>
      <c r="L47">
        <v>670</v>
      </c>
      <c r="M47">
        <v>60</v>
      </c>
      <c r="N47">
        <v>0</v>
      </c>
      <c r="O47">
        <v>40</v>
      </c>
      <c r="P47">
        <v>0</v>
      </c>
      <c r="Q47">
        <v>0</v>
      </c>
      <c r="R47">
        <v>0</v>
      </c>
      <c r="S47" t="s">
        <v>494</v>
      </c>
      <c r="T47" t="s">
        <v>1876</v>
      </c>
      <c r="U47" t="s">
        <v>166</v>
      </c>
      <c r="V47" t="s">
        <v>1420</v>
      </c>
      <c r="X47" t="s">
        <v>263</v>
      </c>
      <c r="Z47" t="s">
        <v>263</v>
      </c>
      <c r="AB47" t="s">
        <v>1877</v>
      </c>
      <c r="AC47" t="s">
        <v>1878</v>
      </c>
      <c r="AE47" t="s">
        <v>1714</v>
      </c>
      <c r="AF47" t="s">
        <v>1714</v>
      </c>
      <c r="AG47" t="s">
        <v>1714</v>
      </c>
      <c r="AH47" t="s">
        <v>223</v>
      </c>
      <c r="AI47" t="s">
        <v>223</v>
      </c>
      <c r="AJ47" t="s">
        <v>223</v>
      </c>
      <c r="AK47" t="s">
        <v>223</v>
      </c>
      <c r="AM47" t="s">
        <v>176</v>
      </c>
      <c r="AW47" t="s">
        <v>182</v>
      </c>
      <c r="BM47" t="s">
        <v>184</v>
      </c>
      <c r="BW47" t="s">
        <v>186</v>
      </c>
      <c r="BZ47" t="s">
        <v>191</v>
      </c>
      <c r="CV47" t="s">
        <v>1879</v>
      </c>
      <c r="CW47" t="s">
        <v>1880</v>
      </c>
      <c r="CY47" t="s">
        <v>110</v>
      </c>
      <c r="CZ47" t="s">
        <v>111</v>
      </c>
      <c r="DG47" t="s">
        <v>110</v>
      </c>
      <c r="DH47" t="s">
        <v>111</v>
      </c>
      <c r="DO47" t="s">
        <v>198</v>
      </c>
      <c r="DP47" t="s">
        <v>198</v>
      </c>
      <c r="DQ47" t="s">
        <v>198</v>
      </c>
      <c r="DR47" t="s">
        <v>198</v>
      </c>
      <c r="DT47" t="s">
        <v>249</v>
      </c>
      <c r="DV47" t="s">
        <v>228</v>
      </c>
      <c r="DW47" t="s">
        <v>1881</v>
      </c>
      <c r="DX47" t="s">
        <v>203</v>
      </c>
      <c r="DZ47" t="s">
        <v>1882</v>
      </c>
      <c r="FC47" t="s">
        <v>1883</v>
      </c>
      <c r="FL47" t="s">
        <v>198</v>
      </c>
      <c r="FM47" t="s">
        <v>198</v>
      </c>
      <c r="FO47" t="s">
        <v>198</v>
      </c>
      <c r="FP47" t="s">
        <v>198</v>
      </c>
      <c r="FQ47" t="s">
        <v>198</v>
      </c>
      <c r="FR47" t="s">
        <v>198</v>
      </c>
      <c r="FS47" t="s">
        <v>198</v>
      </c>
      <c r="FT47" t="s">
        <v>198</v>
      </c>
      <c r="FU47" t="s">
        <v>198</v>
      </c>
      <c r="FW47" t="s">
        <v>198</v>
      </c>
      <c r="FX47" t="s">
        <v>198</v>
      </c>
      <c r="GA47" t="s">
        <v>1540</v>
      </c>
      <c r="GG47" t="s">
        <v>1540</v>
      </c>
      <c r="GN47" t="s">
        <v>1884</v>
      </c>
      <c r="GO47" t="s">
        <v>150</v>
      </c>
      <c r="GS47" t="s">
        <v>154</v>
      </c>
      <c r="HC47" t="s">
        <v>1885</v>
      </c>
      <c r="HD47" t="s">
        <v>1886</v>
      </c>
      <c r="HE47" t="s">
        <v>1887</v>
      </c>
      <c r="HF47" t="s">
        <v>1888</v>
      </c>
      <c r="HH47" t="s">
        <v>1889</v>
      </c>
    </row>
    <row r="48" spans="1:216" x14ac:dyDescent="0.25">
      <c r="A48">
        <v>10624297294</v>
      </c>
      <c r="B48">
        <v>224510252</v>
      </c>
      <c r="C48" s="2">
        <v>43552.62059027778</v>
      </c>
      <c r="D48" s="2">
        <v>43552.649756944447</v>
      </c>
      <c r="E48" t="s">
        <v>163</v>
      </c>
      <c r="J48" t="s">
        <v>366</v>
      </c>
      <c r="L48">
        <v>3000</v>
      </c>
      <c r="M48">
        <v>80</v>
      </c>
      <c r="N48">
        <v>20</v>
      </c>
      <c r="O48">
        <v>0</v>
      </c>
      <c r="P48">
        <v>0</v>
      </c>
      <c r="Q48">
        <v>0</v>
      </c>
      <c r="R48">
        <v>0</v>
      </c>
      <c r="S48" t="s">
        <v>216</v>
      </c>
      <c r="T48" t="s">
        <v>1712</v>
      </c>
      <c r="U48" t="s">
        <v>312</v>
      </c>
      <c r="FL48" t="s">
        <v>198</v>
      </c>
      <c r="FM48" t="s">
        <v>198</v>
      </c>
      <c r="FN48" t="s">
        <v>1890</v>
      </c>
      <c r="FO48" t="s">
        <v>198</v>
      </c>
      <c r="FT48" t="s">
        <v>198</v>
      </c>
      <c r="FU48" t="s">
        <v>198</v>
      </c>
      <c r="FV48" t="s">
        <v>1891</v>
      </c>
      <c r="FW48" t="s">
        <v>198</v>
      </c>
      <c r="FX48" t="s">
        <v>198</v>
      </c>
      <c r="GA48" t="s">
        <v>1540</v>
      </c>
      <c r="GD48" t="s">
        <v>1608</v>
      </c>
      <c r="GG48" t="s">
        <v>1540</v>
      </c>
      <c r="GJ48" t="s">
        <v>1608</v>
      </c>
      <c r="GN48" t="s">
        <v>1892</v>
      </c>
      <c r="GV48" t="s">
        <v>157</v>
      </c>
      <c r="GY48" t="s">
        <v>160</v>
      </c>
      <c r="HC48" t="s">
        <v>1893</v>
      </c>
      <c r="HE48" t="s">
        <v>1894</v>
      </c>
      <c r="HF48" t="s">
        <v>1895</v>
      </c>
      <c r="HH48" t="s">
        <v>1896</v>
      </c>
    </row>
    <row r="49" spans="1:216" x14ac:dyDescent="0.25">
      <c r="A49">
        <v>10618571407</v>
      </c>
      <c r="B49">
        <v>224510252</v>
      </c>
      <c r="C49" s="2">
        <v>43550.62840277778</v>
      </c>
      <c r="D49" s="2">
        <v>43550.63354166667</v>
      </c>
      <c r="E49" t="s">
        <v>163</v>
      </c>
      <c r="J49" t="s">
        <v>315</v>
      </c>
      <c r="L49" t="s">
        <v>1897</v>
      </c>
      <c r="M49">
        <v>30</v>
      </c>
      <c r="N49">
        <v>10</v>
      </c>
      <c r="O49">
        <v>0</v>
      </c>
      <c r="P49">
        <v>0</v>
      </c>
      <c r="Q49">
        <v>60</v>
      </c>
      <c r="R49">
        <v>0</v>
      </c>
      <c r="S49" t="s">
        <v>494</v>
      </c>
      <c r="T49" t="s">
        <v>1767</v>
      </c>
      <c r="U49" t="s">
        <v>166</v>
      </c>
      <c r="V49" t="s">
        <v>1420</v>
      </c>
      <c r="X49" t="s">
        <v>238</v>
      </c>
      <c r="Z49" t="s">
        <v>238</v>
      </c>
      <c r="AB49" t="s">
        <v>1898</v>
      </c>
      <c r="AC49" t="s">
        <v>1899</v>
      </c>
      <c r="AE49" t="s">
        <v>1900</v>
      </c>
      <c r="AF49" t="s">
        <v>1901</v>
      </c>
      <c r="AH49" t="s">
        <v>403</v>
      </c>
      <c r="AI49" t="s">
        <v>403</v>
      </c>
      <c r="AJ49">
        <v>0</v>
      </c>
      <c r="AK49" t="s">
        <v>403</v>
      </c>
      <c r="AM49" t="s">
        <v>178</v>
      </c>
      <c r="AP49" t="s">
        <v>176</v>
      </c>
      <c r="AW49" t="s">
        <v>180</v>
      </c>
      <c r="AZ49" t="s">
        <v>182</v>
      </c>
      <c r="BM49" t="s">
        <v>185</v>
      </c>
      <c r="CV49" t="s">
        <v>1902</v>
      </c>
      <c r="CW49" t="s">
        <v>1880</v>
      </c>
      <c r="CY49" t="s">
        <v>110</v>
      </c>
      <c r="CZ49" t="s">
        <v>111</v>
      </c>
      <c r="DA49" t="s">
        <v>112</v>
      </c>
      <c r="DG49" t="s">
        <v>110</v>
      </c>
      <c r="DH49" t="s">
        <v>111</v>
      </c>
      <c r="DI49" t="s">
        <v>112</v>
      </c>
      <c r="DO49" t="s">
        <v>198</v>
      </c>
      <c r="DP49" t="s">
        <v>199</v>
      </c>
      <c r="DQ49" t="s">
        <v>198</v>
      </c>
      <c r="DR49" t="s">
        <v>198</v>
      </c>
      <c r="DS49" t="s">
        <v>1903</v>
      </c>
      <c r="DT49" t="s">
        <v>201</v>
      </c>
      <c r="DV49" t="s">
        <v>202</v>
      </c>
      <c r="DX49" t="s">
        <v>233</v>
      </c>
      <c r="DZ49" t="s">
        <v>1904</v>
      </c>
      <c r="GN49" t="s">
        <v>1905</v>
      </c>
      <c r="GT49" t="s">
        <v>155</v>
      </c>
      <c r="GY49" t="s">
        <v>160</v>
      </c>
      <c r="GZ49" t="s">
        <v>161</v>
      </c>
      <c r="HE49" t="s">
        <v>1721</v>
      </c>
      <c r="HF49" t="s">
        <v>1906</v>
      </c>
    </row>
    <row r="50" spans="1:216" x14ac:dyDescent="0.25">
      <c r="A50">
        <v>10618470197</v>
      </c>
      <c r="B50">
        <v>224510252</v>
      </c>
      <c r="C50" s="2">
        <v>43550.551574074067</v>
      </c>
      <c r="D50" s="2">
        <v>43550.564421296287</v>
      </c>
      <c r="E50" t="s">
        <v>163</v>
      </c>
      <c r="J50" t="s">
        <v>366</v>
      </c>
      <c r="L50" t="s">
        <v>1907</v>
      </c>
      <c r="M50">
        <v>80</v>
      </c>
      <c r="N50">
        <v>20</v>
      </c>
      <c r="O50">
        <v>0</v>
      </c>
      <c r="P50">
        <v>0</v>
      </c>
      <c r="Q50">
        <v>0</v>
      </c>
      <c r="R50">
        <v>0</v>
      </c>
      <c r="S50" t="s">
        <v>216</v>
      </c>
      <c r="T50" t="s">
        <v>45</v>
      </c>
      <c r="U50" t="s">
        <v>312</v>
      </c>
      <c r="FL50" t="s">
        <v>198</v>
      </c>
      <c r="FM50" t="s">
        <v>200</v>
      </c>
      <c r="FO50" t="s">
        <v>198</v>
      </c>
      <c r="FW50" t="s">
        <v>198</v>
      </c>
      <c r="FX50" t="s">
        <v>200</v>
      </c>
      <c r="FZ50" t="s">
        <v>1490</v>
      </c>
      <c r="GF50" t="s">
        <v>1490</v>
      </c>
      <c r="GJ50" t="s">
        <v>1608</v>
      </c>
      <c r="GN50" t="s">
        <v>1908</v>
      </c>
      <c r="GP50" t="s">
        <v>151</v>
      </c>
      <c r="GT50" t="s">
        <v>155</v>
      </c>
      <c r="HC50" t="s">
        <v>1909</v>
      </c>
      <c r="HF50" t="s">
        <v>1910</v>
      </c>
    </row>
    <row r="51" spans="1:216" x14ac:dyDescent="0.25">
      <c r="A51">
        <v>10618256242</v>
      </c>
      <c r="B51">
        <v>224510252</v>
      </c>
      <c r="C51" s="2">
        <v>43550.448333333326</v>
      </c>
      <c r="D51" s="2">
        <v>43550.457245370373</v>
      </c>
      <c r="E51" t="s">
        <v>163</v>
      </c>
      <c r="J51" t="s">
        <v>310</v>
      </c>
      <c r="L51" t="s">
        <v>1911</v>
      </c>
      <c r="M51">
        <v>70</v>
      </c>
      <c r="N51">
        <v>10</v>
      </c>
      <c r="O51">
        <v>20</v>
      </c>
      <c r="P51">
        <v>0</v>
      </c>
      <c r="Q51">
        <v>0</v>
      </c>
      <c r="R51">
        <v>0</v>
      </c>
      <c r="S51" t="s">
        <v>261</v>
      </c>
      <c r="T51" t="s">
        <v>905</v>
      </c>
      <c r="U51" t="s">
        <v>166</v>
      </c>
      <c r="V51" t="s">
        <v>1420</v>
      </c>
      <c r="X51" t="s">
        <v>263</v>
      </c>
      <c r="Z51" t="s">
        <v>238</v>
      </c>
      <c r="AB51" t="s">
        <v>1912</v>
      </c>
      <c r="AC51" t="s">
        <v>1913</v>
      </c>
      <c r="AE51" t="s">
        <v>1714</v>
      </c>
      <c r="AF51" t="s">
        <v>1714</v>
      </c>
      <c r="AG51" t="s">
        <v>1714</v>
      </c>
      <c r="AH51" t="s">
        <v>223</v>
      </c>
      <c r="AI51" t="s">
        <v>223</v>
      </c>
      <c r="AJ51">
        <v>0</v>
      </c>
      <c r="AK51" t="s">
        <v>223</v>
      </c>
      <c r="AM51" t="s">
        <v>402</v>
      </c>
      <c r="AO51" t="s">
        <v>177</v>
      </c>
      <c r="AW51" t="s">
        <v>182</v>
      </c>
      <c r="AY51" t="s">
        <v>177</v>
      </c>
      <c r="BW51" t="s">
        <v>192</v>
      </c>
      <c r="BY51" t="s">
        <v>177</v>
      </c>
      <c r="BZ51" t="s">
        <v>191</v>
      </c>
      <c r="CB51" t="s">
        <v>177</v>
      </c>
      <c r="CC51" t="s">
        <v>186</v>
      </c>
      <c r="CE51" t="s">
        <v>177</v>
      </c>
      <c r="CV51" t="s">
        <v>1914</v>
      </c>
      <c r="CW51" t="s">
        <v>1915</v>
      </c>
      <c r="CY51" t="s">
        <v>110</v>
      </c>
      <c r="CZ51" t="s">
        <v>111</v>
      </c>
      <c r="DG51" t="s">
        <v>110</v>
      </c>
      <c r="DH51" t="s">
        <v>111</v>
      </c>
      <c r="DO51" t="s">
        <v>198</v>
      </c>
      <c r="DP51" t="s">
        <v>198</v>
      </c>
      <c r="DQ51" t="s">
        <v>198</v>
      </c>
      <c r="DR51" t="s">
        <v>198</v>
      </c>
      <c r="DT51" t="s">
        <v>201</v>
      </c>
      <c r="DV51" t="s">
        <v>202</v>
      </c>
      <c r="DX51" t="s">
        <v>203</v>
      </c>
      <c r="DZ51" t="s">
        <v>1916</v>
      </c>
      <c r="GN51" t="s">
        <v>1917</v>
      </c>
      <c r="GP51" t="s">
        <v>151</v>
      </c>
      <c r="GV51" t="s">
        <v>157</v>
      </c>
      <c r="GW51" t="s">
        <v>158</v>
      </c>
    </row>
    <row r="52" spans="1:216" x14ac:dyDescent="0.25">
      <c r="A52">
        <v>10615820903</v>
      </c>
      <c r="B52">
        <v>224510252</v>
      </c>
      <c r="C52" s="2">
        <v>43549.440555555557</v>
      </c>
      <c r="D52" s="2">
        <v>43549.649247685193</v>
      </c>
      <c r="E52" t="s">
        <v>163</v>
      </c>
      <c r="J52" t="s">
        <v>260</v>
      </c>
      <c r="L52">
        <v>1800</v>
      </c>
      <c r="M52">
        <v>60</v>
      </c>
      <c r="N52">
        <v>0</v>
      </c>
      <c r="O52">
        <v>10</v>
      </c>
      <c r="P52">
        <v>10</v>
      </c>
      <c r="Q52">
        <v>20</v>
      </c>
      <c r="R52">
        <v>0</v>
      </c>
      <c r="S52" t="s">
        <v>261</v>
      </c>
      <c r="T52" t="s">
        <v>1918</v>
      </c>
      <c r="U52" t="s">
        <v>312</v>
      </c>
      <c r="FL52" t="s">
        <v>200</v>
      </c>
      <c r="FM52" t="s">
        <v>198</v>
      </c>
      <c r="FO52" t="s">
        <v>198</v>
      </c>
      <c r="FP52" t="s">
        <v>198</v>
      </c>
      <c r="FQ52" t="s">
        <v>198</v>
      </c>
      <c r="FR52" t="s">
        <v>200</v>
      </c>
      <c r="FS52" t="s">
        <v>199</v>
      </c>
      <c r="FT52" t="s">
        <v>200</v>
      </c>
      <c r="FU52" t="s">
        <v>198</v>
      </c>
      <c r="FW52" t="s">
        <v>200</v>
      </c>
      <c r="FX52" t="s">
        <v>198</v>
      </c>
      <c r="FZ52" t="s">
        <v>1490</v>
      </c>
      <c r="GA52" t="s">
        <v>1540</v>
      </c>
      <c r="GB52" t="s">
        <v>772</v>
      </c>
      <c r="GF52" t="s">
        <v>1490</v>
      </c>
      <c r="GG52" t="s">
        <v>1540</v>
      </c>
      <c r="GH52" t="s">
        <v>772</v>
      </c>
      <c r="GN52" t="s">
        <v>1919</v>
      </c>
      <c r="GO52" t="s">
        <v>150</v>
      </c>
      <c r="GQ52" t="s">
        <v>152</v>
      </c>
      <c r="GW52" t="s">
        <v>158</v>
      </c>
      <c r="HC52" t="s">
        <v>1920</v>
      </c>
      <c r="HE52" t="s">
        <v>1921</v>
      </c>
      <c r="HF52" t="s">
        <v>1922</v>
      </c>
    </row>
    <row r="53" spans="1:216" x14ac:dyDescent="0.25">
      <c r="A53">
        <v>10598777156</v>
      </c>
      <c r="B53">
        <v>224510252</v>
      </c>
      <c r="C53" s="2">
        <v>43542.367013888892</v>
      </c>
      <c r="D53" s="2">
        <v>43542.384143518517</v>
      </c>
      <c r="E53" t="s">
        <v>163</v>
      </c>
      <c r="J53" t="s">
        <v>310</v>
      </c>
      <c r="L53" t="s">
        <v>1923</v>
      </c>
      <c r="M53">
        <v>80</v>
      </c>
      <c r="N53">
        <v>10</v>
      </c>
      <c r="O53">
        <v>10</v>
      </c>
      <c r="P53">
        <v>0</v>
      </c>
      <c r="Q53">
        <v>0</v>
      </c>
      <c r="R53">
        <v>0</v>
      </c>
      <c r="S53" t="s">
        <v>216</v>
      </c>
      <c r="T53" t="s">
        <v>905</v>
      </c>
      <c r="U53" t="s">
        <v>312</v>
      </c>
      <c r="FL53" t="s">
        <v>198</v>
      </c>
      <c r="FM53" t="s">
        <v>200</v>
      </c>
      <c r="FO53" t="s">
        <v>198</v>
      </c>
      <c r="FP53" t="s">
        <v>198</v>
      </c>
      <c r="FT53" t="s">
        <v>198</v>
      </c>
      <c r="FW53" t="s">
        <v>198</v>
      </c>
      <c r="FX53" t="s">
        <v>198</v>
      </c>
      <c r="FZ53" t="s">
        <v>1490</v>
      </c>
      <c r="GD53" t="s">
        <v>1608</v>
      </c>
      <c r="GF53" t="s">
        <v>1490</v>
      </c>
      <c r="GI53" t="s">
        <v>1438</v>
      </c>
      <c r="GJ53" t="s">
        <v>1608</v>
      </c>
      <c r="GN53" t="s">
        <v>1924</v>
      </c>
      <c r="GP53" t="s">
        <v>151</v>
      </c>
      <c r="GT53" t="s">
        <v>155</v>
      </c>
      <c r="GV53" t="s">
        <v>157</v>
      </c>
      <c r="HC53" t="s">
        <v>1925</v>
      </c>
      <c r="HF53" t="s">
        <v>1435</v>
      </c>
    </row>
    <row r="54" spans="1:216" x14ac:dyDescent="0.25">
      <c r="A54">
        <v>10591899046</v>
      </c>
      <c r="B54">
        <v>224510252</v>
      </c>
      <c r="C54" s="2">
        <v>43538.629618055558</v>
      </c>
      <c r="D54" s="2">
        <v>43538.640196759261</v>
      </c>
      <c r="E54" t="s">
        <v>163</v>
      </c>
      <c r="J54" t="s">
        <v>260</v>
      </c>
      <c r="L54" t="s">
        <v>1766</v>
      </c>
      <c r="M54">
        <v>80</v>
      </c>
      <c r="N54">
        <v>10</v>
      </c>
      <c r="O54">
        <v>8</v>
      </c>
      <c r="P54">
        <v>0</v>
      </c>
      <c r="Q54">
        <v>2</v>
      </c>
      <c r="R54">
        <v>0</v>
      </c>
      <c r="S54" t="s">
        <v>261</v>
      </c>
      <c r="T54" t="s">
        <v>905</v>
      </c>
      <c r="U54" t="s">
        <v>312</v>
      </c>
      <c r="FL54" t="s">
        <v>198</v>
      </c>
      <c r="FM54" t="s">
        <v>199</v>
      </c>
      <c r="FO54" t="s">
        <v>198</v>
      </c>
      <c r="FP54" t="s">
        <v>198</v>
      </c>
      <c r="FQ54" t="s">
        <v>200</v>
      </c>
      <c r="FR54" t="s">
        <v>200</v>
      </c>
      <c r="FS54" t="s">
        <v>200</v>
      </c>
      <c r="FT54" t="s">
        <v>198</v>
      </c>
      <c r="FU54" t="s">
        <v>198</v>
      </c>
      <c r="FW54" t="s">
        <v>198</v>
      </c>
      <c r="FX54" t="s">
        <v>200</v>
      </c>
      <c r="FZ54" t="s">
        <v>1490</v>
      </c>
      <c r="GN54" t="s">
        <v>1926</v>
      </c>
      <c r="GP54" t="s">
        <v>151</v>
      </c>
      <c r="GV54" t="s">
        <v>157</v>
      </c>
      <c r="GY54" t="s">
        <v>160</v>
      </c>
    </row>
    <row r="55" spans="1:216" x14ac:dyDescent="0.25">
      <c r="A55">
        <v>10591795167</v>
      </c>
      <c r="B55">
        <v>224510252</v>
      </c>
      <c r="C55" s="2">
        <v>43538.482974537037</v>
      </c>
      <c r="D55" s="2">
        <v>43538.577824074076</v>
      </c>
      <c r="E55" t="s">
        <v>163</v>
      </c>
      <c r="J55" t="s">
        <v>260</v>
      </c>
      <c r="L55" t="s">
        <v>1927</v>
      </c>
      <c r="M55">
        <v>80</v>
      </c>
      <c r="N55">
        <v>0</v>
      </c>
      <c r="O55">
        <v>20</v>
      </c>
      <c r="P55">
        <v>0</v>
      </c>
      <c r="Q55">
        <v>0</v>
      </c>
      <c r="R55">
        <v>0</v>
      </c>
      <c r="S55" t="s">
        <v>322</v>
      </c>
      <c r="T55" t="s">
        <v>905</v>
      </c>
      <c r="U55" t="s">
        <v>312</v>
      </c>
      <c r="FL55" t="s">
        <v>424</v>
      </c>
      <c r="FM55" t="s">
        <v>424</v>
      </c>
      <c r="FO55" t="s">
        <v>200</v>
      </c>
      <c r="FP55" t="s">
        <v>200</v>
      </c>
      <c r="FQ55" t="s">
        <v>200</v>
      </c>
      <c r="FR55" t="s">
        <v>200</v>
      </c>
      <c r="FS55" t="s">
        <v>200</v>
      </c>
      <c r="FT55" t="s">
        <v>200</v>
      </c>
      <c r="FU55" t="s">
        <v>200</v>
      </c>
      <c r="FV55" t="s">
        <v>1928</v>
      </c>
      <c r="FW55" t="s">
        <v>199</v>
      </c>
      <c r="FX55" t="s">
        <v>200</v>
      </c>
      <c r="GD55" t="s">
        <v>1608</v>
      </c>
      <c r="GJ55" t="s">
        <v>1608</v>
      </c>
      <c r="GM55" t="s">
        <v>1929</v>
      </c>
      <c r="GN55" t="s">
        <v>1930</v>
      </c>
      <c r="GT55" t="s">
        <v>155</v>
      </c>
      <c r="GV55" t="s">
        <v>157</v>
      </c>
      <c r="HA55" t="s">
        <v>162</v>
      </c>
      <c r="HC55" t="s">
        <v>1931</v>
      </c>
      <c r="HE55" t="s">
        <v>1932</v>
      </c>
      <c r="HF55" t="s">
        <v>1933</v>
      </c>
      <c r="HG55" t="s">
        <v>1934</v>
      </c>
      <c r="HH55" t="s">
        <v>1935</v>
      </c>
    </row>
    <row r="56" spans="1:216" x14ac:dyDescent="0.25">
      <c r="A56">
        <v>10562997684</v>
      </c>
      <c r="B56">
        <v>224510252</v>
      </c>
      <c r="C56" s="2">
        <v>43525.552488425928</v>
      </c>
      <c r="D56" s="2">
        <v>43525.593518518523</v>
      </c>
      <c r="E56" t="s">
        <v>163</v>
      </c>
      <c r="J56" t="s">
        <v>948</v>
      </c>
      <c r="L56">
        <v>5000</v>
      </c>
      <c r="M56">
        <v>60</v>
      </c>
      <c r="N56">
        <v>15</v>
      </c>
      <c r="O56">
        <v>10</v>
      </c>
      <c r="P56">
        <v>15</v>
      </c>
      <c r="Q56">
        <v>0</v>
      </c>
      <c r="R56">
        <v>0</v>
      </c>
      <c r="S56" t="s">
        <v>261</v>
      </c>
      <c r="T56" t="s">
        <v>1936</v>
      </c>
      <c r="U56" t="s">
        <v>166</v>
      </c>
      <c r="V56" t="s">
        <v>1420</v>
      </c>
      <c r="X56" t="s">
        <v>263</v>
      </c>
      <c r="Z56" t="s">
        <v>238</v>
      </c>
      <c r="AB56" t="s">
        <v>1937</v>
      </c>
      <c r="AC56" t="s">
        <v>1938</v>
      </c>
      <c r="AD56" t="s">
        <v>1459</v>
      </c>
      <c r="AE56" t="s">
        <v>1939</v>
      </c>
      <c r="AF56" t="s">
        <v>1940</v>
      </c>
      <c r="AG56" t="s">
        <v>1941</v>
      </c>
      <c r="AH56" t="s">
        <v>223</v>
      </c>
      <c r="AI56" t="s">
        <v>223</v>
      </c>
      <c r="AJ56">
        <v>0</v>
      </c>
      <c r="AK56" t="s">
        <v>223</v>
      </c>
      <c r="AM56" t="s">
        <v>178</v>
      </c>
      <c r="AO56" t="s">
        <v>177</v>
      </c>
      <c r="AV56" t="s">
        <v>1942</v>
      </c>
      <c r="AW56" t="s">
        <v>181</v>
      </c>
      <c r="AY56" t="s">
        <v>177</v>
      </c>
      <c r="AZ56" t="s">
        <v>182</v>
      </c>
      <c r="BB56" t="s">
        <v>177</v>
      </c>
      <c r="BL56" t="s">
        <v>1942</v>
      </c>
      <c r="BV56" t="s">
        <v>1943</v>
      </c>
      <c r="BW56" t="s">
        <v>191</v>
      </c>
      <c r="BY56" t="s">
        <v>177</v>
      </c>
      <c r="BZ56" t="s">
        <v>323</v>
      </c>
      <c r="CB56" t="s">
        <v>177</v>
      </c>
      <c r="CC56" t="s">
        <v>186</v>
      </c>
      <c r="CE56" t="s">
        <v>177</v>
      </c>
      <c r="CF56" t="s">
        <v>190</v>
      </c>
      <c r="CH56" t="s">
        <v>177</v>
      </c>
      <c r="CU56" t="s">
        <v>1942</v>
      </c>
      <c r="CV56" t="s">
        <v>1944</v>
      </c>
      <c r="CW56" t="s">
        <v>1945</v>
      </c>
      <c r="CX56" t="s">
        <v>1946</v>
      </c>
      <c r="CY56" t="s">
        <v>110</v>
      </c>
      <c r="CZ56" t="s">
        <v>111</v>
      </c>
      <c r="DA56" t="s">
        <v>112</v>
      </c>
      <c r="DG56" t="s">
        <v>110</v>
      </c>
      <c r="DH56" t="s">
        <v>111</v>
      </c>
      <c r="DI56" t="s">
        <v>112</v>
      </c>
      <c r="DO56" t="s">
        <v>200</v>
      </c>
      <c r="DP56" t="s">
        <v>200</v>
      </c>
      <c r="DQ56" t="s">
        <v>198</v>
      </c>
      <c r="DR56" t="s">
        <v>198</v>
      </c>
      <c r="DT56" t="s">
        <v>201</v>
      </c>
      <c r="DV56" t="s">
        <v>202</v>
      </c>
      <c r="DX56" t="s">
        <v>203</v>
      </c>
      <c r="DZ56" t="s">
        <v>1947</v>
      </c>
      <c r="GN56" t="s">
        <v>1948</v>
      </c>
      <c r="GO56" t="s">
        <v>150</v>
      </c>
      <c r="GT56" t="s">
        <v>155</v>
      </c>
      <c r="GV56" t="s">
        <v>157</v>
      </c>
      <c r="HC56" t="s">
        <v>1949</v>
      </c>
      <c r="HE56" t="s">
        <v>1950</v>
      </c>
      <c r="HF56" t="s">
        <v>792</v>
      </c>
    </row>
    <row r="57" spans="1:216" x14ac:dyDescent="0.25">
      <c r="A57">
        <v>10562930986</v>
      </c>
      <c r="B57">
        <v>224510252</v>
      </c>
      <c r="C57" s="2">
        <v>43525.527685185189</v>
      </c>
      <c r="D57" s="2">
        <v>43525.552291666667</v>
      </c>
      <c r="E57" t="s">
        <v>163</v>
      </c>
      <c r="J57" t="s">
        <v>215</v>
      </c>
      <c r="L57">
        <v>2500</v>
      </c>
      <c r="M57">
        <v>80</v>
      </c>
      <c r="N57">
        <v>0</v>
      </c>
      <c r="O57">
        <v>10</v>
      </c>
      <c r="P57">
        <v>10</v>
      </c>
      <c r="Q57">
        <v>0</v>
      </c>
      <c r="R57">
        <v>0</v>
      </c>
      <c r="S57" t="s">
        <v>322</v>
      </c>
      <c r="T57" t="s">
        <v>1951</v>
      </c>
      <c r="U57" t="s">
        <v>166</v>
      </c>
      <c r="V57" t="s">
        <v>1420</v>
      </c>
      <c r="X57" t="s">
        <v>167</v>
      </c>
      <c r="Z57" t="s">
        <v>1547</v>
      </c>
      <c r="AB57" t="s">
        <v>1459</v>
      </c>
      <c r="AC57" t="s">
        <v>170</v>
      </c>
      <c r="AD57" t="s">
        <v>1952</v>
      </c>
      <c r="AE57" t="s">
        <v>1953</v>
      </c>
      <c r="AF57" t="s">
        <v>1954</v>
      </c>
      <c r="AG57" t="s">
        <v>1955</v>
      </c>
      <c r="AH57" t="s">
        <v>223</v>
      </c>
      <c r="AI57" t="s">
        <v>223</v>
      </c>
      <c r="AJ57" t="s">
        <v>223</v>
      </c>
      <c r="AK57" t="s">
        <v>223</v>
      </c>
      <c r="AM57" t="s">
        <v>178</v>
      </c>
      <c r="AO57" t="s">
        <v>177</v>
      </c>
      <c r="AP57" t="s">
        <v>402</v>
      </c>
      <c r="AR57" t="s">
        <v>177</v>
      </c>
      <c r="AV57" t="s">
        <v>1956</v>
      </c>
      <c r="AW57" t="s">
        <v>182</v>
      </c>
      <c r="AY57" t="s">
        <v>177</v>
      </c>
      <c r="BL57" t="s">
        <v>1957</v>
      </c>
      <c r="BV57" t="s">
        <v>313</v>
      </c>
      <c r="BW57" t="s">
        <v>191</v>
      </c>
      <c r="BY57" t="s">
        <v>177</v>
      </c>
      <c r="BZ57" t="s">
        <v>186</v>
      </c>
      <c r="CB57" t="s">
        <v>177</v>
      </c>
      <c r="CV57" t="s">
        <v>1958</v>
      </c>
      <c r="CW57" t="s">
        <v>1959</v>
      </c>
      <c r="CX57" t="s">
        <v>1960</v>
      </c>
      <c r="DF57" t="s">
        <v>1961</v>
      </c>
      <c r="DG57" t="s">
        <v>110</v>
      </c>
      <c r="DH57" t="s">
        <v>111</v>
      </c>
      <c r="DI57" t="s">
        <v>112</v>
      </c>
      <c r="DL57" t="s">
        <v>115</v>
      </c>
      <c r="DO57" t="s">
        <v>200</v>
      </c>
      <c r="DP57" t="s">
        <v>199</v>
      </c>
      <c r="DQ57" t="s">
        <v>198</v>
      </c>
      <c r="DR57" t="s">
        <v>198</v>
      </c>
      <c r="DT57" t="s">
        <v>249</v>
      </c>
      <c r="DV57" t="s">
        <v>228</v>
      </c>
      <c r="DX57" t="s">
        <v>203</v>
      </c>
      <c r="DZ57" t="s">
        <v>1962</v>
      </c>
      <c r="ED57" t="s">
        <v>122</v>
      </c>
      <c r="EE57" t="s">
        <v>123</v>
      </c>
      <c r="EJ57" t="s">
        <v>127</v>
      </c>
      <c r="EL57" t="s">
        <v>200</v>
      </c>
      <c r="EM57" t="s">
        <v>200</v>
      </c>
      <c r="EN57" t="s">
        <v>200</v>
      </c>
      <c r="EO57" t="s">
        <v>200</v>
      </c>
      <c r="EQ57" t="s">
        <v>209</v>
      </c>
      <c r="ES57" t="s">
        <v>202</v>
      </c>
      <c r="ET57" t="s">
        <v>203</v>
      </c>
      <c r="EU57" t="s">
        <v>166</v>
      </c>
      <c r="GN57" t="s">
        <v>1963</v>
      </c>
      <c r="GP57" t="s">
        <v>151</v>
      </c>
      <c r="GQ57" t="s">
        <v>152</v>
      </c>
      <c r="GT57" t="s">
        <v>155</v>
      </c>
      <c r="GV57" t="s">
        <v>157</v>
      </c>
      <c r="GZ57" t="s">
        <v>161</v>
      </c>
      <c r="HA57" t="s">
        <v>162</v>
      </c>
      <c r="HC57" t="s">
        <v>1964</v>
      </c>
      <c r="HE57" t="s">
        <v>1965</v>
      </c>
    </row>
    <row r="58" spans="1:216" x14ac:dyDescent="0.25">
      <c r="A58">
        <v>10538317015</v>
      </c>
      <c r="B58">
        <v>224510252</v>
      </c>
      <c r="C58" s="2">
        <v>43515.584363425929</v>
      </c>
      <c r="D58" s="2">
        <v>43515.588310185187</v>
      </c>
      <c r="E58" t="s">
        <v>904</v>
      </c>
      <c r="J58" t="s">
        <v>315</v>
      </c>
      <c r="L58" t="s">
        <v>1966</v>
      </c>
      <c r="M58">
        <v>60</v>
      </c>
      <c r="N58">
        <v>20</v>
      </c>
      <c r="O58">
        <v>10</v>
      </c>
      <c r="P58">
        <v>5</v>
      </c>
      <c r="Q58">
        <v>5</v>
      </c>
      <c r="R58">
        <v>0</v>
      </c>
      <c r="S58" t="s">
        <v>330</v>
      </c>
      <c r="T58" t="s">
        <v>45</v>
      </c>
      <c r="U58" t="s">
        <v>312</v>
      </c>
      <c r="FL58" t="s">
        <v>198</v>
      </c>
      <c r="FM58" t="s">
        <v>200</v>
      </c>
      <c r="FO58" t="s">
        <v>198</v>
      </c>
      <c r="FP58" t="s">
        <v>198</v>
      </c>
      <c r="FQ58" t="s">
        <v>198</v>
      </c>
      <c r="FS58" t="s">
        <v>198</v>
      </c>
      <c r="FT58" t="s">
        <v>198</v>
      </c>
      <c r="FU58" t="s">
        <v>198</v>
      </c>
      <c r="FW58" t="s">
        <v>198</v>
      </c>
      <c r="FX58" t="s">
        <v>198</v>
      </c>
      <c r="FZ58" t="s">
        <v>1490</v>
      </c>
      <c r="GA58" t="s">
        <v>1540</v>
      </c>
      <c r="GB58" t="s">
        <v>772</v>
      </c>
      <c r="GC58" t="s">
        <v>1438</v>
      </c>
      <c r="GD58" t="s">
        <v>1608</v>
      </c>
      <c r="GF58" t="s">
        <v>1490</v>
      </c>
      <c r="GG58" t="s">
        <v>1540</v>
      </c>
      <c r="GH58" t="s">
        <v>772</v>
      </c>
      <c r="GI58" t="s">
        <v>1438</v>
      </c>
      <c r="GJ58" t="s">
        <v>1608</v>
      </c>
      <c r="GN58" t="s">
        <v>1967</v>
      </c>
      <c r="GP58" t="s">
        <v>151</v>
      </c>
      <c r="GV58" t="s">
        <v>157</v>
      </c>
      <c r="GY58" t="s">
        <v>160</v>
      </c>
      <c r="HC58" t="s">
        <v>1968</v>
      </c>
    </row>
    <row r="59" spans="1:216" x14ac:dyDescent="0.25">
      <c r="A59">
        <v>10538294878</v>
      </c>
      <c r="B59">
        <v>224510252</v>
      </c>
      <c r="C59" s="2">
        <v>43515.562650462962</v>
      </c>
      <c r="D59" s="2">
        <v>43515.575335648151</v>
      </c>
      <c r="E59" t="s">
        <v>904</v>
      </c>
      <c r="J59" t="s">
        <v>315</v>
      </c>
      <c r="L59" t="s">
        <v>1969</v>
      </c>
      <c r="M59">
        <v>40</v>
      </c>
      <c r="N59">
        <v>20</v>
      </c>
      <c r="O59">
        <v>0</v>
      </c>
      <c r="P59">
        <v>0</v>
      </c>
      <c r="Q59">
        <v>40</v>
      </c>
      <c r="R59">
        <v>0</v>
      </c>
      <c r="S59" t="s">
        <v>494</v>
      </c>
      <c r="T59" t="s">
        <v>217</v>
      </c>
      <c r="U59" t="s">
        <v>166</v>
      </c>
      <c r="V59" t="s">
        <v>1499</v>
      </c>
      <c r="X59" t="s">
        <v>168</v>
      </c>
      <c r="Z59" t="s">
        <v>263</v>
      </c>
      <c r="AB59" t="s">
        <v>1970</v>
      </c>
      <c r="AC59" t="s">
        <v>934</v>
      </c>
      <c r="AD59" t="s">
        <v>1971</v>
      </c>
      <c r="AE59" t="s">
        <v>1972</v>
      </c>
      <c r="AF59" t="s">
        <v>1973</v>
      </c>
      <c r="AG59" t="s">
        <v>1974</v>
      </c>
      <c r="AH59" t="s">
        <v>223</v>
      </c>
      <c r="AI59" t="s">
        <v>223</v>
      </c>
      <c r="AJ59" t="s">
        <v>223</v>
      </c>
      <c r="AK59" t="s">
        <v>223</v>
      </c>
      <c r="AM59" t="s">
        <v>178</v>
      </c>
      <c r="AO59" t="s">
        <v>223</v>
      </c>
      <c r="AP59" t="s">
        <v>176</v>
      </c>
      <c r="AR59" t="s">
        <v>223</v>
      </c>
      <c r="AV59" t="s">
        <v>1975</v>
      </c>
      <c r="AW59" t="s">
        <v>182</v>
      </c>
      <c r="AY59" t="s">
        <v>223</v>
      </c>
      <c r="AZ59" t="s">
        <v>183</v>
      </c>
      <c r="BB59" t="s">
        <v>223</v>
      </c>
      <c r="BL59" t="s">
        <v>1976</v>
      </c>
      <c r="CV59" t="s">
        <v>1977</v>
      </c>
      <c r="CW59" t="s">
        <v>1978</v>
      </c>
      <c r="CZ59" t="s">
        <v>111</v>
      </c>
      <c r="DD59" t="s">
        <v>115</v>
      </c>
      <c r="DH59" t="s">
        <v>111</v>
      </c>
      <c r="DL59" t="s">
        <v>115</v>
      </c>
      <c r="DO59" t="s">
        <v>198</v>
      </c>
      <c r="DP59" t="s">
        <v>199</v>
      </c>
      <c r="DQ59" t="s">
        <v>198</v>
      </c>
      <c r="DR59" t="s">
        <v>198</v>
      </c>
      <c r="DT59" t="s">
        <v>201</v>
      </c>
      <c r="DV59" t="s">
        <v>228</v>
      </c>
      <c r="DX59" t="s">
        <v>233</v>
      </c>
      <c r="DZ59" t="s">
        <v>1979</v>
      </c>
      <c r="GQ59" t="s">
        <v>152</v>
      </c>
      <c r="GT59" t="s">
        <v>155</v>
      </c>
      <c r="GV59" t="s">
        <v>157</v>
      </c>
      <c r="GY59" t="s">
        <v>160</v>
      </c>
      <c r="GZ59" t="s">
        <v>161</v>
      </c>
      <c r="HA59" t="s">
        <v>162</v>
      </c>
      <c r="HC59" t="s">
        <v>1980</v>
      </c>
    </row>
    <row r="60" spans="1:216" x14ac:dyDescent="0.25">
      <c r="A60">
        <v>10538211357</v>
      </c>
      <c r="B60">
        <v>224510252</v>
      </c>
      <c r="C60" s="2">
        <v>43515.517870370371</v>
      </c>
      <c r="D60" s="2">
        <v>43515.525925925933</v>
      </c>
      <c r="E60" t="s">
        <v>904</v>
      </c>
      <c r="J60" t="s">
        <v>315</v>
      </c>
      <c r="L60" t="s">
        <v>1981</v>
      </c>
      <c r="M60">
        <v>25</v>
      </c>
      <c r="N60">
        <v>10</v>
      </c>
      <c r="O60">
        <v>0</v>
      </c>
      <c r="P60">
        <v>0</v>
      </c>
      <c r="Q60">
        <v>65</v>
      </c>
      <c r="R60">
        <v>0</v>
      </c>
      <c r="S60" t="s">
        <v>216</v>
      </c>
      <c r="T60" t="s">
        <v>1982</v>
      </c>
      <c r="U60" t="s">
        <v>166</v>
      </c>
      <c r="V60" t="s">
        <v>1420</v>
      </c>
      <c r="X60" t="s">
        <v>263</v>
      </c>
      <c r="Z60" t="s">
        <v>167</v>
      </c>
      <c r="AB60" t="s">
        <v>1680</v>
      </c>
      <c r="AC60" t="s">
        <v>1983</v>
      </c>
      <c r="AE60" t="s">
        <v>1984</v>
      </c>
      <c r="AF60" t="s">
        <v>1985</v>
      </c>
      <c r="AG60" t="s">
        <v>1986</v>
      </c>
      <c r="AH60" t="s">
        <v>405</v>
      </c>
      <c r="AI60" t="s">
        <v>405</v>
      </c>
      <c r="AJ60">
        <v>0</v>
      </c>
      <c r="AK60" t="s">
        <v>405</v>
      </c>
      <c r="AM60" t="s">
        <v>178</v>
      </c>
      <c r="AO60" t="s">
        <v>540</v>
      </c>
      <c r="AP60" t="s">
        <v>176</v>
      </c>
      <c r="AR60" t="s">
        <v>540</v>
      </c>
      <c r="AS60" t="s">
        <v>402</v>
      </c>
      <c r="AU60" t="s">
        <v>540</v>
      </c>
      <c r="AV60" t="s">
        <v>1987</v>
      </c>
      <c r="AW60" t="s">
        <v>180</v>
      </c>
      <c r="AY60" t="s">
        <v>540</v>
      </c>
      <c r="AZ60" t="s">
        <v>182</v>
      </c>
      <c r="BB60" t="s">
        <v>540</v>
      </c>
      <c r="BL60" t="s">
        <v>917</v>
      </c>
      <c r="BM60" t="s">
        <v>184</v>
      </c>
      <c r="BO60" t="s">
        <v>540</v>
      </c>
      <c r="BP60" t="s">
        <v>185</v>
      </c>
      <c r="BR60" t="s">
        <v>540</v>
      </c>
      <c r="BV60" t="s">
        <v>917</v>
      </c>
      <c r="BW60" t="s">
        <v>186</v>
      </c>
      <c r="BY60" t="s">
        <v>540</v>
      </c>
      <c r="BZ60" t="s">
        <v>187</v>
      </c>
      <c r="CB60" t="s">
        <v>540</v>
      </c>
      <c r="CC60" t="s">
        <v>190</v>
      </c>
      <c r="CE60" t="s">
        <v>540</v>
      </c>
      <c r="CF60" t="s">
        <v>191</v>
      </c>
      <c r="CH60" t="s">
        <v>540</v>
      </c>
      <c r="CI60" t="s">
        <v>224</v>
      </c>
      <c r="CK60" t="s">
        <v>540</v>
      </c>
      <c r="CL60" t="s">
        <v>192</v>
      </c>
      <c r="CN60" t="s">
        <v>540</v>
      </c>
      <c r="CO60" t="s">
        <v>193</v>
      </c>
      <c r="CQ60" t="s">
        <v>540</v>
      </c>
      <c r="CU60" t="s">
        <v>917</v>
      </c>
      <c r="CV60" t="s">
        <v>1988</v>
      </c>
      <c r="CW60" t="s">
        <v>1989</v>
      </c>
      <c r="CX60" t="s">
        <v>1990</v>
      </c>
      <c r="CY60" t="s">
        <v>110</v>
      </c>
      <c r="CZ60" t="s">
        <v>111</v>
      </c>
      <c r="DA60" t="s">
        <v>112</v>
      </c>
      <c r="DB60" t="s">
        <v>113</v>
      </c>
      <c r="DF60" t="s">
        <v>1991</v>
      </c>
      <c r="DG60" t="s">
        <v>110</v>
      </c>
      <c r="DH60" t="s">
        <v>111</v>
      </c>
      <c r="DI60" t="s">
        <v>112</v>
      </c>
      <c r="DJ60" t="s">
        <v>113</v>
      </c>
      <c r="DO60" t="s">
        <v>198</v>
      </c>
      <c r="DP60" t="s">
        <v>198</v>
      </c>
      <c r="DQ60" t="s">
        <v>198</v>
      </c>
      <c r="DR60" t="s">
        <v>198</v>
      </c>
      <c r="DT60" t="s">
        <v>201</v>
      </c>
      <c r="DV60" t="s">
        <v>228</v>
      </c>
      <c r="DX60" t="s">
        <v>233</v>
      </c>
      <c r="DZ60" t="s">
        <v>1992</v>
      </c>
      <c r="GN60" t="s">
        <v>1993</v>
      </c>
      <c r="GQ60" t="s">
        <v>152</v>
      </c>
      <c r="GV60" t="s">
        <v>157</v>
      </c>
      <c r="HC60" t="s">
        <v>1994</v>
      </c>
      <c r="HE60" t="s">
        <v>1995</v>
      </c>
      <c r="HF60" t="s">
        <v>1996</v>
      </c>
      <c r="HG60" t="s">
        <v>1997</v>
      </c>
      <c r="HH60" t="s">
        <v>1998</v>
      </c>
    </row>
    <row r="61" spans="1:216" x14ac:dyDescent="0.25">
      <c r="A61">
        <v>10526891829</v>
      </c>
      <c r="B61">
        <v>224510252</v>
      </c>
      <c r="C61" s="2">
        <v>43509.598067129627</v>
      </c>
      <c r="D61" s="2">
        <v>43509.604641203703</v>
      </c>
      <c r="E61" t="s">
        <v>904</v>
      </c>
      <c r="J61" t="s">
        <v>310</v>
      </c>
      <c r="L61" t="s">
        <v>1999</v>
      </c>
      <c r="M61">
        <v>60</v>
      </c>
      <c r="N61">
        <v>20</v>
      </c>
      <c r="O61">
        <v>5</v>
      </c>
      <c r="P61">
        <v>0</v>
      </c>
      <c r="Q61">
        <v>15</v>
      </c>
      <c r="R61">
        <v>0</v>
      </c>
      <c r="S61" t="s">
        <v>261</v>
      </c>
      <c r="T61" t="s">
        <v>2000</v>
      </c>
      <c r="U61" t="s">
        <v>166</v>
      </c>
      <c r="V61" t="s">
        <v>1499</v>
      </c>
      <c r="X61" t="s">
        <v>1473</v>
      </c>
      <c r="Z61" t="s">
        <v>263</v>
      </c>
      <c r="AB61" t="s">
        <v>2001</v>
      </c>
      <c r="AC61" t="s">
        <v>2002</v>
      </c>
      <c r="AD61" t="s">
        <v>2003</v>
      </c>
      <c r="AE61" t="s">
        <v>2004</v>
      </c>
      <c r="AH61" t="s">
        <v>223</v>
      </c>
      <c r="AI61" t="s">
        <v>223</v>
      </c>
      <c r="AJ61" t="s">
        <v>223</v>
      </c>
      <c r="AK61" t="s">
        <v>223</v>
      </c>
      <c r="AM61" t="s">
        <v>402</v>
      </c>
      <c r="AW61" t="s">
        <v>180</v>
      </c>
      <c r="CV61" t="s">
        <v>2005</v>
      </c>
      <c r="CY61" t="s">
        <v>110</v>
      </c>
      <c r="DA61" t="s">
        <v>112</v>
      </c>
      <c r="DG61" t="s">
        <v>110</v>
      </c>
      <c r="DI61" t="s">
        <v>112</v>
      </c>
      <c r="DO61" t="s">
        <v>424</v>
      </c>
      <c r="DP61" t="s">
        <v>199</v>
      </c>
      <c r="DQ61" t="s">
        <v>424</v>
      </c>
      <c r="DR61" t="s">
        <v>424</v>
      </c>
      <c r="DT61" t="s">
        <v>249</v>
      </c>
      <c r="DV61" t="s">
        <v>228</v>
      </c>
      <c r="DX61" t="s">
        <v>433</v>
      </c>
      <c r="DZ61" t="s">
        <v>1101</v>
      </c>
      <c r="GN61" t="s">
        <v>2006</v>
      </c>
      <c r="GO61" t="s">
        <v>150</v>
      </c>
      <c r="GQ61" t="s">
        <v>152</v>
      </c>
      <c r="GS61" t="s">
        <v>154</v>
      </c>
      <c r="GT61" t="s">
        <v>155</v>
      </c>
      <c r="GU61" t="s">
        <v>156</v>
      </c>
      <c r="GW61" t="s">
        <v>158</v>
      </c>
      <c r="GY61" t="s">
        <v>160</v>
      </c>
      <c r="GZ61" t="s">
        <v>161</v>
      </c>
    </row>
    <row r="62" spans="1:216" x14ac:dyDescent="0.25">
      <c r="A62">
        <v>10526880014</v>
      </c>
      <c r="B62">
        <v>224510252</v>
      </c>
      <c r="C62" s="2">
        <v>43509.59034722222</v>
      </c>
      <c r="D62" s="2">
        <v>43509.597939814812</v>
      </c>
      <c r="E62" t="s">
        <v>904</v>
      </c>
      <c r="J62" t="s">
        <v>310</v>
      </c>
      <c r="L62" t="s">
        <v>2007</v>
      </c>
      <c r="M62">
        <v>60</v>
      </c>
      <c r="N62">
        <v>30</v>
      </c>
      <c r="O62">
        <v>10</v>
      </c>
      <c r="P62">
        <v>0</v>
      </c>
      <c r="Q62">
        <v>0</v>
      </c>
      <c r="R62">
        <v>0</v>
      </c>
      <c r="S62" t="s">
        <v>494</v>
      </c>
      <c r="T62" t="s">
        <v>2008</v>
      </c>
      <c r="U62" t="s">
        <v>166</v>
      </c>
      <c r="V62" t="s">
        <v>1420</v>
      </c>
      <c r="X62" t="s">
        <v>263</v>
      </c>
      <c r="Z62" t="s">
        <v>263</v>
      </c>
      <c r="AB62" t="s">
        <v>575</v>
      </c>
      <c r="AC62" t="s">
        <v>2009</v>
      </c>
      <c r="AD62" t="s">
        <v>2010</v>
      </c>
      <c r="AE62" t="s">
        <v>2011</v>
      </c>
      <c r="AH62" t="s">
        <v>405</v>
      </c>
      <c r="AI62" t="s">
        <v>405</v>
      </c>
      <c r="AJ62" t="s">
        <v>405</v>
      </c>
      <c r="AK62" t="s">
        <v>405</v>
      </c>
      <c r="AL62" t="s">
        <v>2012</v>
      </c>
      <c r="AM62" t="s">
        <v>178</v>
      </c>
      <c r="AO62" t="s">
        <v>223</v>
      </c>
      <c r="AV62">
        <v>5</v>
      </c>
      <c r="AW62" t="s">
        <v>182</v>
      </c>
      <c r="AY62" t="s">
        <v>223</v>
      </c>
      <c r="BM62" t="s">
        <v>184</v>
      </c>
      <c r="BO62" t="s">
        <v>223</v>
      </c>
      <c r="BW62" t="s">
        <v>187</v>
      </c>
      <c r="BY62" t="s">
        <v>223</v>
      </c>
      <c r="CV62" t="s">
        <v>2013</v>
      </c>
      <c r="CW62" t="s">
        <v>2014</v>
      </c>
      <c r="CX62" t="s">
        <v>2015</v>
      </c>
      <c r="DF62" t="s">
        <v>2016</v>
      </c>
      <c r="DN62" t="s">
        <v>2017</v>
      </c>
      <c r="DO62" t="s">
        <v>424</v>
      </c>
      <c r="DP62" t="s">
        <v>199</v>
      </c>
      <c r="DQ62" t="s">
        <v>424</v>
      </c>
      <c r="DR62" t="s">
        <v>424</v>
      </c>
      <c r="DT62" t="s">
        <v>201</v>
      </c>
      <c r="DV62" t="s">
        <v>202</v>
      </c>
      <c r="DX62" t="s">
        <v>203</v>
      </c>
      <c r="DZ62" t="s">
        <v>2018</v>
      </c>
      <c r="EA62" t="s">
        <v>2019</v>
      </c>
      <c r="EK62" t="s">
        <v>2020</v>
      </c>
      <c r="GN62" t="s">
        <v>2021</v>
      </c>
      <c r="GP62" t="s">
        <v>151</v>
      </c>
      <c r="GQ62" t="s">
        <v>152</v>
      </c>
      <c r="GS62" t="s">
        <v>154</v>
      </c>
      <c r="GT62" t="s">
        <v>155</v>
      </c>
      <c r="GU62" t="s">
        <v>156</v>
      </c>
      <c r="GV62" t="s">
        <v>157</v>
      </c>
      <c r="GW62" t="s">
        <v>158</v>
      </c>
      <c r="GX62" t="s">
        <v>159</v>
      </c>
      <c r="GY62" t="s">
        <v>160</v>
      </c>
      <c r="GZ62" t="s">
        <v>161</v>
      </c>
      <c r="HA62" t="s">
        <v>162</v>
      </c>
      <c r="HC62" t="s">
        <v>2022</v>
      </c>
      <c r="HE62" t="s">
        <v>2023</v>
      </c>
      <c r="HF62" t="s">
        <v>2024</v>
      </c>
      <c r="HH62" t="s">
        <v>2025</v>
      </c>
    </row>
    <row r="63" spans="1:216" x14ac:dyDescent="0.25">
      <c r="A63">
        <v>10526854584</v>
      </c>
      <c r="B63">
        <v>224510252</v>
      </c>
      <c r="C63" s="2">
        <v>43509.559270833342</v>
      </c>
      <c r="D63" s="2">
        <v>43509.579722222217</v>
      </c>
      <c r="E63" t="s">
        <v>904</v>
      </c>
      <c r="J63" t="s">
        <v>279</v>
      </c>
      <c r="L63">
        <v>1600</v>
      </c>
      <c r="M63">
        <v>99</v>
      </c>
      <c r="N63">
        <v>33</v>
      </c>
      <c r="O63">
        <v>1</v>
      </c>
      <c r="P63">
        <v>0</v>
      </c>
      <c r="Q63">
        <v>0</v>
      </c>
      <c r="R63">
        <v>0</v>
      </c>
      <c r="S63" t="s">
        <v>216</v>
      </c>
      <c r="T63" t="s">
        <v>2026</v>
      </c>
      <c r="U63" t="s">
        <v>166</v>
      </c>
      <c r="V63" t="s">
        <v>1420</v>
      </c>
      <c r="X63" t="s">
        <v>263</v>
      </c>
      <c r="Z63" t="s">
        <v>263</v>
      </c>
      <c r="AB63" t="s">
        <v>1475</v>
      </c>
      <c r="AC63" t="s">
        <v>2027</v>
      </c>
      <c r="AD63" t="s">
        <v>2028</v>
      </c>
      <c r="AG63" t="s">
        <v>2029</v>
      </c>
      <c r="AH63" t="s">
        <v>223</v>
      </c>
      <c r="AI63" t="s">
        <v>223</v>
      </c>
      <c r="AJ63" t="s">
        <v>223</v>
      </c>
      <c r="AK63" t="s">
        <v>223</v>
      </c>
      <c r="AM63" t="s">
        <v>176</v>
      </c>
      <c r="AW63" t="s">
        <v>180</v>
      </c>
      <c r="BM63" t="s">
        <v>184</v>
      </c>
      <c r="CV63" t="s">
        <v>2030</v>
      </c>
      <c r="DD63" t="s">
        <v>115</v>
      </c>
      <c r="DL63" t="s">
        <v>115</v>
      </c>
      <c r="DO63" t="s">
        <v>198</v>
      </c>
      <c r="DP63" t="s">
        <v>199</v>
      </c>
      <c r="DQ63" t="s">
        <v>200</v>
      </c>
      <c r="DR63" t="s">
        <v>198</v>
      </c>
      <c r="DT63" t="s">
        <v>201</v>
      </c>
      <c r="DV63" t="s">
        <v>202</v>
      </c>
      <c r="DX63" t="s">
        <v>433</v>
      </c>
      <c r="DZ63" t="s">
        <v>2031</v>
      </c>
      <c r="GO63" t="s">
        <v>150</v>
      </c>
      <c r="GQ63" t="s">
        <v>152</v>
      </c>
      <c r="GT63" t="s">
        <v>155</v>
      </c>
      <c r="GV63" t="s">
        <v>157</v>
      </c>
      <c r="GY63" t="s">
        <v>160</v>
      </c>
      <c r="GZ63" t="s">
        <v>161</v>
      </c>
      <c r="HA63" t="s">
        <v>162</v>
      </c>
      <c r="HC63" t="s">
        <v>2032</v>
      </c>
      <c r="HE63" t="s">
        <v>1721</v>
      </c>
      <c r="HF63" t="s">
        <v>2033</v>
      </c>
    </row>
    <row r="64" spans="1:216" x14ac:dyDescent="0.25">
      <c r="A64">
        <v>10526710480</v>
      </c>
      <c r="B64">
        <v>224510252</v>
      </c>
      <c r="C64" s="2">
        <v>43509.491863425923</v>
      </c>
      <c r="D64" s="2">
        <v>43509.498425925929</v>
      </c>
      <c r="E64" t="s">
        <v>904</v>
      </c>
      <c r="J64" t="s">
        <v>948</v>
      </c>
      <c r="L64" t="s">
        <v>2034</v>
      </c>
      <c r="M64">
        <v>70</v>
      </c>
      <c r="N64">
        <v>0</v>
      </c>
      <c r="O64">
        <v>20</v>
      </c>
      <c r="P64">
        <v>5</v>
      </c>
      <c r="Q64">
        <v>5</v>
      </c>
      <c r="R64">
        <v>0</v>
      </c>
      <c r="S64" t="s">
        <v>216</v>
      </c>
      <c r="T64" t="s">
        <v>2035</v>
      </c>
      <c r="U64" t="s">
        <v>166</v>
      </c>
      <c r="V64" t="s">
        <v>1420</v>
      </c>
      <c r="X64" t="s">
        <v>168</v>
      </c>
      <c r="Z64" t="s">
        <v>238</v>
      </c>
      <c r="AB64" t="s">
        <v>1475</v>
      </c>
      <c r="AC64" t="s">
        <v>2036</v>
      </c>
      <c r="AD64" t="s">
        <v>2037</v>
      </c>
      <c r="AE64" t="s">
        <v>2038</v>
      </c>
      <c r="DZ64" t="s">
        <v>2039</v>
      </c>
      <c r="EA64" t="s">
        <v>2040</v>
      </c>
      <c r="EB64" t="s">
        <v>2041</v>
      </c>
      <c r="EC64" t="s">
        <v>2042</v>
      </c>
      <c r="EE64" t="s">
        <v>123</v>
      </c>
      <c r="EG64" t="s">
        <v>113</v>
      </c>
      <c r="EL64" t="s">
        <v>198</v>
      </c>
      <c r="EM64" t="s">
        <v>200</v>
      </c>
      <c r="EN64" t="s">
        <v>198</v>
      </c>
      <c r="EO64" t="s">
        <v>198</v>
      </c>
      <c r="EQ64" t="s">
        <v>209</v>
      </c>
      <c r="ES64" t="s">
        <v>254</v>
      </c>
      <c r="ET64" t="s">
        <v>233</v>
      </c>
      <c r="EU64" t="s">
        <v>2043</v>
      </c>
      <c r="GP64" t="s">
        <v>151</v>
      </c>
      <c r="GV64" t="s">
        <v>157</v>
      </c>
      <c r="HB64" t="s">
        <v>2044</v>
      </c>
      <c r="HC64" t="s">
        <v>2045</v>
      </c>
      <c r="HD64" t="s">
        <v>2046</v>
      </c>
      <c r="HE64" t="s">
        <v>2047</v>
      </c>
      <c r="HF64" t="s">
        <v>2048</v>
      </c>
      <c r="HG64" t="s">
        <v>2049</v>
      </c>
      <c r="HH64">
        <v>429421819</v>
      </c>
    </row>
    <row r="65" spans="1:215" x14ac:dyDescent="0.25">
      <c r="A65">
        <v>10521490875</v>
      </c>
      <c r="B65">
        <v>224510252</v>
      </c>
      <c r="C65" s="2">
        <v>43507.411122685182</v>
      </c>
      <c r="D65" s="2">
        <v>43507.412881944438</v>
      </c>
      <c r="E65" t="s">
        <v>904</v>
      </c>
      <c r="J65" t="s">
        <v>366</v>
      </c>
      <c r="L65">
        <v>600</v>
      </c>
      <c r="M65">
        <v>70</v>
      </c>
      <c r="N65">
        <v>10</v>
      </c>
      <c r="O65">
        <v>15</v>
      </c>
      <c r="P65">
        <v>5</v>
      </c>
      <c r="Q65">
        <v>0</v>
      </c>
      <c r="R65">
        <v>0</v>
      </c>
      <c r="S65" t="s">
        <v>494</v>
      </c>
      <c r="T65" t="s">
        <v>2050</v>
      </c>
      <c r="U65" t="s">
        <v>312</v>
      </c>
      <c r="FL65" t="s">
        <v>198</v>
      </c>
      <c r="FM65" t="s">
        <v>199</v>
      </c>
      <c r="FP65" t="s">
        <v>424</v>
      </c>
      <c r="FQ65" t="s">
        <v>198</v>
      </c>
      <c r="FR65" t="s">
        <v>198</v>
      </c>
      <c r="FT65" t="s">
        <v>198</v>
      </c>
      <c r="FU65" t="s">
        <v>198</v>
      </c>
      <c r="FW65" t="s">
        <v>198</v>
      </c>
      <c r="FX65" t="s">
        <v>200</v>
      </c>
      <c r="GA65" t="s">
        <v>1540</v>
      </c>
      <c r="GB65" t="s">
        <v>772</v>
      </c>
      <c r="GD65" t="s">
        <v>1608</v>
      </c>
      <c r="GG65" t="s">
        <v>1540</v>
      </c>
      <c r="GH65" t="s">
        <v>772</v>
      </c>
      <c r="GJ65" t="s">
        <v>1608</v>
      </c>
      <c r="GN65" t="s">
        <v>2051</v>
      </c>
      <c r="GQ65" t="s">
        <v>152</v>
      </c>
      <c r="GT65" t="s">
        <v>155</v>
      </c>
      <c r="GW65" t="s">
        <v>158</v>
      </c>
    </row>
    <row r="66" spans="1:215" x14ac:dyDescent="0.25">
      <c r="A66">
        <v>10521465270</v>
      </c>
      <c r="B66">
        <v>224510252</v>
      </c>
      <c r="C66" s="2">
        <v>43507.390474537038</v>
      </c>
      <c r="D66" s="2">
        <v>43507.39403935185</v>
      </c>
      <c r="E66" t="s">
        <v>904</v>
      </c>
      <c r="J66" t="s">
        <v>215</v>
      </c>
      <c r="L66" t="s">
        <v>2052</v>
      </c>
      <c r="M66">
        <v>65</v>
      </c>
      <c r="N66">
        <v>0</v>
      </c>
      <c r="O66">
        <v>20</v>
      </c>
      <c r="P66">
        <v>0</v>
      </c>
      <c r="Q66">
        <v>5</v>
      </c>
      <c r="R66">
        <v>10</v>
      </c>
      <c r="S66" t="s">
        <v>322</v>
      </c>
      <c r="T66" t="s">
        <v>1160</v>
      </c>
      <c r="U66" t="s">
        <v>312</v>
      </c>
      <c r="FL66" t="s">
        <v>198</v>
      </c>
      <c r="FM66" t="s">
        <v>198</v>
      </c>
      <c r="FP66" t="s">
        <v>198</v>
      </c>
      <c r="FV66" t="s">
        <v>2053</v>
      </c>
      <c r="FW66" t="s">
        <v>198</v>
      </c>
      <c r="FX66" t="s">
        <v>198</v>
      </c>
      <c r="GB66" t="s">
        <v>772</v>
      </c>
      <c r="GH66" t="s">
        <v>772</v>
      </c>
      <c r="GL66" t="s">
        <v>2054</v>
      </c>
      <c r="GN66" t="s">
        <v>2055</v>
      </c>
      <c r="GQ66" t="s">
        <v>152</v>
      </c>
      <c r="GT66" t="s">
        <v>155</v>
      </c>
      <c r="GV66" t="s">
        <v>157</v>
      </c>
      <c r="GX66" t="s">
        <v>159</v>
      </c>
      <c r="HA66" t="s">
        <v>162</v>
      </c>
      <c r="HC66" t="s">
        <v>2056</v>
      </c>
    </row>
    <row r="67" spans="1:215" x14ac:dyDescent="0.25">
      <c r="A67">
        <v>10521452435</v>
      </c>
      <c r="B67">
        <v>224510252</v>
      </c>
      <c r="C67" s="2">
        <v>43507.380196759259</v>
      </c>
      <c r="D67" s="2">
        <v>43507.382754629631</v>
      </c>
      <c r="E67" t="s">
        <v>904</v>
      </c>
      <c r="J67" t="s">
        <v>215</v>
      </c>
      <c r="L67" t="s">
        <v>2057</v>
      </c>
      <c r="M67">
        <v>50</v>
      </c>
      <c r="N67">
        <v>0</v>
      </c>
      <c r="O67">
        <v>20</v>
      </c>
      <c r="P67">
        <v>10</v>
      </c>
      <c r="Q67">
        <v>10</v>
      </c>
      <c r="R67">
        <v>10</v>
      </c>
      <c r="S67" t="s">
        <v>494</v>
      </c>
      <c r="T67" t="s">
        <v>2058</v>
      </c>
      <c r="U67" t="s">
        <v>312</v>
      </c>
      <c r="FL67" t="s">
        <v>198</v>
      </c>
      <c r="FM67" t="s">
        <v>200</v>
      </c>
      <c r="FO67" t="s">
        <v>199</v>
      </c>
      <c r="FP67" t="s">
        <v>424</v>
      </c>
      <c r="FQ67" t="s">
        <v>199</v>
      </c>
      <c r="FR67" t="s">
        <v>199</v>
      </c>
      <c r="FS67" t="s">
        <v>199</v>
      </c>
      <c r="FT67" t="s">
        <v>199</v>
      </c>
      <c r="FU67" t="s">
        <v>198</v>
      </c>
      <c r="FW67" t="s">
        <v>424</v>
      </c>
      <c r="FX67" t="s">
        <v>200</v>
      </c>
      <c r="GB67" t="s">
        <v>772</v>
      </c>
      <c r="GH67" t="s">
        <v>772</v>
      </c>
      <c r="GN67" t="s">
        <v>2059</v>
      </c>
      <c r="GP67" t="s">
        <v>151</v>
      </c>
      <c r="GQ67" t="s">
        <v>152</v>
      </c>
      <c r="GT67" t="s">
        <v>155</v>
      </c>
      <c r="GV67" t="s">
        <v>157</v>
      </c>
      <c r="GY67" t="s">
        <v>160</v>
      </c>
      <c r="HA67" t="s">
        <v>162</v>
      </c>
      <c r="HC67" t="s">
        <v>2060</v>
      </c>
    </row>
    <row r="68" spans="1:215" x14ac:dyDescent="0.25">
      <c r="A68">
        <v>10521438021</v>
      </c>
      <c r="B68">
        <v>224510252</v>
      </c>
      <c r="C68" s="2">
        <v>43507.367986111109</v>
      </c>
      <c r="D68" s="2">
        <v>43507.376504629632</v>
      </c>
      <c r="E68" t="s">
        <v>904</v>
      </c>
      <c r="J68" t="s">
        <v>215</v>
      </c>
      <c r="L68">
        <v>600</v>
      </c>
      <c r="M68">
        <v>70</v>
      </c>
      <c r="N68">
        <v>0</v>
      </c>
      <c r="O68">
        <v>30</v>
      </c>
      <c r="P68">
        <v>0</v>
      </c>
      <c r="Q68">
        <v>0</v>
      </c>
      <c r="R68">
        <v>0</v>
      </c>
      <c r="S68" t="s">
        <v>261</v>
      </c>
      <c r="T68" t="s">
        <v>2061</v>
      </c>
      <c r="U68" t="s">
        <v>166</v>
      </c>
      <c r="V68" t="s">
        <v>1420</v>
      </c>
      <c r="X68" t="s">
        <v>1547</v>
      </c>
      <c r="Z68" t="s">
        <v>1547</v>
      </c>
      <c r="AB68" t="s">
        <v>2062</v>
      </c>
      <c r="AC68" t="s">
        <v>2063</v>
      </c>
      <c r="AD68" t="s">
        <v>2064</v>
      </c>
      <c r="AE68" t="s">
        <v>2065</v>
      </c>
      <c r="AF68" t="s">
        <v>2066</v>
      </c>
      <c r="AG68" t="s">
        <v>2067</v>
      </c>
      <c r="AH68" t="s">
        <v>403</v>
      </c>
      <c r="AI68" t="s">
        <v>403</v>
      </c>
      <c r="AJ68" t="s">
        <v>403</v>
      </c>
      <c r="AK68" t="s">
        <v>403</v>
      </c>
      <c r="AM68" t="s">
        <v>178</v>
      </c>
      <c r="AO68" t="s">
        <v>405</v>
      </c>
      <c r="AP68" t="s">
        <v>176</v>
      </c>
      <c r="AR68" t="s">
        <v>405</v>
      </c>
      <c r="AS68" t="s">
        <v>402</v>
      </c>
      <c r="AU68" t="s">
        <v>405</v>
      </c>
      <c r="AV68" t="s">
        <v>2068</v>
      </c>
      <c r="AW68" t="s">
        <v>180</v>
      </c>
      <c r="AY68" t="s">
        <v>405</v>
      </c>
      <c r="AZ68" t="s">
        <v>182</v>
      </c>
      <c r="BB68" t="s">
        <v>405</v>
      </c>
      <c r="BC68" t="s">
        <v>679</v>
      </c>
      <c r="BE68" t="s">
        <v>405</v>
      </c>
      <c r="BL68" t="s">
        <v>2069</v>
      </c>
      <c r="BM68" t="s">
        <v>184</v>
      </c>
      <c r="BO68" t="s">
        <v>405</v>
      </c>
      <c r="BP68" t="s">
        <v>185</v>
      </c>
      <c r="BR68" t="s">
        <v>405</v>
      </c>
      <c r="BV68" t="s">
        <v>2069</v>
      </c>
      <c r="BW68" t="s">
        <v>186</v>
      </c>
      <c r="BY68" t="s">
        <v>405</v>
      </c>
      <c r="BZ68" t="s">
        <v>187</v>
      </c>
      <c r="CB68" t="s">
        <v>405</v>
      </c>
      <c r="CC68" t="s">
        <v>191</v>
      </c>
      <c r="CE68" t="s">
        <v>405</v>
      </c>
      <c r="CF68" t="s">
        <v>192</v>
      </c>
      <c r="CH68" t="s">
        <v>405</v>
      </c>
      <c r="CI68" t="s">
        <v>193</v>
      </c>
      <c r="CK68" t="s">
        <v>405</v>
      </c>
      <c r="CL68" t="s">
        <v>1011</v>
      </c>
      <c r="CN68" t="s">
        <v>405</v>
      </c>
      <c r="CU68" t="s">
        <v>2068</v>
      </c>
      <c r="CV68" t="s">
        <v>2070</v>
      </c>
      <c r="CW68" t="s">
        <v>2071</v>
      </c>
      <c r="CX68" t="s">
        <v>2072</v>
      </c>
      <c r="CZ68" t="s">
        <v>111</v>
      </c>
      <c r="DH68" t="s">
        <v>111</v>
      </c>
      <c r="DO68" t="s">
        <v>200</v>
      </c>
      <c r="DP68" t="s">
        <v>199</v>
      </c>
      <c r="DQ68" t="s">
        <v>198</v>
      </c>
      <c r="DR68" t="s">
        <v>198</v>
      </c>
      <c r="DT68" t="s">
        <v>201</v>
      </c>
      <c r="DV68" t="s">
        <v>228</v>
      </c>
      <c r="DX68" t="s">
        <v>233</v>
      </c>
      <c r="DZ68" t="s">
        <v>2073</v>
      </c>
      <c r="EA68" t="s">
        <v>2074</v>
      </c>
      <c r="EB68" t="s">
        <v>2075</v>
      </c>
      <c r="EC68" t="s">
        <v>2076</v>
      </c>
      <c r="EE68" t="s">
        <v>123</v>
      </c>
      <c r="EL68" t="s">
        <v>200</v>
      </c>
      <c r="EM68" t="s">
        <v>199</v>
      </c>
      <c r="EN68" t="s">
        <v>198</v>
      </c>
      <c r="EO68" t="s">
        <v>198</v>
      </c>
      <c r="EQ68" t="s">
        <v>209</v>
      </c>
      <c r="ES68" t="s">
        <v>228</v>
      </c>
      <c r="ET68" t="s">
        <v>233</v>
      </c>
      <c r="EU68" t="s">
        <v>2077</v>
      </c>
      <c r="GN68" t="s">
        <v>2078</v>
      </c>
      <c r="GQ68" t="s">
        <v>152</v>
      </c>
      <c r="GT68" t="s">
        <v>155</v>
      </c>
      <c r="GW68" t="s">
        <v>158</v>
      </c>
      <c r="GZ68" t="s">
        <v>161</v>
      </c>
    </row>
    <row r="69" spans="1:215" x14ac:dyDescent="0.25">
      <c r="A69">
        <v>10521420076</v>
      </c>
      <c r="B69">
        <v>224510252</v>
      </c>
      <c r="C69" s="2">
        <v>43507.350787037038</v>
      </c>
      <c r="D69" s="2">
        <v>43507.364259259259</v>
      </c>
      <c r="E69" t="s">
        <v>904</v>
      </c>
      <c r="J69" t="s">
        <v>215</v>
      </c>
      <c r="L69">
        <v>600</v>
      </c>
      <c r="M69">
        <v>70</v>
      </c>
      <c r="N69">
        <v>0</v>
      </c>
      <c r="O69">
        <v>30</v>
      </c>
      <c r="P69">
        <v>0</v>
      </c>
      <c r="Q69">
        <v>0</v>
      </c>
      <c r="R69">
        <v>0</v>
      </c>
      <c r="S69" t="s">
        <v>261</v>
      </c>
      <c r="T69" t="s">
        <v>2061</v>
      </c>
      <c r="U69" t="s">
        <v>166</v>
      </c>
      <c r="V69" t="s">
        <v>1420</v>
      </c>
      <c r="X69" t="s">
        <v>1547</v>
      </c>
      <c r="Z69" t="s">
        <v>1547</v>
      </c>
      <c r="AB69" t="s">
        <v>381</v>
      </c>
      <c r="AC69" t="s">
        <v>2079</v>
      </c>
      <c r="AD69" t="s">
        <v>2080</v>
      </c>
      <c r="AE69" t="s">
        <v>2065</v>
      </c>
      <c r="AF69" t="s">
        <v>2066</v>
      </c>
      <c r="AG69" t="s">
        <v>2081</v>
      </c>
      <c r="AH69" t="s">
        <v>403</v>
      </c>
      <c r="AI69" t="s">
        <v>403</v>
      </c>
      <c r="AJ69" t="s">
        <v>403</v>
      </c>
      <c r="AK69" t="s">
        <v>403</v>
      </c>
      <c r="AM69" t="s">
        <v>178</v>
      </c>
      <c r="AO69" t="s">
        <v>405</v>
      </c>
      <c r="AP69" t="s">
        <v>176</v>
      </c>
      <c r="AR69" t="s">
        <v>405</v>
      </c>
      <c r="AS69" t="s">
        <v>402</v>
      </c>
      <c r="AU69" t="s">
        <v>405</v>
      </c>
      <c r="AV69" t="s">
        <v>2068</v>
      </c>
      <c r="AW69" t="s">
        <v>180</v>
      </c>
      <c r="AY69" t="s">
        <v>405</v>
      </c>
      <c r="AZ69" t="s">
        <v>182</v>
      </c>
      <c r="BB69" t="s">
        <v>405</v>
      </c>
      <c r="BC69" t="s">
        <v>679</v>
      </c>
      <c r="BE69" t="s">
        <v>405</v>
      </c>
      <c r="BL69" t="s">
        <v>2069</v>
      </c>
      <c r="BM69" t="s">
        <v>184</v>
      </c>
      <c r="BO69" t="s">
        <v>405</v>
      </c>
      <c r="BP69" t="s">
        <v>185</v>
      </c>
      <c r="BR69" t="s">
        <v>405</v>
      </c>
      <c r="BV69" t="s">
        <v>2082</v>
      </c>
      <c r="BW69" t="s">
        <v>186</v>
      </c>
      <c r="BY69" t="s">
        <v>405</v>
      </c>
      <c r="BZ69" t="s">
        <v>187</v>
      </c>
      <c r="CB69" t="s">
        <v>405</v>
      </c>
      <c r="CC69" t="s">
        <v>191</v>
      </c>
      <c r="CE69" t="s">
        <v>405</v>
      </c>
      <c r="CF69" t="s">
        <v>192</v>
      </c>
      <c r="CH69" t="s">
        <v>405</v>
      </c>
      <c r="CI69" t="s">
        <v>193</v>
      </c>
      <c r="CK69" t="s">
        <v>405</v>
      </c>
      <c r="CL69" t="s">
        <v>1011</v>
      </c>
      <c r="CN69" t="s">
        <v>405</v>
      </c>
      <c r="CU69" t="s">
        <v>2068</v>
      </c>
      <c r="CV69" t="s">
        <v>2070</v>
      </c>
      <c r="CW69" t="s">
        <v>2071</v>
      </c>
      <c r="CX69" t="s">
        <v>2072</v>
      </c>
      <c r="CZ69" t="s">
        <v>111</v>
      </c>
      <c r="DH69" t="s">
        <v>111</v>
      </c>
      <c r="DO69" t="s">
        <v>200</v>
      </c>
      <c r="DP69" t="s">
        <v>199</v>
      </c>
      <c r="DQ69" t="s">
        <v>200</v>
      </c>
      <c r="DR69" t="s">
        <v>200</v>
      </c>
      <c r="DT69" t="s">
        <v>201</v>
      </c>
      <c r="DV69" t="s">
        <v>228</v>
      </c>
      <c r="DX69" t="s">
        <v>233</v>
      </c>
    </row>
    <row r="70" spans="1:215" x14ac:dyDescent="0.25">
      <c r="A70">
        <v>10517303436</v>
      </c>
      <c r="B70">
        <v>224510252</v>
      </c>
      <c r="C70" s="2">
        <v>43504.675763888888</v>
      </c>
      <c r="D70" s="2">
        <v>43504.678032407413</v>
      </c>
      <c r="E70" t="s">
        <v>904</v>
      </c>
      <c r="J70" t="s">
        <v>215</v>
      </c>
      <c r="L70" t="s">
        <v>2083</v>
      </c>
      <c r="M70">
        <v>65</v>
      </c>
      <c r="N70">
        <v>1</v>
      </c>
      <c r="O70">
        <v>15</v>
      </c>
      <c r="P70">
        <v>5</v>
      </c>
      <c r="Q70">
        <v>4</v>
      </c>
      <c r="R70">
        <v>5</v>
      </c>
      <c r="S70" t="s">
        <v>401</v>
      </c>
      <c r="T70" t="s">
        <v>45</v>
      </c>
      <c r="U70" t="s">
        <v>312</v>
      </c>
      <c r="FL70" t="s">
        <v>200</v>
      </c>
      <c r="FM70" t="s">
        <v>200</v>
      </c>
      <c r="FO70" t="s">
        <v>200</v>
      </c>
      <c r="FP70" t="s">
        <v>200</v>
      </c>
      <c r="FQ70" t="s">
        <v>200</v>
      </c>
      <c r="FR70" t="s">
        <v>198</v>
      </c>
      <c r="FS70" t="s">
        <v>198</v>
      </c>
      <c r="FT70" t="s">
        <v>198</v>
      </c>
      <c r="FU70" t="s">
        <v>200</v>
      </c>
      <c r="FW70" t="s">
        <v>198</v>
      </c>
      <c r="FX70" t="s">
        <v>198</v>
      </c>
      <c r="GD70" t="s">
        <v>1608</v>
      </c>
      <c r="GJ70" t="s">
        <v>1608</v>
      </c>
      <c r="GN70" t="s">
        <v>2084</v>
      </c>
      <c r="GO70" t="s">
        <v>150</v>
      </c>
      <c r="GT70" t="s">
        <v>155</v>
      </c>
      <c r="GV70" t="s">
        <v>157</v>
      </c>
      <c r="HC70" t="s">
        <v>2085</v>
      </c>
    </row>
    <row r="71" spans="1:215" x14ac:dyDescent="0.25">
      <c r="A71">
        <v>10517286215</v>
      </c>
      <c r="B71">
        <v>224510252</v>
      </c>
      <c r="C71" s="2">
        <v>43504.662638888891</v>
      </c>
      <c r="D71" s="2">
        <v>43504.667083333326</v>
      </c>
      <c r="E71" t="s">
        <v>904</v>
      </c>
      <c r="J71" t="s">
        <v>948</v>
      </c>
      <c r="L71">
        <v>800</v>
      </c>
      <c r="M71">
        <v>55</v>
      </c>
      <c r="N71">
        <v>5</v>
      </c>
      <c r="O71">
        <v>20</v>
      </c>
      <c r="P71">
        <v>20</v>
      </c>
      <c r="Q71">
        <v>0</v>
      </c>
      <c r="R71">
        <v>0</v>
      </c>
      <c r="S71" t="s">
        <v>261</v>
      </c>
      <c r="T71" t="s">
        <v>2086</v>
      </c>
      <c r="U71" t="s">
        <v>166</v>
      </c>
      <c r="V71" t="s">
        <v>1420</v>
      </c>
      <c r="X71" t="s">
        <v>168</v>
      </c>
      <c r="Z71" t="s">
        <v>168</v>
      </c>
      <c r="AB71" t="s">
        <v>708</v>
      </c>
      <c r="AC71" t="s">
        <v>1459</v>
      </c>
      <c r="AD71" t="s">
        <v>2087</v>
      </c>
      <c r="AE71" t="s">
        <v>2088</v>
      </c>
      <c r="AF71" t="s">
        <v>2089</v>
      </c>
      <c r="AH71" t="s">
        <v>1682</v>
      </c>
      <c r="AI71" t="s">
        <v>1682</v>
      </c>
      <c r="AJ71" t="s">
        <v>1682</v>
      </c>
      <c r="AK71" t="s">
        <v>1682</v>
      </c>
      <c r="AM71" t="s">
        <v>178</v>
      </c>
      <c r="AO71" t="s">
        <v>223</v>
      </c>
      <c r="AP71" t="s">
        <v>176</v>
      </c>
      <c r="AR71" t="s">
        <v>223</v>
      </c>
      <c r="AS71" t="s">
        <v>402</v>
      </c>
      <c r="AU71" t="s">
        <v>223</v>
      </c>
      <c r="AV71" t="s">
        <v>1039</v>
      </c>
      <c r="CV71" t="s">
        <v>2090</v>
      </c>
      <c r="CW71" t="s">
        <v>2091</v>
      </c>
      <c r="CX71" t="s">
        <v>2092</v>
      </c>
      <c r="CY71" t="s">
        <v>110</v>
      </c>
      <c r="DA71" t="s">
        <v>112</v>
      </c>
      <c r="DI71" t="s">
        <v>112</v>
      </c>
      <c r="DK71" t="s">
        <v>114</v>
      </c>
      <c r="DL71" t="s">
        <v>115</v>
      </c>
      <c r="DO71" t="s">
        <v>200</v>
      </c>
      <c r="DP71" t="s">
        <v>198</v>
      </c>
      <c r="DQ71" t="s">
        <v>198</v>
      </c>
      <c r="DR71" t="s">
        <v>200</v>
      </c>
      <c r="DT71" t="s">
        <v>249</v>
      </c>
      <c r="DV71" t="s">
        <v>228</v>
      </c>
      <c r="DX71" t="s">
        <v>233</v>
      </c>
      <c r="DZ71" t="s">
        <v>1947</v>
      </c>
      <c r="GN71" t="s">
        <v>2093</v>
      </c>
      <c r="GQ71" t="s">
        <v>152</v>
      </c>
      <c r="GT71" t="s">
        <v>155</v>
      </c>
      <c r="GV71" t="s">
        <v>157</v>
      </c>
      <c r="GY71" t="s">
        <v>160</v>
      </c>
      <c r="HC71" t="s">
        <v>2094</v>
      </c>
    </row>
    <row r="72" spans="1:215" x14ac:dyDescent="0.25">
      <c r="A72">
        <v>10517280693</v>
      </c>
      <c r="B72">
        <v>224510252</v>
      </c>
      <c r="C72" s="2">
        <v>43504.658159722218</v>
      </c>
      <c r="D72" s="2">
        <v>43504.662511574083</v>
      </c>
      <c r="E72" t="s">
        <v>904</v>
      </c>
      <c r="J72" t="s">
        <v>948</v>
      </c>
      <c r="L72">
        <v>2200</v>
      </c>
      <c r="M72">
        <v>60</v>
      </c>
      <c r="N72">
        <v>0</v>
      </c>
      <c r="O72">
        <v>0</v>
      </c>
      <c r="P72">
        <v>40</v>
      </c>
      <c r="Q72">
        <v>0</v>
      </c>
      <c r="R72">
        <v>0</v>
      </c>
      <c r="S72" t="s">
        <v>216</v>
      </c>
      <c r="T72" t="s">
        <v>2095</v>
      </c>
      <c r="U72" t="s">
        <v>166</v>
      </c>
      <c r="V72" t="s">
        <v>1420</v>
      </c>
      <c r="X72" t="s">
        <v>167</v>
      </c>
      <c r="Z72" t="s">
        <v>167</v>
      </c>
      <c r="AB72" t="s">
        <v>2096</v>
      </c>
      <c r="AC72" t="s">
        <v>1459</v>
      </c>
      <c r="AE72" t="s">
        <v>2097</v>
      </c>
      <c r="AF72" t="s">
        <v>2098</v>
      </c>
      <c r="AG72" t="s">
        <v>2099</v>
      </c>
      <c r="AH72">
        <v>0</v>
      </c>
      <c r="AI72">
        <v>0</v>
      </c>
      <c r="AJ72">
        <v>0</v>
      </c>
      <c r="AK72">
        <v>0</v>
      </c>
      <c r="BL72" t="s">
        <v>2100</v>
      </c>
      <c r="DF72" t="s">
        <v>2101</v>
      </c>
      <c r="DJ72" t="s">
        <v>113</v>
      </c>
      <c r="DK72" t="s">
        <v>114</v>
      </c>
      <c r="DL72" t="s">
        <v>115</v>
      </c>
      <c r="DO72" t="s">
        <v>1019</v>
      </c>
      <c r="DP72" t="s">
        <v>198</v>
      </c>
      <c r="DQ72" t="s">
        <v>200</v>
      </c>
      <c r="DR72" t="s">
        <v>199</v>
      </c>
      <c r="DV72" t="s">
        <v>202</v>
      </c>
      <c r="DX72" t="s">
        <v>203</v>
      </c>
      <c r="EA72" t="s">
        <v>785</v>
      </c>
      <c r="EB72" t="s">
        <v>2102</v>
      </c>
      <c r="EK72" t="s">
        <v>2103</v>
      </c>
      <c r="EL72" t="s">
        <v>200</v>
      </c>
      <c r="EM72" t="s">
        <v>200</v>
      </c>
      <c r="EN72" t="s">
        <v>198</v>
      </c>
      <c r="EO72" t="s">
        <v>198</v>
      </c>
      <c r="EQ72" t="s">
        <v>209</v>
      </c>
      <c r="ES72" t="s">
        <v>228</v>
      </c>
      <c r="ET72" t="s">
        <v>203</v>
      </c>
      <c r="EU72" t="s">
        <v>2104</v>
      </c>
      <c r="GP72" t="s">
        <v>151</v>
      </c>
      <c r="GQ72" t="s">
        <v>152</v>
      </c>
      <c r="GT72" t="s">
        <v>155</v>
      </c>
      <c r="GV72" t="s">
        <v>157</v>
      </c>
      <c r="GY72" t="s">
        <v>160</v>
      </c>
      <c r="HC72" t="s">
        <v>2105</v>
      </c>
    </row>
    <row r="73" spans="1:215" x14ac:dyDescent="0.25">
      <c r="A73">
        <v>10517273079</v>
      </c>
      <c r="B73">
        <v>224510252</v>
      </c>
      <c r="C73" s="2">
        <v>43504.652418981481</v>
      </c>
      <c r="D73" s="2">
        <v>43504.657870370371</v>
      </c>
      <c r="E73" t="s">
        <v>904</v>
      </c>
      <c r="J73" t="s">
        <v>948</v>
      </c>
      <c r="L73">
        <v>4000</v>
      </c>
      <c r="M73">
        <v>62</v>
      </c>
      <c r="N73">
        <v>10</v>
      </c>
      <c r="O73">
        <v>18</v>
      </c>
      <c r="P73">
        <v>10</v>
      </c>
      <c r="Q73">
        <v>0</v>
      </c>
      <c r="R73">
        <v>0</v>
      </c>
      <c r="S73" t="s">
        <v>261</v>
      </c>
      <c r="T73" t="s">
        <v>2106</v>
      </c>
      <c r="U73" t="s">
        <v>166</v>
      </c>
      <c r="V73" t="s">
        <v>1420</v>
      </c>
      <c r="X73" t="s">
        <v>168</v>
      </c>
      <c r="Z73" t="s">
        <v>167</v>
      </c>
      <c r="AB73" t="s">
        <v>169</v>
      </c>
      <c r="AC73" t="s">
        <v>1459</v>
      </c>
      <c r="AD73" t="s">
        <v>2107</v>
      </c>
      <c r="AE73" t="s">
        <v>2108</v>
      </c>
      <c r="AF73" t="s">
        <v>2109</v>
      </c>
      <c r="AG73" t="s">
        <v>2110</v>
      </c>
      <c r="AH73" t="s">
        <v>223</v>
      </c>
      <c r="AI73" t="s">
        <v>223</v>
      </c>
      <c r="AJ73" t="s">
        <v>223</v>
      </c>
      <c r="AK73" t="s">
        <v>223</v>
      </c>
      <c r="AM73" t="s">
        <v>402</v>
      </c>
      <c r="AO73" t="s">
        <v>177</v>
      </c>
      <c r="AV73" t="s">
        <v>2111</v>
      </c>
      <c r="BL73" t="s">
        <v>2112</v>
      </c>
      <c r="BM73" t="s">
        <v>185</v>
      </c>
      <c r="BO73" t="s">
        <v>177</v>
      </c>
      <c r="BV73" t="s">
        <v>2113</v>
      </c>
      <c r="BW73" t="s">
        <v>186</v>
      </c>
      <c r="BY73" t="s">
        <v>177</v>
      </c>
      <c r="BZ73" t="s">
        <v>187</v>
      </c>
      <c r="CB73" t="s">
        <v>177</v>
      </c>
      <c r="CC73" t="s">
        <v>188</v>
      </c>
      <c r="CE73" t="s">
        <v>177</v>
      </c>
      <c r="CF73" t="s">
        <v>190</v>
      </c>
      <c r="CH73" t="s">
        <v>177</v>
      </c>
      <c r="CI73" t="s">
        <v>189</v>
      </c>
      <c r="CK73" t="s">
        <v>177</v>
      </c>
      <c r="CL73" t="s">
        <v>191</v>
      </c>
      <c r="CN73" t="s">
        <v>177</v>
      </c>
      <c r="CO73" t="s">
        <v>224</v>
      </c>
      <c r="CQ73" t="s">
        <v>177</v>
      </c>
      <c r="CR73" t="s">
        <v>192</v>
      </c>
      <c r="CT73" t="s">
        <v>177</v>
      </c>
      <c r="CU73" t="s">
        <v>2111</v>
      </c>
      <c r="CV73" t="s">
        <v>2114</v>
      </c>
      <c r="CW73" t="s">
        <v>2115</v>
      </c>
      <c r="CX73" t="s">
        <v>2116</v>
      </c>
      <c r="CY73" t="s">
        <v>110</v>
      </c>
      <c r="CZ73" t="s">
        <v>111</v>
      </c>
      <c r="DA73" t="s">
        <v>112</v>
      </c>
      <c r="DD73" t="s">
        <v>115</v>
      </c>
      <c r="DG73" t="s">
        <v>110</v>
      </c>
      <c r="DH73" t="s">
        <v>111</v>
      </c>
      <c r="DI73" t="s">
        <v>112</v>
      </c>
      <c r="DL73" t="s">
        <v>115</v>
      </c>
      <c r="DO73" t="s">
        <v>200</v>
      </c>
      <c r="DP73" t="s">
        <v>199</v>
      </c>
      <c r="DQ73" t="s">
        <v>198</v>
      </c>
      <c r="DR73" t="s">
        <v>198</v>
      </c>
      <c r="DT73" t="s">
        <v>201</v>
      </c>
      <c r="DV73" t="s">
        <v>202</v>
      </c>
      <c r="DX73" t="s">
        <v>233</v>
      </c>
      <c r="DZ73" t="s">
        <v>2117</v>
      </c>
      <c r="EA73" t="s">
        <v>2118</v>
      </c>
      <c r="EB73" t="s">
        <v>2119</v>
      </c>
      <c r="ED73" t="s">
        <v>122</v>
      </c>
      <c r="EE73" t="s">
        <v>123</v>
      </c>
      <c r="EF73" t="s">
        <v>124</v>
      </c>
      <c r="EL73" t="s">
        <v>198</v>
      </c>
      <c r="EM73" t="s">
        <v>198</v>
      </c>
      <c r="EN73" t="s">
        <v>424</v>
      </c>
      <c r="EO73" t="s">
        <v>198</v>
      </c>
      <c r="EQ73" t="s">
        <v>209</v>
      </c>
      <c r="ES73" t="s">
        <v>202</v>
      </c>
      <c r="ET73" t="s">
        <v>233</v>
      </c>
      <c r="EU73" t="s">
        <v>166</v>
      </c>
      <c r="GN73" t="s">
        <v>2120</v>
      </c>
      <c r="GP73" t="s">
        <v>151</v>
      </c>
      <c r="GQ73" t="s">
        <v>152</v>
      </c>
      <c r="GT73" t="s">
        <v>155</v>
      </c>
      <c r="GV73" t="s">
        <v>157</v>
      </c>
      <c r="GY73" t="s">
        <v>160</v>
      </c>
      <c r="HC73" t="s">
        <v>2121</v>
      </c>
    </row>
    <row r="74" spans="1:215" x14ac:dyDescent="0.25">
      <c r="A74">
        <v>10517247840</v>
      </c>
      <c r="B74">
        <v>224510252</v>
      </c>
      <c r="C74" s="2">
        <v>43504.632581018523</v>
      </c>
      <c r="D74" s="2">
        <v>43504.639305555553</v>
      </c>
      <c r="E74" t="s">
        <v>1067</v>
      </c>
      <c r="J74" t="s">
        <v>948</v>
      </c>
      <c r="L74">
        <v>6000</v>
      </c>
      <c r="M74">
        <v>70</v>
      </c>
      <c r="N74">
        <v>10</v>
      </c>
      <c r="O74">
        <v>10</v>
      </c>
      <c r="P74">
        <v>10</v>
      </c>
      <c r="Q74">
        <v>0</v>
      </c>
      <c r="R74">
        <v>0</v>
      </c>
      <c r="S74" t="s">
        <v>216</v>
      </c>
      <c r="T74" t="s">
        <v>2122</v>
      </c>
      <c r="U74" t="s">
        <v>166</v>
      </c>
      <c r="V74" t="s">
        <v>1420</v>
      </c>
      <c r="X74" t="s">
        <v>1473</v>
      </c>
      <c r="Z74" t="s">
        <v>238</v>
      </c>
      <c r="AB74" t="s">
        <v>2123</v>
      </c>
      <c r="AC74" t="s">
        <v>1459</v>
      </c>
      <c r="AD74" t="s">
        <v>1502</v>
      </c>
      <c r="AE74" t="s">
        <v>2124</v>
      </c>
      <c r="AF74" t="s">
        <v>2125</v>
      </c>
      <c r="AG74" t="s">
        <v>2126</v>
      </c>
      <c r="AH74" t="s">
        <v>223</v>
      </c>
      <c r="AI74" t="s">
        <v>223</v>
      </c>
      <c r="AJ74" t="s">
        <v>223</v>
      </c>
      <c r="AK74">
        <v>0</v>
      </c>
      <c r="AM74" t="s">
        <v>176</v>
      </c>
      <c r="AO74" t="s">
        <v>223</v>
      </c>
      <c r="AP74" t="s">
        <v>402</v>
      </c>
      <c r="AR74" t="s">
        <v>223</v>
      </c>
      <c r="AV74" t="s">
        <v>2127</v>
      </c>
      <c r="BL74" t="s">
        <v>2128</v>
      </c>
      <c r="BV74" t="s">
        <v>2129</v>
      </c>
      <c r="BW74" t="s">
        <v>186</v>
      </c>
      <c r="BZ74" t="s">
        <v>190</v>
      </c>
      <c r="CC74" t="s">
        <v>189</v>
      </c>
      <c r="CF74" t="s">
        <v>191</v>
      </c>
      <c r="CI74" t="s">
        <v>224</v>
      </c>
      <c r="CL74" t="s">
        <v>192</v>
      </c>
      <c r="CO74" t="s">
        <v>193</v>
      </c>
      <c r="CR74" t="s">
        <v>1011</v>
      </c>
      <c r="CU74" t="s">
        <v>2130</v>
      </c>
      <c r="CV74" t="s">
        <v>2131</v>
      </c>
      <c r="CW74" t="s">
        <v>2132</v>
      </c>
      <c r="CX74" t="s">
        <v>2133</v>
      </c>
      <c r="CZ74" t="s">
        <v>111</v>
      </c>
      <c r="DD74" t="s">
        <v>115</v>
      </c>
      <c r="DE74" t="s">
        <v>116</v>
      </c>
      <c r="DF74" t="s">
        <v>2134</v>
      </c>
      <c r="DH74" t="s">
        <v>111</v>
      </c>
      <c r="DJ74" t="s">
        <v>113</v>
      </c>
      <c r="DL74" t="s">
        <v>115</v>
      </c>
      <c r="DN74" t="s">
        <v>2135</v>
      </c>
      <c r="DO74" t="s">
        <v>200</v>
      </c>
      <c r="DP74" t="s">
        <v>198</v>
      </c>
      <c r="DQ74" t="s">
        <v>199</v>
      </c>
      <c r="DR74" t="s">
        <v>200</v>
      </c>
      <c r="DT74" t="s">
        <v>249</v>
      </c>
      <c r="DV74" t="s">
        <v>202</v>
      </c>
      <c r="DY74" t="s">
        <v>2136</v>
      </c>
      <c r="DZ74" t="s">
        <v>2137</v>
      </c>
      <c r="EA74" t="s">
        <v>2138</v>
      </c>
      <c r="EE74" t="s">
        <v>123</v>
      </c>
      <c r="EK74" t="s">
        <v>2139</v>
      </c>
      <c r="EL74" t="s">
        <v>200</v>
      </c>
      <c r="EM74" t="s">
        <v>199</v>
      </c>
      <c r="EN74" t="s">
        <v>198</v>
      </c>
      <c r="EO74" t="s">
        <v>198</v>
      </c>
      <c r="EQ74" t="s">
        <v>249</v>
      </c>
      <c r="ES74" t="s">
        <v>202</v>
      </c>
      <c r="ET74" t="s">
        <v>203</v>
      </c>
      <c r="EU74" t="s">
        <v>2140</v>
      </c>
      <c r="GN74" t="s">
        <v>2141</v>
      </c>
      <c r="GP74" t="s">
        <v>151</v>
      </c>
      <c r="GQ74" t="s">
        <v>152</v>
      </c>
      <c r="GT74" t="s">
        <v>155</v>
      </c>
      <c r="GU74" t="s">
        <v>156</v>
      </c>
      <c r="GV74" t="s">
        <v>157</v>
      </c>
      <c r="HC74" t="s">
        <v>2142</v>
      </c>
      <c r="HG74" t="s">
        <v>2143</v>
      </c>
    </row>
    <row r="75" spans="1:215" x14ac:dyDescent="0.25">
      <c r="A75">
        <v>10517240780</v>
      </c>
      <c r="B75">
        <v>224510252</v>
      </c>
      <c r="C75" s="2">
        <v>43504.627129629633</v>
      </c>
      <c r="D75" s="2">
        <v>43504.632418981477</v>
      </c>
      <c r="E75" t="s">
        <v>1067</v>
      </c>
      <c r="J75" t="s">
        <v>291</v>
      </c>
      <c r="L75">
        <v>9000</v>
      </c>
      <c r="M75">
        <v>65</v>
      </c>
      <c r="N75">
        <v>25</v>
      </c>
      <c r="O75">
        <v>10</v>
      </c>
      <c r="P75">
        <v>0</v>
      </c>
      <c r="Q75">
        <v>0</v>
      </c>
      <c r="R75">
        <v>0</v>
      </c>
      <c r="S75" t="s">
        <v>494</v>
      </c>
      <c r="T75" t="s">
        <v>2144</v>
      </c>
      <c r="U75" t="s">
        <v>166</v>
      </c>
      <c r="V75" t="s">
        <v>1420</v>
      </c>
      <c r="X75" t="s">
        <v>167</v>
      </c>
      <c r="Z75" t="s">
        <v>167</v>
      </c>
      <c r="AB75" t="s">
        <v>2145</v>
      </c>
      <c r="AC75" t="s">
        <v>2146</v>
      </c>
      <c r="AD75" t="s">
        <v>2147</v>
      </c>
      <c r="AE75" t="s">
        <v>2148</v>
      </c>
      <c r="AH75" t="s">
        <v>223</v>
      </c>
      <c r="AI75">
        <v>0</v>
      </c>
      <c r="AJ75">
        <v>0</v>
      </c>
      <c r="AK75" t="s">
        <v>223</v>
      </c>
      <c r="AW75" t="s">
        <v>180</v>
      </c>
      <c r="AY75" t="s">
        <v>405</v>
      </c>
      <c r="AZ75" t="s">
        <v>183</v>
      </c>
      <c r="BB75" t="s">
        <v>405</v>
      </c>
      <c r="BL75" t="s">
        <v>2149</v>
      </c>
      <c r="BW75" t="s">
        <v>186</v>
      </c>
      <c r="BY75" t="s">
        <v>353</v>
      </c>
      <c r="BZ75" t="s">
        <v>193</v>
      </c>
      <c r="CB75" t="s">
        <v>223</v>
      </c>
      <c r="CC75" t="s">
        <v>1011</v>
      </c>
      <c r="CE75" t="s">
        <v>223</v>
      </c>
      <c r="CU75" t="s">
        <v>2150</v>
      </c>
      <c r="CV75" t="s">
        <v>786</v>
      </c>
      <c r="CW75" t="s">
        <v>2151</v>
      </c>
      <c r="CX75" t="s">
        <v>1424</v>
      </c>
      <c r="CZ75" t="s">
        <v>111</v>
      </c>
      <c r="DD75" t="s">
        <v>115</v>
      </c>
      <c r="DE75" t="s">
        <v>116</v>
      </c>
      <c r="DG75" t="s">
        <v>110</v>
      </c>
      <c r="DH75" t="s">
        <v>111</v>
      </c>
      <c r="DI75" t="s">
        <v>112</v>
      </c>
      <c r="DJ75" t="s">
        <v>113</v>
      </c>
      <c r="DO75" t="s">
        <v>198</v>
      </c>
      <c r="DP75" t="s">
        <v>199</v>
      </c>
      <c r="DQ75" t="s">
        <v>198</v>
      </c>
      <c r="DR75" t="s">
        <v>198</v>
      </c>
      <c r="DT75" t="s">
        <v>2152</v>
      </c>
      <c r="DV75" t="s">
        <v>228</v>
      </c>
      <c r="DW75" t="s">
        <v>2153</v>
      </c>
      <c r="DX75" t="s">
        <v>233</v>
      </c>
      <c r="FA75" t="s">
        <v>115</v>
      </c>
      <c r="FB75" t="s">
        <v>116</v>
      </c>
      <c r="FC75" t="s">
        <v>2154</v>
      </c>
      <c r="FO75" t="s">
        <v>200</v>
      </c>
      <c r="FP75" t="s">
        <v>198</v>
      </c>
      <c r="FQ75" t="s">
        <v>198</v>
      </c>
      <c r="FR75" t="s">
        <v>198</v>
      </c>
      <c r="FS75" t="s">
        <v>200</v>
      </c>
      <c r="FT75" t="s">
        <v>198</v>
      </c>
      <c r="FU75" t="s">
        <v>198</v>
      </c>
      <c r="FW75" t="s">
        <v>200</v>
      </c>
      <c r="FX75" t="s">
        <v>200</v>
      </c>
      <c r="GH75" t="s">
        <v>772</v>
      </c>
      <c r="GI75" t="s">
        <v>1438</v>
      </c>
      <c r="GJ75" t="s">
        <v>1608</v>
      </c>
      <c r="GP75" t="s">
        <v>151</v>
      </c>
      <c r="GQ75" t="s">
        <v>152</v>
      </c>
      <c r="GU75" t="s">
        <v>156</v>
      </c>
      <c r="GV75" t="s">
        <v>157</v>
      </c>
      <c r="HA75" t="s">
        <v>162</v>
      </c>
      <c r="HC75" t="s">
        <v>2155</v>
      </c>
    </row>
    <row r="76" spans="1:215" x14ac:dyDescent="0.25">
      <c r="A76">
        <v>10517234578</v>
      </c>
      <c r="B76">
        <v>224510252</v>
      </c>
      <c r="C76" s="2">
        <v>43504.621423611112</v>
      </c>
      <c r="D76" s="2">
        <v>43504.624641203707</v>
      </c>
      <c r="E76" t="s">
        <v>1067</v>
      </c>
      <c r="J76" t="s">
        <v>215</v>
      </c>
      <c r="L76">
        <v>6000</v>
      </c>
      <c r="M76">
        <v>60</v>
      </c>
      <c r="N76">
        <v>0</v>
      </c>
      <c r="O76">
        <v>35</v>
      </c>
      <c r="P76">
        <v>5</v>
      </c>
      <c r="Q76">
        <v>0</v>
      </c>
      <c r="R76">
        <v>5</v>
      </c>
      <c r="S76" t="s">
        <v>313</v>
      </c>
      <c r="T76" t="s">
        <v>45</v>
      </c>
      <c r="U76" t="s">
        <v>312</v>
      </c>
      <c r="GO76" t="s">
        <v>150</v>
      </c>
      <c r="GT76" t="s">
        <v>155</v>
      </c>
      <c r="GV76" t="s">
        <v>157</v>
      </c>
      <c r="HA76" t="s">
        <v>162</v>
      </c>
      <c r="HC76" t="s">
        <v>2156</v>
      </c>
    </row>
    <row r="77" spans="1:215" x14ac:dyDescent="0.25">
      <c r="A77">
        <v>10517229019</v>
      </c>
      <c r="B77">
        <v>224510252</v>
      </c>
      <c r="C77" s="2">
        <v>43504.61791666667</v>
      </c>
      <c r="D77" s="2">
        <v>43504.626782407409</v>
      </c>
      <c r="E77" t="s">
        <v>1067</v>
      </c>
      <c r="J77" t="s">
        <v>215</v>
      </c>
      <c r="L77">
        <v>13000</v>
      </c>
      <c r="M77">
        <v>66</v>
      </c>
      <c r="N77">
        <v>0</v>
      </c>
      <c r="O77">
        <v>10</v>
      </c>
      <c r="P77">
        <v>12</v>
      </c>
      <c r="Q77">
        <v>2</v>
      </c>
      <c r="R77">
        <v>10</v>
      </c>
      <c r="S77" t="s">
        <v>330</v>
      </c>
      <c r="T77" t="s">
        <v>2157</v>
      </c>
      <c r="U77" t="s">
        <v>166</v>
      </c>
      <c r="V77" t="s">
        <v>1420</v>
      </c>
      <c r="X77" t="s">
        <v>263</v>
      </c>
      <c r="Z77" t="s">
        <v>167</v>
      </c>
      <c r="AB77" t="s">
        <v>2158</v>
      </c>
      <c r="AC77" t="s">
        <v>2159</v>
      </c>
      <c r="AD77" t="s">
        <v>2160</v>
      </c>
      <c r="AE77" t="s">
        <v>2161</v>
      </c>
      <c r="AF77" t="s">
        <v>2162</v>
      </c>
      <c r="AG77" t="s">
        <v>2161</v>
      </c>
      <c r="AH77" t="s">
        <v>223</v>
      </c>
      <c r="AI77" t="s">
        <v>223</v>
      </c>
      <c r="AJ77" t="s">
        <v>223</v>
      </c>
      <c r="AK77" t="s">
        <v>223</v>
      </c>
      <c r="AM77" t="s">
        <v>178</v>
      </c>
      <c r="AP77" t="s">
        <v>176</v>
      </c>
      <c r="AS77" t="s">
        <v>402</v>
      </c>
      <c r="AV77" t="s">
        <v>2163</v>
      </c>
      <c r="AW77" t="s">
        <v>180</v>
      </c>
      <c r="AZ77" t="s">
        <v>182</v>
      </c>
      <c r="BC77" t="s">
        <v>183</v>
      </c>
      <c r="BL77" t="s">
        <v>2164</v>
      </c>
      <c r="BW77" t="s">
        <v>186</v>
      </c>
      <c r="BZ77" t="s">
        <v>187</v>
      </c>
      <c r="CC77" t="s">
        <v>188</v>
      </c>
      <c r="CF77" t="s">
        <v>190</v>
      </c>
      <c r="CI77" t="s">
        <v>189</v>
      </c>
      <c r="CL77" t="s">
        <v>191</v>
      </c>
      <c r="CO77" t="s">
        <v>224</v>
      </c>
      <c r="CR77" t="s">
        <v>192</v>
      </c>
      <c r="CU77" t="s">
        <v>2165</v>
      </c>
      <c r="CV77" t="s">
        <v>2166</v>
      </c>
      <c r="CW77" t="s">
        <v>2167</v>
      </c>
      <c r="CZ77" t="s">
        <v>111</v>
      </c>
      <c r="DB77" t="s">
        <v>113</v>
      </c>
      <c r="DF77" t="s">
        <v>2168</v>
      </c>
      <c r="DH77" t="s">
        <v>111</v>
      </c>
      <c r="DJ77" t="s">
        <v>113</v>
      </c>
      <c r="DK77" t="s">
        <v>114</v>
      </c>
      <c r="DO77" t="s">
        <v>198</v>
      </c>
      <c r="DP77" t="s">
        <v>198</v>
      </c>
      <c r="DQ77" t="s">
        <v>200</v>
      </c>
      <c r="DR77" t="s">
        <v>200</v>
      </c>
      <c r="DS77" t="s">
        <v>2169</v>
      </c>
      <c r="DT77" t="s">
        <v>249</v>
      </c>
      <c r="DV77" t="s">
        <v>254</v>
      </c>
      <c r="DX77" t="s">
        <v>233</v>
      </c>
      <c r="DZ77" t="s">
        <v>2170</v>
      </c>
      <c r="EA77" t="s">
        <v>2171</v>
      </c>
      <c r="EB77" t="s">
        <v>950</v>
      </c>
      <c r="EC77" t="s">
        <v>2172</v>
      </c>
      <c r="ED77" t="s">
        <v>122</v>
      </c>
      <c r="EG77" t="s">
        <v>113</v>
      </c>
      <c r="EL77" t="s">
        <v>198</v>
      </c>
      <c r="EM77" t="s">
        <v>424</v>
      </c>
      <c r="EN77" t="s">
        <v>200</v>
      </c>
      <c r="EO77" t="s">
        <v>200</v>
      </c>
      <c r="EQ77" t="s">
        <v>209</v>
      </c>
      <c r="ES77" t="s">
        <v>202</v>
      </c>
      <c r="ET77" t="s">
        <v>233</v>
      </c>
      <c r="GN77" t="s">
        <v>2173</v>
      </c>
      <c r="GP77" t="s">
        <v>151</v>
      </c>
      <c r="GT77" t="s">
        <v>155</v>
      </c>
      <c r="GU77" t="s">
        <v>156</v>
      </c>
      <c r="GV77" t="s">
        <v>157</v>
      </c>
      <c r="HC77" t="s">
        <v>2174</v>
      </c>
    </row>
    <row r="78" spans="1:215" x14ac:dyDescent="0.25">
      <c r="A78">
        <v>10517217164</v>
      </c>
      <c r="B78">
        <v>224510252</v>
      </c>
      <c r="C78" s="2">
        <v>43504.608865740738</v>
      </c>
      <c r="D78" s="2">
        <v>43504.616886574076</v>
      </c>
      <c r="E78" t="s">
        <v>1067</v>
      </c>
      <c r="J78" t="s">
        <v>215</v>
      </c>
      <c r="L78">
        <v>5500</v>
      </c>
      <c r="M78">
        <v>50</v>
      </c>
      <c r="N78">
        <v>15</v>
      </c>
      <c r="O78">
        <v>30</v>
      </c>
      <c r="P78">
        <v>0</v>
      </c>
      <c r="Q78">
        <v>0</v>
      </c>
      <c r="R78">
        <v>5</v>
      </c>
      <c r="S78" t="s">
        <v>330</v>
      </c>
      <c r="T78" t="s">
        <v>2175</v>
      </c>
      <c r="U78" t="s">
        <v>166</v>
      </c>
      <c r="V78" t="s">
        <v>1420</v>
      </c>
      <c r="X78" t="s">
        <v>1547</v>
      </c>
      <c r="Z78" t="s">
        <v>167</v>
      </c>
      <c r="AB78" t="s">
        <v>2176</v>
      </c>
      <c r="AC78" t="s">
        <v>2177</v>
      </c>
      <c r="AD78" t="s">
        <v>2178</v>
      </c>
      <c r="AE78" t="s">
        <v>2179</v>
      </c>
      <c r="AF78" t="s">
        <v>2180</v>
      </c>
      <c r="AG78" t="s">
        <v>2181</v>
      </c>
      <c r="AH78" t="s">
        <v>1682</v>
      </c>
      <c r="AI78" t="s">
        <v>1683</v>
      </c>
      <c r="AJ78" t="s">
        <v>1683</v>
      </c>
      <c r="AK78" t="s">
        <v>1682</v>
      </c>
      <c r="AM78" t="s">
        <v>178</v>
      </c>
      <c r="AO78" t="s">
        <v>177</v>
      </c>
      <c r="AP78" t="s">
        <v>176</v>
      </c>
      <c r="AR78" t="s">
        <v>177</v>
      </c>
      <c r="AS78" t="s">
        <v>402</v>
      </c>
      <c r="AU78" t="s">
        <v>177</v>
      </c>
      <c r="AV78" t="s">
        <v>2182</v>
      </c>
      <c r="AW78" t="s">
        <v>180</v>
      </c>
      <c r="AY78" t="s">
        <v>177</v>
      </c>
      <c r="AZ78" t="s">
        <v>182</v>
      </c>
      <c r="BB78" t="s">
        <v>177</v>
      </c>
      <c r="BC78" t="s">
        <v>679</v>
      </c>
      <c r="BE78" t="s">
        <v>177</v>
      </c>
      <c r="BL78" t="s">
        <v>2183</v>
      </c>
      <c r="BW78" t="s">
        <v>186</v>
      </c>
      <c r="BY78" t="s">
        <v>177</v>
      </c>
      <c r="BZ78" t="s">
        <v>190</v>
      </c>
      <c r="CB78" t="s">
        <v>177</v>
      </c>
      <c r="CC78" t="s">
        <v>191</v>
      </c>
      <c r="CE78" t="s">
        <v>177</v>
      </c>
      <c r="CF78" t="s">
        <v>193</v>
      </c>
      <c r="CH78" t="s">
        <v>177</v>
      </c>
      <c r="CI78" t="s">
        <v>1011</v>
      </c>
      <c r="CK78" t="s">
        <v>177</v>
      </c>
      <c r="CU78" t="s">
        <v>2183</v>
      </c>
      <c r="CV78" t="s">
        <v>2184</v>
      </c>
      <c r="CW78" t="s">
        <v>2185</v>
      </c>
      <c r="CX78" t="s">
        <v>2186</v>
      </c>
      <c r="CY78" t="s">
        <v>110</v>
      </c>
      <c r="CZ78" t="s">
        <v>111</v>
      </c>
      <c r="DA78" t="s">
        <v>112</v>
      </c>
      <c r="DB78" t="s">
        <v>113</v>
      </c>
      <c r="DD78" t="s">
        <v>115</v>
      </c>
      <c r="DG78" t="s">
        <v>110</v>
      </c>
      <c r="DI78" t="s">
        <v>112</v>
      </c>
      <c r="DJ78" t="s">
        <v>113</v>
      </c>
      <c r="DL78" t="s">
        <v>115</v>
      </c>
      <c r="DO78" t="s">
        <v>424</v>
      </c>
      <c r="DP78" t="s">
        <v>200</v>
      </c>
      <c r="DQ78" t="s">
        <v>198</v>
      </c>
      <c r="DR78" t="s">
        <v>424</v>
      </c>
      <c r="DT78" t="s">
        <v>249</v>
      </c>
      <c r="DV78" t="s">
        <v>326</v>
      </c>
      <c r="DX78" t="s">
        <v>203</v>
      </c>
      <c r="DZ78" t="s">
        <v>1947</v>
      </c>
      <c r="EK78" t="s">
        <v>313</v>
      </c>
      <c r="EL78" t="s">
        <v>200</v>
      </c>
      <c r="EM78" t="s">
        <v>200</v>
      </c>
      <c r="EN78" t="s">
        <v>200</v>
      </c>
      <c r="EO78" t="s">
        <v>200</v>
      </c>
      <c r="EU78" t="s">
        <v>166</v>
      </c>
      <c r="GP78" t="s">
        <v>151</v>
      </c>
      <c r="GV78" t="s">
        <v>157</v>
      </c>
      <c r="HC78" t="s">
        <v>2187</v>
      </c>
    </row>
    <row r="79" spans="1:215" x14ac:dyDescent="0.25">
      <c r="A79">
        <v>10517216781</v>
      </c>
      <c r="B79">
        <v>224510252</v>
      </c>
      <c r="C79" s="2">
        <v>43504.608749999999</v>
      </c>
      <c r="D79" s="2">
        <v>43504.621249999997</v>
      </c>
      <c r="E79" t="s">
        <v>1067</v>
      </c>
      <c r="J79" t="s">
        <v>215</v>
      </c>
      <c r="L79">
        <v>3000</v>
      </c>
      <c r="M79">
        <v>50</v>
      </c>
      <c r="N79">
        <v>0</v>
      </c>
      <c r="O79">
        <v>30</v>
      </c>
      <c r="P79">
        <v>0</v>
      </c>
      <c r="Q79">
        <v>0</v>
      </c>
      <c r="R79">
        <v>20</v>
      </c>
      <c r="S79" t="s">
        <v>261</v>
      </c>
      <c r="T79" t="s">
        <v>217</v>
      </c>
      <c r="U79" t="s">
        <v>166</v>
      </c>
      <c r="V79" t="s">
        <v>1420</v>
      </c>
      <c r="X79" t="s">
        <v>238</v>
      </c>
      <c r="Z79" t="s">
        <v>167</v>
      </c>
      <c r="AB79" t="s">
        <v>2188</v>
      </c>
      <c r="AC79" t="s">
        <v>1680</v>
      </c>
      <c r="AD79" t="s">
        <v>2189</v>
      </c>
      <c r="AE79" t="s">
        <v>2190</v>
      </c>
      <c r="AF79" t="s">
        <v>2191</v>
      </c>
      <c r="AH79" t="s">
        <v>1682</v>
      </c>
      <c r="AI79" t="s">
        <v>1682</v>
      </c>
      <c r="AJ79" t="s">
        <v>1682</v>
      </c>
      <c r="AK79" t="s">
        <v>1682</v>
      </c>
      <c r="AM79" t="s">
        <v>176</v>
      </c>
      <c r="AP79" t="s">
        <v>402</v>
      </c>
      <c r="AV79" t="s">
        <v>2192</v>
      </c>
      <c r="AW79" t="s">
        <v>679</v>
      </c>
      <c r="BL79" t="s">
        <v>2193</v>
      </c>
      <c r="CV79" t="s">
        <v>2194</v>
      </c>
      <c r="CW79" t="s">
        <v>2195</v>
      </c>
      <c r="CY79" t="s">
        <v>110</v>
      </c>
      <c r="DA79" t="s">
        <v>112</v>
      </c>
      <c r="DB79" t="s">
        <v>113</v>
      </c>
      <c r="DC79" t="s">
        <v>114</v>
      </c>
      <c r="DG79" t="s">
        <v>110</v>
      </c>
      <c r="DI79" t="s">
        <v>112</v>
      </c>
      <c r="DJ79" t="s">
        <v>113</v>
      </c>
      <c r="DK79" t="s">
        <v>114</v>
      </c>
      <c r="DO79" t="s">
        <v>200</v>
      </c>
      <c r="DP79" t="s">
        <v>198</v>
      </c>
      <c r="DQ79" t="s">
        <v>198</v>
      </c>
      <c r="DR79" t="s">
        <v>198</v>
      </c>
      <c r="DV79" t="s">
        <v>202</v>
      </c>
      <c r="DX79" t="s">
        <v>233</v>
      </c>
      <c r="GN79" t="s">
        <v>2196</v>
      </c>
      <c r="GP79" t="s">
        <v>151</v>
      </c>
      <c r="GQ79" t="s">
        <v>152</v>
      </c>
      <c r="GT79" t="s">
        <v>155</v>
      </c>
      <c r="GU79" t="s">
        <v>156</v>
      </c>
      <c r="GV79" t="s">
        <v>157</v>
      </c>
      <c r="GW79" t="s">
        <v>158</v>
      </c>
      <c r="GX79" t="s">
        <v>159</v>
      </c>
      <c r="HA79" t="s">
        <v>162</v>
      </c>
      <c r="HC79" t="s">
        <v>2197</v>
      </c>
    </row>
    <row r="80" spans="1:215" x14ac:dyDescent="0.25">
      <c r="A80">
        <v>10517208840</v>
      </c>
      <c r="B80">
        <v>224510252</v>
      </c>
      <c r="C80" s="2">
        <v>43504.602430555547</v>
      </c>
      <c r="D80" s="2">
        <v>43504.608495370368</v>
      </c>
      <c r="E80" t="s">
        <v>1067</v>
      </c>
      <c r="J80" t="s">
        <v>215</v>
      </c>
      <c r="L80" t="s">
        <v>2057</v>
      </c>
      <c r="M80">
        <v>50</v>
      </c>
      <c r="N80">
        <v>0</v>
      </c>
      <c r="O80">
        <v>20</v>
      </c>
      <c r="P80">
        <v>10</v>
      </c>
      <c r="Q80">
        <v>10</v>
      </c>
      <c r="R80">
        <v>10</v>
      </c>
      <c r="S80" t="s">
        <v>494</v>
      </c>
      <c r="T80" t="s">
        <v>2058</v>
      </c>
      <c r="U80" t="s">
        <v>312</v>
      </c>
      <c r="FL80" t="s">
        <v>198</v>
      </c>
      <c r="FM80" t="s">
        <v>200</v>
      </c>
      <c r="FO80" t="s">
        <v>199</v>
      </c>
      <c r="FP80" t="s">
        <v>424</v>
      </c>
      <c r="FQ80" t="s">
        <v>199</v>
      </c>
      <c r="FR80" t="s">
        <v>199</v>
      </c>
      <c r="FS80" t="s">
        <v>199</v>
      </c>
      <c r="FT80" t="s">
        <v>199</v>
      </c>
      <c r="FU80" t="s">
        <v>198</v>
      </c>
      <c r="FW80" t="s">
        <v>424</v>
      </c>
      <c r="FX80" t="s">
        <v>200</v>
      </c>
      <c r="GB80" t="s">
        <v>772</v>
      </c>
      <c r="GH80" t="s">
        <v>772</v>
      </c>
      <c r="GN80" t="s">
        <v>2198</v>
      </c>
      <c r="GP80" t="s">
        <v>151</v>
      </c>
    </row>
    <row r="81" spans="1:216" x14ac:dyDescent="0.25">
      <c r="A81">
        <v>10517199915</v>
      </c>
      <c r="B81">
        <v>224510252</v>
      </c>
      <c r="C81" s="2">
        <v>43504.596446759257</v>
      </c>
      <c r="D81" s="2">
        <v>43504.601620370369</v>
      </c>
      <c r="E81" t="s">
        <v>1067</v>
      </c>
      <c r="J81" t="s">
        <v>948</v>
      </c>
      <c r="L81" t="s">
        <v>2199</v>
      </c>
      <c r="M81">
        <v>65</v>
      </c>
      <c r="N81">
        <v>0</v>
      </c>
      <c r="O81">
        <v>0</v>
      </c>
      <c r="P81">
        <v>35</v>
      </c>
      <c r="Q81">
        <v>0</v>
      </c>
      <c r="R81">
        <v>0</v>
      </c>
      <c r="S81" t="s">
        <v>216</v>
      </c>
      <c r="T81" t="s">
        <v>1160</v>
      </c>
      <c r="U81" t="s">
        <v>166</v>
      </c>
      <c r="V81" t="s">
        <v>1499</v>
      </c>
      <c r="X81" t="s">
        <v>238</v>
      </c>
      <c r="Z81" t="s">
        <v>167</v>
      </c>
      <c r="AB81" t="s">
        <v>963</v>
      </c>
      <c r="AC81" t="s">
        <v>1459</v>
      </c>
      <c r="AD81" t="s">
        <v>2200</v>
      </c>
      <c r="AE81" t="s">
        <v>2201</v>
      </c>
      <c r="AF81" t="s">
        <v>2202</v>
      </c>
      <c r="AH81" t="s">
        <v>1683</v>
      </c>
      <c r="AI81" t="s">
        <v>1683</v>
      </c>
      <c r="AJ81" t="s">
        <v>1683</v>
      </c>
      <c r="AK81" t="s">
        <v>1683</v>
      </c>
      <c r="AW81" t="s">
        <v>182</v>
      </c>
      <c r="AY81" t="s">
        <v>405</v>
      </c>
      <c r="AZ81" t="s">
        <v>183</v>
      </c>
      <c r="BB81" t="s">
        <v>405</v>
      </c>
      <c r="CV81" t="s">
        <v>1459</v>
      </c>
      <c r="CW81" t="s">
        <v>2203</v>
      </c>
      <c r="DC81" t="s">
        <v>114</v>
      </c>
      <c r="DF81" t="s">
        <v>2204</v>
      </c>
      <c r="DK81" t="s">
        <v>114</v>
      </c>
      <c r="DL81" t="s">
        <v>115</v>
      </c>
      <c r="DO81" t="s">
        <v>200</v>
      </c>
      <c r="DP81" t="s">
        <v>200</v>
      </c>
      <c r="DQ81" t="s">
        <v>200</v>
      </c>
      <c r="DR81" t="s">
        <v>198</v>
      </c>
      <c r="DV81" t="s">
        <v>202</v>
      </c>
      <c r="DX81" t="s">
        <v>233</v>
      </c>
      <c r="DZ81" t="s">
        <v>2205</v>
      </c>
      <c r="EA81" t="s">
        <v>2206</v>
      </c>
      <c r="EB81" t="s">
        <v>2207</v>
      </c>
      <c r="ED81" t="s">
        <v>122</v>
      </c>
      <c r="EE81" t="s">
        <v>123</v>
      </c>
      <c r="EL81" t="s">
        <v>198</v>
      </c>
      <c r="EM81" t="s">
        <v>200</v>
      </c>
      <c r="EN81" t="s">
        <v>200</v>
      </c>
      <c r="EO81" t="s">
        <v>198</v>
      </c>
      <c r="GQ81" t="s">
        <v>152</v>
      </c>
      <c r="GT81" t="s">
        <v>155</v>
      </c>
      <c r="GW81" t="s">
        <v>158</v>
      </c>
      <c r="HA81" t="s">
        <v>162</v>
      </c>
      <c r="HC81" t="s">
        <v>2208</v>
      </c>
      <c r="HE81" t="s">
        <v>2209</v>
      </c>
      <c r="HF81" t="s">
        <v>2210</v>
      </c>
      <c r="HG81" t="s">
        <v>2211</v>
      </c>
      <c r="HH81">
        <v>429342560</v>
      </c>
    </row>
    <row r="82" spans="1:216" x14ac:dyDescent="0.25">
      <c r="A82">
        <v>10517186429</v>
      </c>
      <c r="B82">
        <v>224510252</v>
      </c>
      <c r="C82" s="2">
        <v>43504.587025462963</v>
      </c>
      <c r="D82" s="2">
        <v>43504.59574074074</v>
      </c>
      <c r="E82" t="s">
        <v>904</v>
      </c>
      <c r="J82" t="s">
        <v>310</v>
      </c>
      <c r="L82" t="s">
        <v>2212</v>
      </c>
      <c r="M82">
        <v>70</v>
      </c>
      <c r="N82">
        <v>20</v>
      </c>
      <c r="O82">
        <v>10</v>
      </c>
      <c r="P82">
        <v>0</v>
      </c>
      <c r="Q82">
        <v>0</v>
      </c>
      <c r="R82">
        <v>0</v>
      </c>
      <c r="S82" t="s">
        <v>494</v>
      </c>
      <c r="T82" t="s">
        <v>1160</v>
      </c>
      <c r="U82" t="s">
        <v>166</v>
      </c>
      <c r="V82" t="s">
        <v>1459</v>
      </c>
      <c r="X82" t="s">
        <v>1473</v>
      </c>
      <c r="Z82" t="s">
        <v>1473</v>
      </c>
      <c r="AB82" t="s">
        <v>2206</v>
      </c>
      <c r="AC82" t="s">
        <v>1050</v>
      </c>
      <c r="AD82" t="s">
        <v>240</v>
      </c>
      <c r="AH82" t="s">
        <v>223</v>
      </c>
      <c r="AI82" t="s">
        <v>223</v>
      </c>
      <c r="AJ82" t="s">
        <v>223</v>
      </c>
      <c r="AK82" t="s">
        <v>223</v>
      </c>
      <c r="AM82" t="s">
        <v>176</v>
      </c>
      <c r="AO82" t="s">
        <v>403</v>
      </c>
      <c r="AP82" t="s">
        <v>402</v>
      </c>
      <c r="AR82" t="s">
        <v>403</v>
      </c>
      <c r="AW82" t="s">
        <v>181</v>
      </c>
      <c r="AY82" t="s">
        <v>405</v>
      </c>
      <c r="AZ82" t="s">
        <v>182</v>
      </c>
      <c r="BB82" t="s">
        <v>405</v>
      </c>
      <c r="BC82" t="s">
        <v>679</v>
      </c>
      <c r="BE82" t="s">
        <v>405</v>
      </c>
      <c r="BM82" t="s">
        <v>185</v>
      </c>
      <c r="BO82" t="s">
        <v>405</v>
      </c>
      <c r="BW82" t="s">
        <v>186</v>
      </c>
      <c r="BY82" t="s">
        <v>405</v>
      </c>
      <c r="BZ82" t="s">
        <v>188</v>
      </c>
      <c r="CB82" t="s">
        <v>405</v>
      </c>
      <c r="CC82" t="s">
        <v>190</v>
      </c>
      <c r="CE82" t="s">
        <v>405</v>
      </c>
      <c r="CF82" t="s">
        <v>191</v>
      </c>
      <c r="CH82" t="s">
        <v>405</v>
      </c>
      <c r="CI82" t="s">
        <v>192</v>
      </c>
      <c r="CK82" t="s">
        <v>405</v>
      </c>
      <c r="CL82" t="s">
        <v>193</v>
      </c>
      <c r="CN82" t="s">
        <v>405</v>
      </c>
      <c r="CV82" t="s">
        <v>2213</v>
      </c>
      <c r="CW82" t="s">
        <v>2214</v>
      </c>
      <c r="DA82" t="s">
        <v>112</v>
      </c>
      <c r="DD82" t="s">
        <v>115</v>
      </c>
      <c r="DI82" t="s">
        <v>112</v>
      </c>
      <c r="DL82" t="s">
        <v>115</v>
      </c>
      <c r="DO82" t="s">
        <v>200</v>
      </c>
      <c r="DP82" t="s">
        <v>200</v>
      </c>
      <c r="DQ82" t="s">
        <v>198</v>
      </c>
      <c r="DR82" t="s">
        <v>200</v>
      </c>
      <c r="DT82" t="s">
        <v>201</v>
      </c>
      <c r="DV82" t="s">
        <v>202</v>
      </c>
      <c r="DX82" t="s">
        <v>203</v>
      </c>
      <c r="DZ82" t="s">
        <v>2215</v>
      </c>
      <c r="EF82" t="s">
        <v>124</v>
      </c>
      <c r="EI82" t="s">
        <v>126</v>
      </c>
      <c r="EQ82">
        <v>0</v>
      </c>
      <c r="ES82" t="s">
        <v>202</v>
      </c>
      <c r="ET82" t="s">
        <v>203</v>
      </c>
      <c r="GV82" t="s">
        <v>157</v>
      </c>
      <c r="GY82" t="s">
        <v>160</v>
      </c>
      <c r="HA82" t="s">
        <v>162</v>
      </c>
      <c r="HE82" t="s">
        <v>2216</v>
      </c>
      <c r="HF82" t="s">
        <v>2217</v>
      </c>
      <c r="HG82" t="s">
        <v>2218</v>
      </c>
      <c r="HH82" t="s">
        <v>2219</v>
      </c>
    </row>
    <row r="83" spans="1:216" x14ac:dyDescent="0.25">
      <c r="A83">
        <v>10514623796</v>
      </c>
      <c r="B83">
        <v>224510252</v>
      </c>
      <c r="C83" s="2">
        <v>43503.584965277783</v>
      </c>
      <c r="D83" s="2">
        <v>43503.586111111108</v>
      </c>
      <c r="E83" t="s">
        <v>904</v>
      </c>
      <c r="J83" t="s">
        <v>215</v>
      </c>
      <c r="L83" t="s">
        <v>1969</v>
      </c>
      <c r="M83">
        <v>70</v>
      </c>
      <c r="N83">
        <v>20</v>
      </c>
      <c r="O83">
        <v>10</v>
      </c>
      <c r="P83">
        <v>0</v>
      </c>
      <c r="Q83">
        <v>0</v>
      </c>
      <c r="R83">
        <v>0</v>
      </c>
      <c r="S83" t="s">
        <v>261</v>
      </c>
      <c r="T83" t="s">
        <v>45</v>
      </c>
      <c r="U83" t="s">
        <v>312</v>
      </c>
    </row>
    <row r="84" spans="1:216" x14ac:dyDescent="0.25">
      <c r="A84">
        <v>10514610436</v>
      </c>
      <c r="B84">
        <v>224510252</v>
      </c>
      <c r="C84" s="2">
        <v>43503.576331018521</v>
      </c>
      <c r="D84" s="2">
        <v>43503.584849537037</v>
      </c>
      <c r="E84" t="s">
        <v>904</v>
      </c>
      <c r="J84" t="s">
        <v>215</v>
      </c>
      <c r="L84" t="s">
        <v>1969</v>
      </c>
      <c r="M84">
        <v>70</v>
      </c>
      <c r="N84">
        <v>20</v>
      </c>
      <c r="O84">
        <v>10</v>
      </c>
      <c r="P84">
        <v>0</v>
      </c>
      <c r="Q84">
        <v>0</v>
      </c>
      <c r="R84">
        <v>0</v>
      </c>
      <c r="S84" t="s">
        <v>261</v>
      </c>
      <c r="T84" t="s">
        <v>45</v>
      </c>
      <c r="U84" t="s">
        <v>312</v>
      </c>
    </row>
    <row r="85" spans="1:216" x14ac:dyDescent="0.25">
      <c r="A85">
        <v>10514610238</v>
      </c>
      <c r="B85">
        <v>224510252</v>
      </c>
      <c r="C85" s="2">
        <v>43503.575729166667</v>
      </c>
      <c r="D85" s="2">
        <v>43503.576261574082</v>
      </c>
      <c r="E85" t="s">
        <v>904</v>
      </c>
      <c r="J85" t="s">
        <v>215</v>
      </c>
      <c r="L85" t="s">
        <v>1969</v>
      </c>
      <c r="M85">
        <v>70</v>
      </c>
      <c r="N85">
        <v>20</v>
      </c>
      <c r="O85">
        <v>10</v>
      </c>
      <c r="P85">
        <v>0</v>
      </c>
      <c r="Q85">
        <v>0</v>
      </c>
      <c r="R85">
        <v>0</v>
      </c>
      <c r="S85" t="s">
        <v>261</v>
      </c>
      <c r="T85" t="s">
        <v>45</v>
      </c>
      <c r="U85" t="s">
        <v>166</v>
      </c>
    </row>
    <row r="86" spans="1:216" x14ac:dyDescent="0.25">
      <c r="A86">
        <v>10509492071</v>
      </c>
      <c r="B86">
        <v>224510252</v>
      </c>
      <c r="C86" s="2">
        <v>43501.616469907407</v>
      </c>
      <c r="D86" s="2">
        <v>43501.634513888886</v>
      </c>
      <c r="E86" t="s">
        <v>904</v>
      </c>
      <c r="J86" t="s">
        <v>366</v>
      </c>
      <c r="L86">
        <v>2000</v>
      </c>
      <c r="M86">
        <v>70</v>
      </c>
      <c r="N86">
        <v>0</v>
      </c>
      <c r="O86">
        <v>10</v>
      </c>
      <c r="P86">
        <v>20</v>
      </c>
      <c r="Q86">
        <v>0</v>
      </c>
      <c r="R86">
        <v>0</v>
      </c>
      <c r="S86" t="s">
        <v>322</v>
      </c>
      <c r="T86" t="s">
        <v>262</v>
      </c>
      <c r="U86" t="s">
        <v>312</v>
      </c>
      <c r="FL86" t="s">
        <v>200</v>
      </c>
      <c r="FM86" t="s">
        <v>200</v>
      </c>
      <c r="FN86" t="s">
        <v>2220</v>
      </c>
      <c r="FO86" t="s">
        <v>198</v>
      </c>
      <c r="FP86" t="s">
        <v>198</v>
      </c>
      <c r="FQ86" t="s">
        <v>198</v>
      </c>
      <c r="FR86" t="s">
        <v>200</v>
      </c>
      <c r="FS86" t="s">
        <v>200</v>
      </c>
      <c r="FT86" t="s">
        <v>200</v>
      </c>
      <c r="FU86" t="s">
        <v>198</v>
      </c>
      <c r="FW86" t="s">
        <v>200</v>
      </c>
      <c r="FX86" t="s">
        <v>200</v>
      </c>
      <c r="FZ86" t="s">
        <v>1490</v>
      </c>
      <c r="GA86" t="s">
        <v>1540</v>
      </c>
      <c r="GB86" t="s">
        <v>772</v>
      </c>
      <c r="GC86" t="s">
        <v>1438</v>
      </c>
      <c r="GF86" t="s">
        <v>1490</v>
      </c>
      <c r="GG86" t="s">
        <v>1540</v>
      </c>
      <c r="GH86" t="s">
        <v>772</v>
      </c>
      <c r="GI86" t="s">
        <v>1438</v>
      </c>
      <c r="GN86" t="s">
        <v>2221</v>
      </c>
      <c r="GO86" t="s">
        <v>150</v>
      </c>
      <c r="GP86" t="s">
        <v>151</v>
      </c>
      <c r="GT86" t="s">
        <v>155</v>
      </c>
      <c r="GV86" t="s">
        <v>157</v>
      </c>
      <c r="HC86" t="s">
        <v>2222</v>
      </c>
      <c r="HE86" t="s">
        <v>2223</v>
      </c>
    </row>
    <row r="87" spans="1:216" x14ac:dyDescent="0.25">
      <c r="A87">
        <v>10509428016</v>
      </c>
      <c r="B87">
        <v>224510252</v>
      </c>
      <c r="C87" s="2">
        <v>43501.559027777781</v>
      </c>
      <c r="D87" s="2">
        <v>43501.58902777778</v>
      </c>
      <c r="E87" t="s">
        <v>904</v>
      </c>
      <c r="J87" t="s">
        <v>33</v>
      </c>
      <c r="K87" t="s">
        <v>2224</v>
      </c>
      <c r="L87">
        <v>165</v>
      </c>
      <c r="M87">
        <v>60</v>
      </c>
      <c r="N87">
        <v>0</v>
      </c>
      <c r="O87">
        <v>20</v>
      </c>
      <c r="P87">
        <v>20</v>
      </c>
      <c r="Q87">
        <v>0</v>
      </c>
      <c r="R87">
        <v>0</v>
      </c>
      <c r="S87" t="s">
        <v>322</v>
      </c>
      <c r="T87" t="s">
        <v>262</v>
      </c>
      <c r="U87" t="s">
        <v>166</v>
      </c>
      <c r="V87" t="s">
        <v>1420</v>
      </c>
      <c r="X87" t="s">
        <v>168</v>
      </c>
      <c r="Z87" t="s">
        <v>1547</v>
      </c>
      <c r="AB87" t="s">
        <v>1459</v>
      </c>
      <c r="AC87" t="s">
        <v>170</v>
      </c>
      <c r="AD87" t="s">
        <v>2225</v>
      </c>
      <c r="AE87" t="s">
        <v>2226</v>
      </c>
      <c r="AH87" t="s">
        <v>1683</v>
      </c>
      <c r="AI87">
        <v>0</v>
      </c>
      <c r="AJ87">
        <v>0</v>
      </c>
      <c r="AK87" t="s">
        <v>1683</v>
      </c>
      <c r="AW87" t="s">
        <v>181</v>
      </c>
      <c r="AY87" t="s">
        <v>177</v>
      </c>
      <c r="BL87" t="s">
        <v>2227</v>
      </c>
      <c r="CV87" t="s">
        <v>1467</v>
      </c>
      <c r="CW87" t="s">
        <v>2228</v>
      </c>
      <c r="CX87" t="s">
        <v>2229</v>
      </c>
      <c r="DF87" t="s">
        <v>2230</v>
      </c>
      <c r="DN87" t="s">
        <v>2231</v>
      </c>
      <c r="DO87" t="s">
        <v>198</v>
      </c>
      <c r="DP87" t="s">
        <v>199</v>
      </c>
      <c r="DQ87" t="s">
        <v>198</v>
      </c>
      <c r="DR87" t="s">
        <v>198</v>
      </c>
      <c r="DT87" t="s">
        <v>249</v>
      </c>
      <c r="DV87" t="s">
        <v>228</v>
      </c>
      <c r="DW87" t="s">
        <v>2232</v>
      </c>
      <c r="DX87" t="s">
        <v>233</v>
      </c>
      <c r="DZ87" t="s">
        <v>2233</v>
      </c>
      <c r="EQ87">
        <v>0</v>
      </c>
      <c r="GN87" t="s">
        <v>2234</v>
      </c>
      <c r="GW87" t="s">
        <v>158</v>
      </c>
      <c r="GZ87" t="s">
        <v>161</v>
      </c>
      <c r="HA87" t="s">
        <v>162</v>
      </c>
      <c r="HC87" t="s">
        <v>2235</v>
      </c>
      <c r="HE87" t="s">
        <v>2223</v>
      </c>
      <c r="HF87" t="s">
        <v>2236</v>
      </c>
    </row>
    <row r="88" spans="1:216" x14ac:dyDescent="0.25">
      <c r="A88">
        <v>10500181512</v>
      </c>
      <c r="B88">
        <v>224510252</v>
      </c>
      <c r="C88" s="2">
        <v>43496.56621527778</v>
      </c>
      <c r="D88" s="2">
        <v>43496.569178240738</v>
      </c>
      <c r="E88" t="s">
        <v>904</v>
      </c>
      <c r="J88" t="s">
        <v>260</v>
      </c>
      <c r="L88">
        <v>2000</v>
      </c>
      <c r="M88">
        <v>75</v>
      </c>
      <c r="N88">
        <v>0</v>
      </c>
      <c r="O88">
        <v>25</v>
      </c>
      <c r="P88">
        <v>0</v>
      </c>
      <c r="Q88">
        <v>0</v>
      </c>
      <c r="R88">
        <v>0</v>
      </c>
      <c r="S88" t="s">
        <v>330</v>
      </c>
      <c r="U88" t="s">
        <v>312</v>
      </c>
      <c r="FL88" t="s">
        <v>200</v>
      </c>
      <c r="FM88" t="s">
        <v>200</v>
      </c>
      <c r="FN88" t="s">
        <v>2237</v>
      </c>
      <c r="FO88" t="s">
        <v>200</v>
      </c>
      <c r="FP88" t="s">
        <v>200</v>
      </c>
      <c r="FQ88" t="s">
        <v>200</v>
      </c>
      <c r="FR88" t="s">
        <v>198</v>
      </c>
      <c r="FS88" t="s">
        <v>200</v>
      </c>
      <c r="FT88" t="s">
        <v>200</v>
      </c>
      <c r="FU88" t="s">
        <v>198</v>
      </c>
      <c r="FW88" t="s">
        <v>200</v>
      </c>
      <c r="FX88" t="s">
        <v>200</v>
      </c>
      <c r="GC88" t="s">
        <v>1438</v>
      </c>
      <c r="GI88" t="s">
        <v>1438</v>
      </c>
      <c r="GN88" t="s">
        <v>2238</v>
      </c>
      <c r="GQ88" t="s">
        <v>152</v>
      </c>
    </row>
    <row r="89" spans="1:216" x14ac:dyDescent="0.25">
      <c r="A89">
        <v>10500158486</v>
      </c>
      <c r="B89">
        <v>224510252</v>
      </c>
      <c r="C89" s="2">
        <v>43496.550995370373</v>
      </c>
      <c r="D89" s="2">
        <v>43496.558321759258</v>
      </c>
      <c r="E89" t="s">
        <v>904</v>
      </c>
      <c r="J89" t="s">
        <v>164</v>
      </c>
      <c r="L89">
        <v>2800</v>
      </c>
      <c r="M89">
        <v>60</v>
      </c>
      <c r="N89">
        <v>5</v>
      </c>
      <c r="O89">
        <v>35</v>
      </c>
      <c r="P89">
        <v>0</v>
      </c>
      <c r="Q89">
        <v>0</v>
      </c>
      <c r="R89">
        <v>0</v>
      </c>
      <c r="S89" t="s">
        <v>261</v>
      </c>
      <c r="T89" t="s">
        <v>44</v>
      </c>
      <c r="U89" t="s">
        <v>166</v>
      </c>
      <c r="V89" t="s">
        <v>1459</v>
      </c>
      <c r="X89" t="s">
        <v>238</v>
      </c>
      <c r="Z89" t="s">
        <v>167</v>
      </c>
      <c r="AB89" t="s">
        <v>2239</v>
      </c>
      <c r="AC89" t="s">
        <v>2240</v>
      </c>
      <c r="AD89" t="s">
        <v>2241</v>
      </c>
      <c r="AE89">
        <v>0</v>
      </c>
      <c r="AF89" t="s">
        <v>2242</v>
      </c>
      <c r="AG89">
        <v>0</v>
      </c>
      <c r="AH89" t="s">
        <v>1683</v>
      </c>
      <c r="AI89" t="s">
        <v>1683</v>
      </c>
      <c r="AJ89" t="s">
        <v>1683</v>
      </c>
      <c r="AK89">
        <v>0</v>
      </c>
      <c r="AM89" t="s">
        <v>176</v>
      </c>
      <c r="AO89" t="s">
        <v>223</v>
      </c>
      <c r="AP89" t="s">
        <v>402</v>
      </c>
      <c r="AR89" t="s">
        <v>223</v>
      </c>
      <c r="AV89" t="s">
        <v>2243</v>
      </c>
      <c r="CU89" t="s">
        <v>2244</v>
      </c>
      <c r="CV89" t="s">
        <v>2245</v>
      </c>
      <c r="CW89" t="s">
        <v>2246</v>
      </c>
      <c r="DD89" t="s">
        <v>115</v>
      </c>
      <c r="DH89" t="s">
        <v>111</v>
      </c>
      <c r="DL89" t="s">
        <v>115</v>
      </c>
      <c r="DO89" t="s">
        <v>198</v>
      </c>
      <c r="DP89" t="s">
        <v>198</v>
      </c>
      <c r="DQ89" t="s">
        <v>200</v>
      </c>
      <c r="DR89" t="s">
        <v>198</v>
      </c>
      <c r="DS89" t="s">
        <v>2247</v>
      </c>
      <c r="DT89" t="s">
        <v>249</v>
      </c>
      <c r="DV89" t="s">
        <v>228</v>
      </c>
      <c r="DX89" t="s">
        <v>203</v>
      </c>
      <c r="DZ89" t="s">
        <v>2248</v>
      </c>
      <c r="EA89" t="s">
        <v>2249</v>
      </c>
      <c r="EB89" t="s">
        <v>2250</v>
      </c>
      <c r="EE89" t="s">
        <v>123</v>
      </c>
      <c r="EI89" t="s">
        <v>126</v>
      </c>
      <c r="EJ89" t="s">
        <v>127</v>
      </c>
      <c r="EL89" t="s">
        <v>198</v>
      </c>
      <c r="EM89" t="s">
        <v>200</v>
      </c>
      <c r="EN89" t="s">
        <v>198</v>
      </c>
      <c r="EO89" t="s">
        <v>200</v>
      </c>
      <c r="EQ89" t="s">
        <v>209</v>
      </c>
      <c r="ES89" t="s">
        <v>228</v>
      </c>
      <c r="ET89" t="s">
        <v>233</v>
      </c>
      <c r="EU89" t="s">
        <v>2251</v>
      </c>
      <c r="GN89" t="s">
        <v>2252</v>
      </c>
      <c r="GP89" t="s">
        <v>151</v>
      </c>
      <c r="GQ89" t="s">
        <v>152</v>
      </c>
      <c r="HC89" t="s">
        <v>2253</v>
      </c>
      <c r="HE89" t="s">
        <v>2254</v>
      </c>
      <c r="HF89" t="s">
        <v>258</v>
      </c>
      <c r="HG89" t="s">
        <v>2255</v>
      </c>
      <c r="HH89">
        <v>408869240</v>
      </c>
    </row>
    <row r="90" spans="1:216" x14ac:dyDescent="0.25">
      <c r="A90">
        <v>10500135087</v>
      </c>
      <c r="B90">
        <v>224510252</v>
      </c>
      <c r="C90" s="2">
        <v>43496.538055555553</v>
      </c>
      <c r="D90" s="2">
        <v>43496.550752314812</v>
      </c>
      <c r="E90" t="s">
        <v>904</v>
      </c>
      <c r="J90" t="s">
        <v>260</v>
      </c>
      <c r="L90">
        <v>2500</v>
      </c>
      <c r="M90">
        <v>65</v>
      </c>
      <c r="N90">
        <v>25</v>
      </c>
      <c r="O90">
        <v>0</v>
      </c>
      <c r="P90">
        <v>0</v>
      </c>
      <c r="Q90">
        <v>10</v>
      </c>
      <c r="R90">
        <v>0</v>
      </c>
      <c r="S90" t="s">
        <v>494</v>
      </c>
      <c r="T90" t="s">
        <v>2256</v>
      </c>
      <c r="U90" t="s">
        <v>166</v>
      </c>
      <c r="V90" t="s">
        <v>1499</v>
      </c>
      <c r="X90" t="s">
        <v>1473</v>
      </c>
      <c r="Z90" t="s">
        <v>1473</v>
      </c>
      <c r="AB90" t="s">
        <v>1500</v>
      </c>
      <c r="AC90" t="s">
        <v>381</v>
      </c>
      <c r="AD90" t="s">
        <v>2257</v>
      </c>
      <c r="AE90" t="s">
        <v>2258</v>
      </c>
      <c r="AF90" t="s">
        <v>2259</v>
      </c>
      <c r="AG90" t="s">
        <v>2260</v>
      </c>
      <c r="AH90" t="s">
        <v>223</v>
      </c>
      <c r="AI90" t="s">
        <v>223</v>
      </c>
      <c r="AJ90" t="s">
        <v>223</v>
      </c>
      <c r="AK90" t="s">
        <v>223</v>
      </c>
      <c r="AM90" t="s">
        <v>178</v>
      </c>
      <c r="AO90" t="s">
        <v>540</v>
      </c>
      <c r="AP90" t="s">
        <v>176</v>
      </c>
      <c r="AR90" t="s">
        <v>540</v>
      </c>
      <c r="AS90" t="s">
        <v>402</v>
      </c>
      <c r="AU90" t="s">
        <v>223</v>
      </c>
      <c r="AV90" t="s">
        <v>2261</v>
      </c>
      <c r="AW90" t="s">
        <v>180</v>
      </c>
      <c r="AY90" t="s">
        <v>540</v>
      </c>
      <c r="AZ90" t="s">
        <v>182</v>
      </c>
      <c r="BB90" t="s">
        <v>540</v>
      </c>
      <c r="BC90" t="s">
        <v>183</v>
      </c>
      <c r="BE90" t="s">
        <v>540</v>
      </c>
      <c r="BF90" t="s">
        <v>679</v>
      </c>
      <c r="BH90" t="s">
        <v>540</v>
      </c>
      <c r="BL90" t="s">
        <v>2262</v>
      </c>
      <c r="BM90" t="s">
        <v>184</v>
      </c>
      <c r="BO90" t="s">
        <v>540</v>
      </c>
      <c r="BP90" t="s">
        <v>185</v>
      </c>
      <c r="BR90" t="s">
        <v>540</v>
      </c>
      <c r="BV90" t="s">
        <v>2263</v>
      </c>
      <c r="BW90" t="s">
        <v>186</v>
      </c>
      <c r="BY90" t="s">
        <v>353</v>
      </c>
      <c r="BZ90" t="s">
        <v>187</v>
      </c>
      <c r="CB90" t="s">
        <v>540</v>
      </c>
      <c r="CC90" t="s">
        <v>188</v>
      </c>
      <c r="CE90" t="s">
        <v>540</v>
      </c>
      <c r="CF90" t="s">
        <v>190</v>
      </c>
      <c r="CH90" t="s">
        <v>540</v>
      </c>
      <c r="CI90" t="s">
        <v>189</v>
      </c>
      <c r="CK90" t="s">
        <v>540</v>
      </c>
      <c r="CL90" t="s">
        <v>191</v>
      </c>
      <c r="CN90" t="s">
        <v>540</v>
      </c>
      <c r="CO90" t="s">
        <v>224</v>
      </c>
      <c r="CQ90" t="s">
        <v>540</v>
      </c>
      <c r="CR90" t="s">
        <v>192</v>
      </c>
      <c r="CT90" t="s">
        <v>540</v>
      </c>
      <c r="CU90" t="s">
        <v>2264</v>
      </c>
      <c r="CV90" t="s">
        <v>2265</v>
      </c>
      <c r="CW90" t="s">
        <v>2266</v>
      </c>
      <c r="DB90" t="s">
        <v>113</v>
      </c>
      <c r="DD90" t="s">
        <v>115</v>
      </c>
      <c r="DE90" t="s">
        <v>116</v>
      </c>
      <c r="DH90" t="s">
        <v>111</v>
      </c>
      <c r="DJ90" t="s">
        <v>113</v>
      </c>
      <c r="DO90" t="s">
        <v>198</v>
      </c>
      <c r="DP90" t="s">
        <v>200</v>
      </c>
      <c r="DQ90" t="s">
        <v>198</v>
      </c>
      <c r="DR90" t="s">
        <v>200</v>
      </c>
      <c r="DT90" t="s">
        <v>249</v>
      </c>
      <c r="DV90" t="s">
        <v>202</v>
      </c>
      <c r="DX90" t="s">
        <v>203</v>
      </c>
      <c r="DZ90" t="s">
        <v>2267</v>
      </c>
      <c r="EA90" t="s">
        <v>2268</v>
      </c>
      <c r="EB90" t="s">
        <v>2269</v>
      </c>
      <c r="EE90" t="s">
        <v>123</v>
      </c>
      <c r="EG90" t="s">
        <v>113</v>
      </c>
      <c r="EL90" t="s">
        <v>200</v>
      </c>
      <c r="EM90" t="s">
        <v>200</v>
      </c>
      <c r="EN90" t="s">
        <v>200</v>
      </c>
      <c r="EO90" t="s">
        <v>200</v>
      </c>
      <c r="EQ90" t="s">
        <v>209</v>
      </c>
      <c r="ES90" t="s">
        <v>228</v>
      </c>
      <c r="ET90" t="s">
        <v>203</v>
      </c>
      <c r="EU90" t="s">
        <v>2270</v>
      </c>
      <c r="GN90" t="s">
        <v>2271</v>
      </c>
      <c r="GQ90" t="s">
        <v>152</v>
      </c>
      <c r="GT90" t="s">
        <v>155</v>
      </c>
      <c r="GV90" t="s">
        <v>157</v>
      </c>
      <c r="GW90" t="s">
        <v>158</v>
      </c>
      <c r="GX90" t="s">
        <v>159</v>
      </c>
      <c r="GY90" t="s">
        <v>160</v>
      </c>
      <c r="HB90" t="s">
        <v>2272</v>
      </c>
      <c r="HC90" t="s">
        <v>2273</v>
      </c>
      <c r="HD90" t="s">
        <v>2274</v>
      </c>
      <c r="HE90" t="s">
        <v>2275</v>
      </c>
      <c r="HF90" t="s">
        <v>2276</v>
      </c>
      <c r="HG90" t="s">
        <v>2277</v>
      </c>
      <c r="HH90">
        <v>417850587</v>
      </c>
    </row>
    <row r="91" spans="1:216" x14ac:dyDescent="0.25">
      <c r="A91">
        <v>10500121325</v>
      </c>
      <c r="B91">
        <v>224510252</v>
      </c>
      <c r="C91" s="2">
        <v>43496.530127314807</v>
      </c>
      <c r="D91" s="2">
        <v>43496.531030092592</v>
      </c>
      <c r="E91" t="s">
        <v>904</v>
      </c>
      <c r="J91" t="s">
        <v>260</v>
      </c>
      <c r="L91">
        <v>2400</v>
      </c>
      <c r="M91">
        <v>40</v>
      </c>
      <c r="N91">
        <v>10</v>
      </c>
      <c r="O91">
        <v>15</v>
      </c>
      <c r="P91">
        <v>20</v>
      </c>
      <c r="Q91">
        <v>15</v>
      </c>
      <c r="R91">
        <v>0</v>
      </c>
      <c r="S91" t="s">
        <v>261</v>
      </c>
      <c r="T91" t="s">
        <v>1355</v>
      </c>
      <c r="U91" t="s">
        <v>312</v>
      </c>
    </row>
    <row r="92" spans="1:216" x14ac:dyDescent="0.25">
      <c r="A92">
        <v>10500094281</v>
      </c>
      <c r="B92">
        <v>224510252</v>
      </c>
      <c r="C92" s="2">
        <v>43496.512743055559</v>
      </c>
      <c r="D92" s="2">
        <v>43496.515752314823</v>
      </c>
      <c r="E92" t="s">
        <v>904</v>
      </c>
      <c r="J92" t="s">
        <v>260</v>
      </c>
      <c r="L92" t="s">
        <v>2278</v>
      </c>
      <c r="M92">
        <v>50</v>
      </c>
      <c r="N92">
        <v>5</v>
      </c>
      <c r="O92">
        <v>20</v>
      </c>
      <c r="P92">
        <v>15</v>
      </c>
      <c r="Q92">
        <v>10</v>
      </c>
      <c r="R92">
        <v>0</v>
      </c>
      <c r="S92" t="s">
        <v>216</v>
      </c>
      <c r="T92" t="s">
        <v>1192</v>
      </c>
      <c r="U92" t="s">
        <v>166</v>
      </c>
    </row>
    <row r="93" spans="1:216" x14ac:dyDescent="0.25">
      <c r="A93">
        <v>10495014118</v>
      </c>
      <c r="B93">
        <v>224510252</v>
      </c>
      <c r="C93" s="2">
        <v>43494.388923611114</v>
      </c>
      <c r="D93" s="2">
        <v>43494.497708333343</v>
      </c>
      <c r="E93" t="s">
        <v>904</v>
      </c>
      <c r="J93" t="s">
        <v>279</v>
      </c>
      <c r="L93" t="s">
        <v>1969</v>
      </c>
      <c r="M93">
        <v>70</v>
      </c>
      <c r="N93">
        <v>0</v>
      </c>
      <c r="O93">
        <v>30</v>
      </c>
      <c r="P93">
        <v>0</v>
      </c>
      <c r="Q93">
        <v>0</v>
      </c>
      <c r="R93">
        <v>0</v>
      </c>
      <c r="S93" t="s">
        <v>1457</v>
      </c>
      <c r="T93" t="s">
        <v>2279</v>
      </c>
      <c r="U93" t="s">
        <v>166</v>
      </c>
      <c r="V93" t="s">
        <v>1499</v>
      </c>
      <c r="X93" t="s">
        <v>168</v>
      </c>
      <c r="Z93" t="s">
        <v>168</v>
      </c>
      <c r="AB93" t="s">
        <v>2280</v>
      </c>
      <c r="AC93" t="s">
        <v>2281</v>
      </c>
      <c r="AD93" t="s">
        <v>2282</v>
      </c>
      <c r="AF93" t="s">
        <v>2283</v>
      </c>
      <c r="AH93" t="s">
        <v>1683</v>
      </c>
      <c r="AI93" t="s">
        <v>1683</v>
      </c>
      <c r="AJ93" t="s">
        <v>1683</v>
      </c>
      <c r="AK93" t="s">
        <v>1683</v>
      </c>
      <c r="AL93" t="s">
        <v>2284</v>
      </c>
      <c r="CV93" t="s">
        <v>2285</v>
      </c>
      <c r="CW93" t="s">
        <v>2286</v>
      </c>
      <c r="CY93" t="s">
        <v>110</v>
      </c>
      <c r="CZ93" t="s">
        <v>111</v>
      </c>
      <c r="DA93" t="s">
        <v>112</v>
      </c>
      <c r="DG93" t="s">
        <v>110</v>
      </c>
      <c r="DH93" t="s">
        <v>111</v>
      </c>
      <c r="DO93" t="s">
        <v>424</v>
      </c>
      <c r="DP93" t="s">
        <v>198</v>
      </c>
      <c r="DQ93" t="s">
        <v>424</v>
      </c>
      <c r="DR93" t="s">
        <v>424</v>
      </c>
      <c r="DT93" t="s">
        <v>1046</v>
      </c>
      <c r="DV93" t="s">
        <v>228</v>
      </c>
      <c r="DX93" t="s">
        <v>233</v>
      </c>
      <c r="DZ93" t="s">
        <v>2287</v>
      </c>
      <c r="EA93" t="s">
        <v>1160</v>
      </c>
      <c r="ED93" t="s">
        <v>122</v>
      </c>
      <c r="EE93" t="s">
        <v>123</v>
      </c>
      <c r="EL93" t="s">
        <v>198</v>
      </c>
      <c r="EM93" t="s">
        <v>200</v>
      </c>
      <c r="EN93" t="s">
        <v>198</v>
      </c>
      <c r="EO93" t="s">
        <v>198</v>
      </c>
      <c r="EQ93" t="s">
        <v>209</v>
      </c>
      <c r="ES93" t="s">
        <v>202</v>
      </c>
      <c r="ET93" t="s">
        <v>203</v>
      </c>
      <c r="GN93" t="s">
        <v>2288</v>
      </c>
      <c r="GP93" t="s">
        <v>151</v>
      </c>
      <c r="HC93" t="s">
        <v>2289</v>
      </c>
    </row>
    <row r="94" spans="1:216" x14ac:dyDescent="0.25">
      <c r="A94">
        <v>10488722553</v>
      </c>
      <c r="B94">
        <v>224510252</v>
      </c>
      <c r="C94" s="2">
        <v>43490.631828703707</v>
      </c>
      <c r="D94" s="2">
        <v>43490.65079861111</v>
      </c>
      <c r="E94" t="s">
        <v>904</v>
      </c>
      <c r="J94" t="s">
        <v>279</v>
      </c>
      <c r="L94">
        <v>800</v>
      </c>
      <c r="M94">
        <v>65</v>
      </c>
      <c r="N94">
        <v>15</v>
      </c>
      <c r="O94">
        <v>20</v>
      </c>
      <c r="P94">
        <v>0</v>
      </c>
      <c r="Q94">
        <v>0</v>
      </c>
      <c r="R94">
        <v>0</v>
      </c>
      <c r="S94" t="s">
        <v>1457</v>
      </c>
      <c r="T94" t="s">
        <v>2290</v>
      </c>
      <c r="U94" t="s">
        <v>166</v>
      </c>
      <c r="V94" t="s">
        <v>1420</v>
      </c>
      <c r="X94" t="s">
        <v>168</v>
      </c>
      <c r="Z94" t="s">
        <v>238</v>
      </c>
      <c r="AB94" t="s">
        <v>1459</v>
      </c>
      <c r="AC94" t="s">
        <v>170</v>
      </c>
      <c r="AD94" t="s">
        <v>2291</v>
      </c>
      <c r="AE94" t="s">
        <v>2292</v>
      </c>
      <c r="AH94" t="s">
        <v>403</v>
      </c>
      <c r="AI94" t="s">
        <v>403</v>
      </c>
      <c r="AJ94" t="s">
        <v>403</v>
      </c>
      <c r="AK94" t="s">
        <v>403</v>
      </c>
      <c r="AM94" t="s">
        <v>402</v>
      </c>
      <c r="AO94" t="s">
        <v>177</v>
      </c>
      <c r="AP94" t="s">
        <v>178</v>
      </c>
      <c r="AR94" t="s">
        <v>177</v>
      </c>
      <c r="AW94" t="s">
        <v>182</v>
      </c>
      <c r="AY94" t="s">
        <v>223</v>
      </c>
      <c r="BL94" t="s">
        <v>2293</v>
      </c>
      <c r="BV94" t="s">
        <v>1504</v>
      </c>
      <c r="BW94" t="s">
        <v>191</v>
      </c>
      <c r="BY94" t="s">
        <v>177</v>
      </c>
      <c r="CV94" t="s">
        <v>2294</v>
      </c>
      <c r="CW94" t="s">
        <v>2295</v>
      </c>
      <c r="CX94" t="s">
        <v>207</v>
      </c>
      <c r="CY94" t="s">
        <v>110</v>
      </c>
      <c r="CZ94" t="s">
        <v>111</v>
      </c>
      <c r="DA94" t="s">
        <v>112</v>
      </c>
      <c r="DG94" t="s">
        <v>110</v>
      </c>
      <c r="DH94" t="s">
        <v>111</v>
      </c>
      <c r="DI94" t="s">
        <v>112</v>
      </c>
      <c r="DO94" t="s">
        <v>200</v>
      </c>
      <c r="DP94" t="s">
        <v>199</v>
      </c>
      <c r="DQ94" t="s">
        <v>198</v>
      </c>
      <c r="DR94" t="s">
        <v>198</v>
      </c>
      <c r="DT94" t="s">
        <v>201</v>
      </c>
      <c r="DV94" t="s">
        <v>202</v>
      </c>
      <c r="DX94" t="s">
        <v>203</v>
      </c>
      <c r="DZ94" t="s">
        <v>2296</v>
      </c>
      <c r="FO94" t="s">
        <v>198</v>
      </c>
      <c r="FP94" t="s">
        <v>198</v>
      </c>
      <c r="FQ94" t="s">
        <v>200</v>
      </c>
      <c r="FR94" t="s">
        <v>200</v>
      </c>
      <c r="FS94" t="s">
        <v>200</v>
      </c>
      <c r="FT94" t="s">
        <v>198</v>
      </c>
      <c r="FU94" t="s">
        <v>198</v>
      </c>
      <c r="FW94" t="s">
        <v>198</v>
      </c>
      <c r="FX94" t="s">
        <v>200</v>
      </c>
      <c r="GF94" t="s">
        <v>1490</v>
      </c>
      <c r="GG94" t="s">
        <v>1540</v>
      </c>
      <c r="GN94" t="s">
        <v>2297</v>
      </c>
      <c r="GO94" t="s">
        <v>150</v>
      </c>
      <c r="GP94" t="s">
        <v>151</v>
      </c>
      <c r="GZ94" t="s">
        <v>161</v>
      </c>
      <c r="HB94" t="s">
        <v>569</v>
      </c>
      <c r="HC94" t="s">
        <v>2298</v>
      </c>
      <c r="HE94" t="s">
        <v>2299</v>
      </c>
      <c r="HF94" t="s">
        <v>872</v>
      </c>
      <c r="HG94" t="s">
        <v>2300</v>
      </c>
      <c r="HH94">
        <v>409363944</v>
      </c>
    </row>
    <row r="95" spans="1:216" x14ac:dyDescent="0.25">
      <c r="A95">
        <v>10488703723</v>
      </c>
      <c r="B95">
        <v>224510252</v>
      </c>
      <c r="C95" s="2">
        <v>43490.610821759263</v>
      </c>
      <c r="D95" s="2">
        <v>43490.630370370367</v>
      </c>
      <c r="E95" t="s">
        <v>904</v>
      </c>
      <c r="J95" t="s">
        <v>260</v>
      </c>
      <c r="L95">
        <v>3900</v>
      </c>
      <c r="M95">
        <v>50</v>
      </c>
      <c r="N95">
        <v>0</v>
      </c>
      <c r="O95">
        <v>50</v>
      </c>
      <c r="P95">
        <v>0</v>
      </c>
      <c r="Q95">
        <v>0</v>
      </c>
      <c r="R95">
        <v>0</v>
      </c>
      <c r="S95" t="s">
        <v>216</v>
      </c>
      <c r="T95" t="s">
        <v>2301</v>
      </c>
      <c r="U95" t="s">
        <v>312</v>
      </c>
      <c r="FL95" t="s">
        <v>199</v>
      </c>
      <c r="FM95" t="s">
        <v>198</v>
      </c>
      <c r="FO95" t="s">
        <v>198</v>
      </c>
      <c r="FP95" t="s">
        <v>198</v>
      </c>
      <c r="FQ95" t="s">
        <v>198</v>
      </c>
      <c r="FR95" t="s">
        <v>198</v>
      </c>
      <c r="FS95" t="s">
        <v>200</v>
      </c>
      <c r="FT95" t="s">
        <v>200</v>
      </c>
      <c r="FU95" t="s">
        <v>198</v>
      </c>
      <c r="FW95" t="s">
        <v>200</v>
      </c>
      <c r="FX95" t="s">
        <v>198</v>
      </c>
      <c r="FZ95" t="s">
        <v>1490</v>
      </c>
      <c r="GB95" t="s">
        <v>772</v>
      </c>
      <c r="GF95" t="s">
        <v>1490</v>
      </c>
      <c r="GH95" t="s">
        <v>772</v>
      </c>
      <c r="GN95" t="s">
        <v>2302</v>
      </c>
      <c r="GP95" t="s">
        <v>151</v>
      </c>
      <c r="HA95" t="s">
        <v>162</v>
      </c>
      <c r="HB95" t="s">
        <v>651</v>
      </c>
      <c r="HC95" t="s">
        <v>2303</v>
      </c>
      <c r="HD95" t="s">
        <v>2304</v>
      </c>
      <c r="HE95" t="s">
        <v>2305</v>
      </c>
      <c r="HF95" t="s">
        <v>2306</v>
      </c>
      <c r="HG95" t="s">
        <v>2307</v>
      </c>
      <c r="HH95">
        <v>438272100</v>
      </c>
    </row>
    <row r="96" spans="1:216" x14ac:dyDescent="0.25">
      <c r="A96">
        <v>10488675606</v>
      </c>
      <c r="B96">
        <v>224510252</v>
      </c>
      <c r="C96" s="2">
        <v>43490.589131944442</v>
      </c>
      <c r="D96" s="2">
        <v>43490.606608796297</v>
      </c>
      <c r="E96" t="s">
        <v>904</v>
      </c>
      <c r="J96" t="s">
        <v>279</v>
      </c>
      <c r="L96">
        <v>300</v>
      </c>
      <c r="M96">
        <v>50</v>
      </c>
      <c r="N96">
        <v>0</v>
      </c>
      <c r="O96">
        <v>25</v>
      </c>
      <c r="P96">
        <v>0</v>
      </c>
      <c r="Q96">
        <v>25</v>
      </c>
      <c r="R96">
        <v>0</v>
      </c>
      <c r="S96" t="s">
        <v>1457</v>
      </c>
      <c r="T96" t="s">
        <v>2308</v>
      </c>
      <c r="U96" t="s">
        <v>312</v>
      </c>
      <c r="FL96" t="s">
        <v>198</v>
      </c>
      <c r="FM96" t="s">
        <v>198</v>
      </c>
      <c r="FO96" t="s">
        <v>199</v>
      </c>
      <c r="FP96" t="s">
        <v>198</v>
      </c>
      <c r="FQ96" t="s">
        <v>200</v>
      </c>
      <c r="FR96" t="s">
        <v>198</v>
      </c>
      <c r="FS96" t="s">
        <v>200</v>
      </c>
      <c r="FT96" t="s">
        <v>199</v>
      </c>
      <c r="FU96" t="s">
        <v>200</v>
      </c>
      <c r="FW96" t="s">
        <v>198</v>
      </c>
      <c r="FX96" t="s">
        <v>198</v>
      </c>
      <c r="GB96" t="s">
        <v>772</v>
      </c>
      <c r="GH96" t="s">
        <v>772</v>
      </c>
      <c r="GN96" t="s">
        <v>2309</v>
      </c>
      <c r="GP96" t="s">
        <v>151</v>
      </c>
      <c r="HB96" t="s">
        <v>651</v>
      </c>
      <c r="HC96" t="s">
        <v>2310</v>
      </c>
      <c r="HE96" t="s">
        <v>362</v>
      </c>
      <c r="HF96" t="s">
        <v>2311</v>
      </c>
      <c r="HH96">
        <v>428366883</v>
      </c>
    </row>
    <row r="97" spans="1:216" x14ac:dyDescent="0.25">
      <c r="A97">
        <v>10488608950</v>
      </c>
      <c r="B97">
        <v>224510252</v>
      </c>
      <c r="C97" s="2">
        <v>43490.544502314813</v>
      </c>
      <c r="D97" s="2">
        <v>43490.562256944453</v>
      </c>
      <c r="E97" t="s">
        <v>904</v>
      </c>
      <c r="J97" t="s">
        <v>215</v>
      </c>
      <c r="L97">
        <v>2600</v>
      </c>
      <c r="M97">
        <v>60</v>
      </c>
      <c r="N97">
        <v>0</v>
      </c>
      <c r="O97">
        <v>40</v>
      </c>
      <c r="P97">
        <v>0</v>
      </c>
      <c r="Q97">
        <v>0</v>
      </c>
      <c r="R97">
        <v>0</v>
      </c>
      <c r="S97" t="s">
        <v>261</v>
      </c>
      <c r="T97" t="s">
        <v>2312</v>
      </c>
      <c r="U97" t="s">
        <v>166</v>
      </c>
      <c r="V97" t="s">
        <v>1420</v>
      </c>
      <c r="X97" t="s">
        <v>263</v>
      </c>
      <c r="Z97" t="s">
        <v>238</v>
      </c>
      <c r="AB97" t="s">
        <v>1459</v>
      </c>
      <c r="AC97" t="s">
        <v>170</v>
      </c>
      <c r="AE97" t="s">
        <v>2313</v>
      </c>
      <c r="AF97" t="s">
        <v>2314</v>
      </c>
      <c r="AG97" t="s">
        <v>2315</v>
      </c>
      <c r="AH97" t="s">
        <v>1682</v>
      </c>
      <c r="AI97" t="s">
        <v>1682</v>
      </c>
      <c r="AJ97" t="s">
        <v>1682</v>
      </c>
      <c r="AK97" t="s">
        <v>1683</v>
      </c>
      <c r="AV97" t="s">
        <v>313</v>
      </c>
      <c r="AW97" t="s">
        <v>182</v>
      </c>
      <c r="AY97" t="s">
        <v>177</v>
      </c>
      <c r="AZ97" t="s">
        <v>183</v>
      </c>
      <c r="BB97" t="s">
        <v>177</v>
      </c>
      <c r="CU97" t="s">
        <v>2316</v>
      </c>
      <c r="CV97" t="s">
        <v>2317</v>
      </c>
      <c r="CW97" t="s">
        <v>2318</v>
      </c>
      <c r="CX97" t="s">
        <v>2295</v>
      </c>
      <c r="DF97" t="s">
        <v>2319</v>
      </c>
      <c r="DO97" t="s">
        <v>200</v>
      </c>
      <c r="DP97" t="s">
        <v>199</v>
      </c>
      <c r="DQ97" t="s">
        <v>198</v>
      </c>
      <c r="DR97" t="s">
        <v>198</v>
      </c>
      <c r="DT97" t="s">
        <v>201</v>
      </c>
      <c r="DV97" t="s">
        <v>202</v>
      </c>
      <c r="DX97" t="s">
        <v>203</v>
      </c>
      <c r="DZ97" t="s">
        <v>2320</v>
      </c>
      <c r="FV97" t="s">
        <v>2321</v>
      </c>
      <c r="FW97" t="s">
        <v>200</v>
      </c>
      <c r="FX97" t="s">
        <v>200</v>
      </c>
      <c r="GN97" t="s">
        <v>2322</v>
      </c>
      <c r="GP97" t="s">
        <v>151</v>
      </c>
      <c r="HC97" t="s">
        <v>2323</v>
      </c>
      <c r="HE97" t="s">
        <v>2324</v>
      </c>
      <c r="HF97" t="s">
        <v>2325</v>
      </c>
      <c r="HG97" t="s">
        <v>2326</v>
      </c>
      <c r="HH97">
        <v>428554054</v>
      </c>
    </row>
    <row r="98" spans="1:216" x14ac:dyDescent="0.25">
      <c r="A98">
        <v>10486300657</v>
      </c>
      <c r="B98">
        <v>224510252</v>
      </c>
      <c r="C98" s="2">
        <v>43489.626192129632</v>
      </c>
      <c r="D98" s="2">
        <v>43489.640821759262</v>
      </c>
      <c r="E98" t="s">
        <v>904</v>
      </c>
      <c r="J98" t="s">
        <v>366</v>
      </c>
      <c r="L98" t="s">
        <v>2327</v>
      </c>
      <c r="M98">
        <v>60</v>
      </c>
      <c r="N98">
        <v>0</v>
      </c>
      <c r="O98">
        <v>40</v>
      </c>
      <c r="P98">
        <v>0</v>
      </c>
      <c r="Q98">
        <v>0</v>
      </c>
      <c r="R98">
        <v>0</v>
      </c>
      <c r="S98" t="s">
        <v>494</v>
      </c>
      <c r="T98" t="s">
        <v>2328</v>
      </c>
      <c r="U98" t="s">
        <v>166</v>
      </c>
      <c r="V98" t="s">
        <v>1499</v>
      </c>
      <c r="X98" t="s">
        <v>263</v>
      </c>
      <c r="Z98" t="s">
        <v>263</v>
      </c>
      <c r="AB98" t="s">
        <v>910</v>
      </c>
      <c r="AC98" t="s">
        <v>2329</v>
      </c>
      <c r="AD98" t="s">
        <v>2330</v>
      </c>
      <c r="AF98" t="s">
        <v>2331</v>
      </c>
      <c r="AH98" t="s">
        <v>405</v>
      </c>
      <c r="AI98" t="s">
        <v>403</v>
      </c>
      <c r="AJ98">
        <v>0</v>
      </c>
      <c r="AK98" t="s">
        <v>403</v>
      </c>
      <c r="AM98" t="s">
        <v>402</v>
      </c>
      <c r="AP98" t="s">
        <v>178</v>
      </c>
      <c r="AW98" t="s">
        <v>182</v>
      </c>
      <c r="AY98" t="s">
        <v>177</v>
      </c>
      <c r="AZ98" t="s">
        <v>183</v>
      </c>
      <c r="BB98" t="s">
        <v>177</v>
      </c>
      <c r="BC98" t="s">
        <v>180</v>
      </c>
      <c r="BE98" t="s">
        <v>177</v>
      </c>
      <c r="BF98" t="s">
        <v>679</v>
      </c>
      <c r="BH98" t="s">
        <v>177</v>
      </c>
      <c r="BL98" t="s">
        <v>2332</v>
      </c>
      <c r="BM98" t="s">
        <v>184</v>
      </c>
      <c r="BO98" t="s">
        <v>177</v>
      </c>
      <c r="BW98" t="s">
        <v>186</v>
      </c>
      <c r="CV98" t="s">
        <v>2333</v>
      </c>
      <c r="CW98" t="s">
        <v>2334</v>
      </c>
      <c r="DF98" t="s">
        <v>2335</v>
      </c>
      <c r="DN98" t="s">
        <v>2336</v>
      </c>
      <c r="DO98" t="s">
        <v>198</v>
      </c>
      <c r="DP98" t="s">
        <v>199</v>
      </c>
      <c r="DQ98" t="s">
        <v>198</v>
      </c>
      <c r="DR98" t="s">
        <v>198</v>
      </c>
      <c r="DT98" t="s">
        <v>2337</v>
      </c>
      <c r="DV98" t="s">
        <v>228</v>
      </c>
      <c r="DX98" t="s">
        <v>233</v>
      </c>
      <c r="DZ98" t="s">
        <v>2338</v>
      </c>
      <c r="EK98" t="s">
        <v>2339</v>
      </c>
      <c r="EL98" t="s">
        <v>198</v>
      </c>
      <c r="EM98" t="s">
        <v>1019</v>
      </c>
      <c r="EN98" t="s">
        <v>200</v>
      </c>
      <c r="EO98" t="s">
        <v>198</v>
      </c>
      <c r="EQ98" t="s">
        <v>249</v>
      </c>
      <c r="ES98" t="s">
        <v>228</v>
      </c>
      <c r="ET98" t="s">
        <v>233</v>
      </c>
      <c r="EU98" t="s">
        <v>1708</v>
      </c>
      <c r="GP98" t="s">
        <v>151</v>
      </c>
      <c r="GT98" t="s">
        <v>155</v>
      </c>
      <c r="HC98" t="s">
        <v>2340</v>
      </c>
      <c r="HE98" t="s">
        <v>2341</v>
      </c>
      <c r="HF98" t="s">
        <v>806</v>
      </c>
      <c r="HH98" t="s">
        <v>2342</v>
      </c>
    </row>
    <row r="99" spans="1:216" x14ac:dyDescent="0.25">
      <c r="A99">
        <v>10486284617</v>
      </c>
      <c r="B99">
        <v>224510252</v>
      </c>
      <c r="C99" s="2">
        <v>43489.611678240741</v>
      </c>
      <c r="D99" s="2">
        <v>43489.633252314823</v>
      </c>
      <c r="E99" t="s">
        <v>904</v>
      </c>
      <c r="J99" t="s">
        <v>260</v>
      </c>
      <c r="L99">
        <v>2200</v>
      </c>
      <c r="M99">
        <v>70</v>
      </c>
      <c r="N99">
        <v>0</v>
      </c>
      <c r="O99">
        <v>30</v>
      </c>
      <c r="P99">
        <v>0</v>
      </c>
      <c r="Q99">
        <v>0</v>
      </c>
      <c r="R99">
        <v>0</v>
      </c>
      <c r="S99" t="s">
        <v>261</v>
      </c>
      <c r="T99" t="s">
        <v>2343</v>
      </c>
      <c r="U99" t="s">
        <v>166</v>
      </c>
      <c r="V99" t="s">
        <v>1420</v>
      </c>
      <c r="X99" t="s">
        <v>168</v>
      </c>
      <c r="Z99" t="s">
        <v>1547</v>
      </c>
      <c r="AB99" t="s">
        <v>1459</v>
      </c>
      <c r="AC99" t="s">
        <v>2344</v>
      </c>
      <c r="AD99" t="s">
        <v>2345</v>
      </c>
      <c r="AE99" t="s">
        <v>2346</v>
      </c>
      <c r="AF99" t="s">
        <v>2347</v>
      </c>
      <c r="AG99" t="s">
        <v>2348</v>
      </c>
      <c r="AH99" t="s">
        <v>1683</v>
      </c>
      <c r="AI99" t="s">
        <v>1683</v>
      </c>
      <c r="AJ99" t="s">
        <v>1683</v>
      </c>
      <c r="AK99" t="s">
        <v>1683</v>
      </c>
      <c r="AM99" t="s">
        <v>402</v>
      </c>
      <c r="AV99" t="s">
        <v>2349</v>
      </c>
      <c r="AW99" t="s">
        <v>182</v>
      </c>
      <c r="AY99" t="s">
        <v>177</v>
      </c>
      <c r="BV99" t="s">
        <v>2350</v>
      </c>
      <c r="CU99" t="s">
        <v>2351</v>
      </c>
      <c r="CV99" t="s">
        <v>2352</v>
      </c>
      <c r="CW99" t="s">
        <v>1535</v>
      </c>
      <c r="CX99" t="s">
        <v>2295</v>
      </c>
      <c r="CY99" t="s">
        <v>110</v>
      </c>
      <c r="CZ99" t="s">
        <v>111</v>
      </c>
      <c r="DD99" t="s">
        <v>115</v>
      </c>
      <c r="DG99" t="s">
        <v>110</v>
      </c>
      <c r="DH99" t="s">
        <v>111</v>
      </c>
      <c r="DL99" t="s">
        <v>115</v>
      </c>
      <c r="DO99" t="s">
        <v>198</v>
      </c>
      <c r="DP99" t="s">
        <v>199</v>
      </c>
      <c r="DQ99" t="s">
        <v>198</v>
      </c>
      <c r="DR99" t="s">
        <v>198</v>
      </c>
      <c r="DT99" t="s">
        <v>249</v>
      </c>
      <c r="DV99" t="s">
        <v>228</v>
      </c>
      <c r="DX99" t="s">
        <v>233</v>
      </c>
      <c r="DZ99" t="s">
        <v>2353</v>
      </c>
      <c r="EK99" t="s">
        <v>2354</v>
      </c>
      <c r="EL99" t="s">
        <v>200</v>
      </c>
      <c r="EM99" t="s">
        <v>200</v>
      </c>
      <c r="EN99" t="s">
        <v>200</v>
      </c>
      <c r="EO99" t="s">
        <v>200</v>
      </c>
      <c r="EQ99" t="s">
        <v>209</v>
      </c>
      <c r="ES99" t="s">
        <v>202</v>
      </c>
      <c r="ET99" t="s">
        <v>203</v>
      </c>
      <c r="FV99" t="s">
        <v>2355</v>
      </c>
      <c r="FW99" t="s">
        <v>200</v>
      </c>
      <c r="FX99" t="s">
        <v>200</v>
      </c>
      <c r="GN99" t="s">
        <v>2356</v>
      </c>
      <c r="GZ99" t="s">
        <v>161</v>
      </c>
      <c r="HA99" t="s">
        <v>162</v>
      </c>
      <c r="HC99" t="s">
        <v>2357</v>
      </c>
      <c r="HE99" t="s">
        <v>2358</v>
      </c>
      <c r="HF99" t="s">
        <v>572</v>
      </c>
      <c r="HG99" t="s">
        <v>2359</v>
      </c>
      <c r="HH99" t="s">
        <v>2360</v>
      </c>
    </row>
    <row r="100" spans="1:216" x14ac:dyDescent="0.25">
      <c r="A100">
        <v>10486202100</v>
      </c>
      <c r="B100">
        <v>224510252</v>
      </c>
      <c r="C100" s="2">
        <v>43489.544525462959</v>
      </c>
      <c r="D100" s="2">
        <v>43489.566793981481</v>
      </c>
      <c r="E100" t="s">
        <v>904</v>
      </c>
      <c r="J100" t="s">
        <v>164</v>
      </c>
      <c r="L100" t="s">
        <v>2361</v>
      </c>
      <c r="M100">
        <v>100</v>
      </c>
      <c r="N100">
        <v>0</v>
      </c>
      <c r="O100">
        <v>0</v>
      </c>
      <c r="P100">
        <v>0</v>
      </c>
      <c r="Q100">
        <v>0</v>
      </c>
      <c r="R100">
        <v>0</v>
      </c>
      <c r="S100" t="s">
        <v>313</v>
      </c>
      <c r="T100" t="s">
        <v>1160</v>
      </c>
      <c r="U100" t="s">
        <v>312</v>
      </c>
      <c r="FL100" t="s">
        <v>198</v>
      </c>
      <c r="FM100" t="s">
        <v>198</v>
      </c>
      <c r="FO100" t="s">
        <v>198</v>
      </c>
      <c r="FP100" t="s">
        <v>198</v>
      </c>
      <c r="FQ100" t="s">
        <v>198</v>
      </c>
      <c r="FR100" t="s">
        <v>198</v>
      </c>
      <c r="FS100" t="s">
        <v>198</v>
      </c>
      <c r="FT100" t="s">
        <v>198</v>
      </c>
      <c r="FU100" t="s">
        <v>198</v>
      </c>
      <c r="FW100" t="s">
        <v>198</v>
      </c>
      <c r="FX100" t="s">
        <v>198</v>
      </c>
      <c r="FZ100" t="s">
        <v>1490</v>
      </c>
      <c r="GA100" t="s">
        <v>1540</v>
      </c>
      <c r="GB100" t="s">
        <v>772</v>
      </c>
      <c r="GC100" t="s">
        <v>1438</v>
      </c>
      <c r="GD100" t="s">
        <v>1608</v>
      </c>
      <c r="GE100" t="s">
        <v>773</v>
      </c>
      <c r="GF100" t="s">
        <v>1490</v>
      </c>
      <c r="GG100" t="s">
        <v>1540</v>
      </c>
      <c r="GH100" t="s">
        <v>772</v>
      </c>
      <c r="GI100" t="s">
        <v>1438</v>
      </c>
      <c r="GJ100" t="s">
        <v>1608</v>
      </c>
      <c r="GK100" t="s">
        <v>773</v>
      </c>
      <c r="GM100" t="s">
        <v>2362</v>
      </c>
      <c r="GN100" t="s">
        <v>2363</v>
      </c>
      <c r="GT100" t="s">
        <v>155</v>
      </c>
      <c r="HC100" t="s">
        <v>2364</v>
      </c>
      <c r="HE100" t="s">
        <v>2365</v>
      </c>
      <c r="HF100" t="s">
        <v>2366</v>
      </c>
    </row>
    <row r="101" spans="1:216" x14ac:dyDescent="0.25">
      <c r="A101">
        <v>10485979410</v>
      </c>
      <c r="B101">
        <v>224510252</v>
      </c>
      <c r="C101" s="2">
        <v>43489.445972222216</v>
      </c>
      <c r="D101" s="2">
        <v>43489.459849537037</v>
      </c>
      <c r="E101" t="s">
        <v>904</v>
      </c>
      <c r="J101" t="s">
        <v>164</v>
      </c>
      <c r="L101" t="s">
        <v>2367</v>
      </c>
      <c r="M101">
        <v>70</v>
      </c>
      <c r="N101">
        <v>0</v>
      </c>
      <c r="O101">
        <v>30</v>
      </c>
      <c r="P101">
        <v>0</v>
      </c>
      <c r="Q101">
        <v>0</v>
      </c>
      <c r="R101">
        <v>0</v>
      </c>
      <c r="S101" t="s">
        <v>261</v>
      </c>
      <c r="T101" t="s">
        <v>2368</v>
      </c>
      <c r="U101" t="s">
        <v>166</v>
      </c>
      <c r="V101" t="s">
        <v>1499</v>
      </c>
      <c r="X101" t="s">
        <v>168</v>
      </c>
      <c r="Z101" t="s">
        <v>1473</v>
      </c>
      <c r="AB101" t="s">
        <v>910</v>
      </c>
      <c r="AC101" t="s">
        <v>2369</v>
      </c>
      <c r="AD101" t="s">
        <v>2370</v>
      </c>
      <c r="AE101" t="s">
        <v>2371</v>
      </c>
      <c r="AF101" t="s">
        <v>2191</v>
      </c>
      <c r="AG101" t="s">
        <v>2372</v>
      </c>
      <c r="AH101">
        <v>0</v>
      </c>
      <c r="AI101">
        <v>0</v>
      </c>
      <c r="AJ101">
        <v>0</v>
      </c>
      <c r="AK101">
        <v>0</v>
      </c>
      <c r="AM101" t="s">
        <v>176</v>
      </c>
      <c r="AO101" t="s">
        <v>177</v>
      </c>
      <c r="AV101" t="s">
        <v>2373</v>
      </c>
      <c r="AW101" t="s">
        <v>182</v>
      </c>
      <c r="AY101" t="s">
        <v>177</v>
      </c>
      <c r="BM101" t="s">
        <v>184</v>
      </c>
      <c r="BW101" t="s">
        <v>187</v>
      </c>
      <c r="CV101" t="s">
        <v>2374</v>
      </c>
      <c r="CW101" t="s">
        <v>2375</v>
      </c>
      <c r="CX101" t="s">
        <v>2376</v>
      </c>
      <c r="DE101" t="s">
        <v>116</v>
      </c>
      <c r="DM101" t="s">
        <v>116</v>
      </c>
      <c r="DO101" t="s">
        <v>198</v>
      </c>
      <c r="DP101" t="s">
        <v>199</v>
      </c>
      <c r="DQ101" t="s">
        <v>198</v>
      </c>
      <c r="DR101" t="s">
        <v>198</v>
      </c>
      <c r="DT101" t="s">
        <v>201</v>
      </c>
      <c r="DV101" t="s">
        <v>254</v>
      </c>
      <c r="DX101" t="s">
        <v>233</v>
      </c>
      <c r="DZ101" t="s">
        <v>2377</v>
      </c>
      <c r="EA101" t="s">
        <v>2378</v>
      </c>
      <c r="EE101" t="s">
        <v>123</v>
      </c>
      <c r="EL101" t="s">
        <v>198</v>
      </c>
      <c r="EM101" t="s">
        <v>200</v>
      </c>
      <c r="EN101" t="s">
        <v>200</v>
      </c>
      <c r="EO101" t="s">
        <v>200</v>
      </c>
      <c r="EQ101" t="s">
        <v>209</v>
      </c>
      <c r="ES101" t="s">
        <v>202</v>
      </c>
      <c r="ET101" t="s">
        <v>203</v>
      </c>
      <c r="EU101" t="s">
        <v>166</v>
      </c>
      <c r="GN101" t="s">
        <v>2379</v>
      </c>
      <c r="GQ101" t="s">
        <v>152</v>
      </c>
      <c r="HC101" t="s">
        <v>2380</v>
      </c>
      <c r="HE101" t="s">
        <v>2381</v>
      </c>
      <c r="HF101" t="s">
        <v>806</v>
      </c>
      <c r="HH101">
        <v>407753332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9DABF-44CB-47C3-996E-13B83677A7AA}">
  <dimension ref="A1:F16384"/>
  <sheetViews>
    <sheetView topLeftCell="A185" zoomScale="80" zoomScaleNormal="80" workbookViewId="0">
      <selection activeCell="E2" sqref="E2:E220"/>
    </sheetView>
  </sheetViews>
  <sheetFormatPr defaultRowHeight="15" x14ac:dyDescent="0.25"/>
  <cols>
    <col min="1" max="1" width="57.85546875" style="105" bestFit="1" customWidth="1"/>
    <col min="2" max="2" width="60.5703125" style="105" bestFit="1" customWidth="1"/>
    <col min="3" max="3" width="49" style="105" customWidth="1"/>
    <col min="4" max="4" width="107.5703125" style="96" customWidth="1"/>
    <col min="5" max="5" width="25.7109375" style="97" customWidth="1"/>
    <col min="6" max="6" width="39.28515625" style="97" customWidth="1"/>
    <col min="7" max="16384" width="9.140625" style="97"/>
  </cols>
  <sheetData>
    <row r="1" spans="1:6" ht="21" customHeight="1" x14ac:dyDescent="0.25">
      <c r="A1" s="94" t="s">
        <v>2386</v>
      </c>
      <c r="B1" s="95" t="s">
        <v>2384</v>
      </c>
      <c r="C1" s="91" t="s">
        <v>2385</v>
      </c>
      <c r="D1" s="96" t="s">
        <v>2599</v>
      </c>
      <c r="E1" s="97" t="s">
        <v>2591</v>
      </c>
      <c r="F1" s="97" t="s">
        <v>2593</v>
      </c>
    </row>
    <row r="2" spans="1:6" ht="28.5" x14ac:dyDescent="0.25">
      <c r="A2" s="98" t="s">
        <v>0</v>
      </c>
      <c r="B2" s="99" t="s">
        <v>0</v>
      </c>
      <c r="C2" s="93" t="s">
        <v>0</v>
      </c>
      <c r="E2" s="93" t="s">
        <v>0</v>
      </c>
    </row>
    <row r="3" spans="1:6" ht="28.5" x14ac:dyDescent="0.25">
      <c r="A3" s="100"/>
      <c r="B3" s="99"/>
      <c r="C3" s="93" t="s">
        <v>2382</v>
      </c>
      <c r="E3" s="93" t="s">
        <v>2382</v>
      </c>
    </row>
    <row r="4" spans="1:6" ht="28.5" x14ac:dyDescent="0.25">
      <c r="A4" s="98" t="s">
        <v>1</v>
      </c>
      <c r="B4" s="99" t="s">
        <v>1</v>
      </c>
      <c r="C4" s="93" t="s">
        <v>1</v>
      </c>
      <c r="E4" s="93" t="s">
        <v>1</v>
      </c>
    </row>
    <row r="5" spans="1:6" ht="28.5" x14ac:dyDescent="0.25">
      <c r="A5" s="98" t="s">
        <v>2</v>
      </c>
      <c r="B5" s="99" t="s">
        <v>2</v>
      </c>
      <c r="C5" s="93" t="s">
        <v>2</v>
      </c>
      <c r="E5" s="93" t="s">
        <v>2</v>
      </c>
    </row>
    <row r="6" spans="1:6" ht="28.5" x14ac:dyDescent="0.25">
      <c r="A6" s="98" t="s">
        <v>3</v>
      </c>
      <c r="B6" s="99" t="s">
        <v>3</v>
      </c>
      <c r="C6" s="93" t="s">
        <v>3</v>
      </c>
      <c r="E6" s="93" t="s">
        <v>3</v>
      </c>
    </row>
    <row r="7" spans="1:6" ht="28.5" x14ac:dyDescent="0.25">
      <c r="A7" s="98" t="s">
        <v>4</v>
      </c>
      <c r="B7" s="99" t="s">
        <v>4</v>
      </c>
      <c r="C7" s="93" t="s">
        <v>4</v>
      </c>
      <c r="E7" s="93" t="s">
        <v>4</v>
      </c>
    </row>
    <row r="8" spans="1:6" ht="28.5" x14ac:dyDescent="0.25">
      <c r="A8" s="98" t="s">
        <v>5</v>
      </c>
      <c r="B8" s="99" t="s">
        <v>5</v>
      </c>
      <c r="C8" s="93" t="s">
        <v>5</v>
      </c>
      <c r="E8" s="93" t="s">
        <v>5</v>
      </c>
    </row>
    <row r="9" spans="1:6" ht="28.5" x14ac:dyDescent="0.25">
      <c r="A9" s="98" t="s">
        <v>6</v>
      </c>
      <c r="B9" s="99" t="s">
        <v>6</v>
      </c>
      <c r="C9" s="93" t="s">
        <v>6</v>
      </c>
      <c r="E9" s="93" t="s">
        <v>6</v>
      </c>
    </row>
    <row r="10" spans="1:6" ht="28.5" x14ac:dyDescent="0.25">
      <c r="A10" s="98" t="s">
        <v>7</v>
      </c>
      <c r="B10" s="99" t="s">
        <v>7</v>
      </c>
      <c r="C10" s="93" t="s">
        <v>7</v>
      </c>
      <c r="E10" s="93" t="s">
        <v>7</v>
      </c>
    </row>
    <row r="11" spans="1:6" x14ac:dyDescent="0.25">
      <c r="A11" s="98" t="s">
        <v>8</v>
      </c>
      <c r="B11" s="99" t="s">
        <v>8</v>
      </c>
      <c r="C11" s="93" t="s">
        <v>8</v>
      </c>
    </row>
    <row r="12" spans="1:6" ht="28.5" x14ac:dyDescent="0.25">
      <c r="A12" s="98" t="s">
        <v>1383</v>
      </c>
      <c r="B12" s="99" t="s">
        <v>1257</v>
      </c>
      <c r="C12" s="93" t="s">
        <v>1255</v>
      </c>
      <c r="D12" s="96" t="s">
        <v>2590</v>
      </c>
      <c r="E12" s="97">
        <v>1</v>
      </c>
    </row>
    <row r="13" spans="1:6" x14ac:dyDescent="0.25">
      <c r="A13" s="98" t="s">
        <v>33</v>
      </c>
      <c r="B13" s="99"/>
      <c r="C13" s="93" t="s">
        <v>1256</v>
      </c>
      <c r="D13" s="96" t="s">
        <v>2600</v>
      </c>
      <c r="E13" s="97">
        <v>1.1000000000000001</v>
      </c>
    </row>
    <row r="14" spans="1:6" ht="28.5" x14ac:dyDescent="0.25">
      <c r="A14" s="98" t="s">
        <v>1384</v>
      </c>
      <c r="B14" s="99" t="s">
        <v>1258</v>
      </c>
      <c r="C14" s="93" t="s">
        <v>1259</v>
      </c>
      <c r="D14" s="96" t="s">
        <v>2592</v>
      </c>
      <c r="E14" s="97">
        <v>2</v>
      </c>
    </row>
    <row r="15" spans="1:6" ht="57" x14ac:dyDescent="0.25">
      <c r="A15" s="98" t="s">
        <v>1385</v>
      </c>
      <c r="B15" s="99" t="s">
        <v>1307</v>
      </c>
      <c r="C15" s="93" t="s">
        <v>35</v>
      </c>
      <c r="D15" s="96" t="s">
        <v>2601</v>
      </c>
      <c r="E15" s="97">
        <v>3.1</v>
      </c>
    </row>
    <row r="16" spans="1:6" x14ac:dyDescent="0.25">
      <c r="A16" s="98"/>
      <c r="B16" s="99"/>
      <c r="C16" s="93" t="s">
        <v>36</v>
      </c>
      <c r="D16" s="96" t="s">
        <v>2602</v>
      </c>
      <c r="E16" s="97">
        <v>3.2</v>
      </c>
    </row>
    <row r="17" spans="1:5" x14ac:dyDescent="0.25">
      <c r="A17" s="98"/>
      <c r="B17" s="99"/>
      <c r="C17" s="93" t="s">
        <v>37</v>
      </c>
      <c r="D17" s="96" t="s">
        <v>2606</v>
      </c>
      <c r="E17" s="97">
        <v>3.3</v>
      </c>
    </row>
    <row r="18" spans="1:5" x14ac:dyDescent="0.25">
      <c r="A18" s="98"/>
      <c r="B18" s="99"/>
      <c r="C18" s="93" t="s">
        <v>38</v>
      </c>
      <c r="D18" s="96" t="s">
        <v>2603</v>
      </c>
      <c r="E18" s="97">
        <v>3.4</v>
      </c>
    </row>
    <row r="19" spans="1:5" x14ac:dyDescent="0.25">
      <c r="A19" s="98"/>
      <c r="B19" s="99"/>
      <c r="C19" s="93" t="s">
        <v>39</v>
      </c>
      <c r="D19" s="96" t="s">
        <v>2604</v>
      </c>
      <c r="E19" s="97">
        <v>3.5</v>
      </c>
    </row>
    <row r="20" spans="1:5" x14ac:dyDescent="0.25">
      <c r="A20" s="98"/>
      <c r="B20" s="99"/>
      <c r="C20" s="93" t="s">
        <v>40</v>
      </c>
      <c r="D20" s="96" t="s">
        <v>2605</v>
      </c>
      <c r="E20" s="97">
        <v>3.6</v>
      </c>
    </row>
    <row r="21" spans="1:5" ht="28.5" x14ac:dyDescent="0.25">
      <c r="A21" s="98" t="s">
        <v>1386</v>
      </c>
      <c r="B21" s="99" t="s">
        <v>1317</v>
      </c>
      <c r="C21" s="93" t="s">
        <v>1318</v>
      </c>
      <c r="D21" s="96" t="s">
        <v>2594</v>
      </c>
      <c r="E21" s="97">
        <v>4</v>
      </c>
    </row>
    <row r="22" spans="1:5" ht="28.5" x14ac:dyDescent="0.25">
      <c r="A22" s="98" t="s">
        <v>1387</v>
      </c>
      <c r="B22" s="99" t="s">
        <v>1319</v>
      </c>
      <c r="C22" s="93" t="s">
        <v>34</v>
      </c>
      <c r="D22" s="96" t="s">
        <v>2595</v>
      </c>
      <c r="E22" s="97">
        <v>5.0999999999999996</v>
      </c>
    </row>
    <row r="23" spans="1:5" x14ac:dyDescent="0.25">
      <c r="A23" s="100"/>
      <c r="B23" s="101"/>
      <c r="C23" s="93" t="s">
        <v>1371</v>
      </c>
      <c r="E23" s="97">
        <v>5.2</v>
      </c>
    </row>
    <row r="24" spans="1:5" ht="28.5" x14ac:dyDescent="0.25">
      <c r="A24" s="98" t="s">
        <v>1388</v>
      </c>
      <c r="B24" s="99" t="s">
        <v>9</v>
      </c>
      <c r="C24" s="93" t="s">
        <v>2387</v>
      </c>
      <c r="D24" s="96" t="s">
        <v>2596</v>
      </c>
      <c r="E24" s="97">
        <v>6</v>
      </c>
    </row>
    <row r="25" spans="1:5" ht="28.5" x14ac:dyDescent="0.25">
      <c r="A25" s="98" t="s">
        <v>2474</v>
      </c>
      <c r="B25" s="102"/>
      <c r="C25" s="93" t="s">
        <v>2472</v>
      </c>
      <c r="D25" s="103" t="s">
        <v>2597</v>
      </c>
      <c r="E25" s="97">
        <v>7</v>
      </c>
    </row>
    <row r="26" spans="1:5" ht="30" x14ac:dyDescent="0.25">
      <c r="A26" s="100"/>
      <c r="B26" s="99" t="s">
        <v>10</v>
      </c>
      <c r="C26" s="93" t="s">
        <v>2388</v>
      </c>
      <c r="D26" s="103" t="s">
        <v>2598</v>
      </c>
      <c r="E26" s="97">
        <v>8.1</v>
      </c>
    </row>
    <row r="27" spans="1:5" ht="28.5" x14ac:dyDescent="0.25">
      <c r="A27" s="100"/>
      <c r="B27" s="99" t="s">
        <v>11</v>
      </c>
      <c r="C27" s="93" t="s">
        <v>1260</v>
      </c>
      <c r="D27" s="99" t="s">
        <v>11</v>
      </c>
      <c r="E27" s="97">
        <v>8.1999999999999993</v>
      </c>
    </row>
    <row r="28" spans="1:5" ht="28.5" x14ac:dyDescent="0.25">
      <c r="A28" s="100"/>
      <c r="B28" s="99" t="s">
        <v>12</v>
      </c>
      <c r="C28" s="93" t="s">
        <v>1261</v>
      </c>
      <c r="D28" s="99" t="s">
        <v>12</v>
      </c>
      <c r="E28" s="97">
        <v>8.1999999999999993</v>
      </c>
    </row>
    <row r="29" spans="1:5" ht="42.75" x14ac:dyDescent="0.25">
      <c r="A29" s="98" t="s">
        <v>1390</v>
      </c>
      <c r="B29" s="99" t="s">
        <v>2432</v>
      </c>
      <c r="C29" s="93" t="s">
        <v>1262</v>
      </c>
      <c r="D29" s="96" t="s">
        <v>2598</v>
      </c>
      <c r="E29" s="97">
        <v>9.1</v>
      </c>
    </row>
    <row r="30" spans="1:5" x14ac:dyDescent="0.25">
      <c r="A30" s="100" t="s">
        <v>33</v>
      </c>
      <c r="B30" s="101" t="s">
        <v>33</v>
      </c>
      <c r="C30" s="93" t="s">
        <v>33</v>
      </c>
      <c r="D30" s="96" t="s">
        <v>2607</v>
      </c>
      <c r="E30" s="97">
        <v>9.1999999999999993</v>
      </c>
    </row>
    <row r="31" spans="1:5" ht="42.75" x14ac:dyDescent="0.25">
      <c r="A31" s="98" t="s">
        <v>2473</v>
      </c>
      <c r="B31" s="99" t="s">
        <v>2433</v>
      </c>
      <c r="C31" s="93" t="s">
        <v>1263</v>
      </c>
      <c r="D31" s="96" t="s">
        <v>2608</v>
      </c>
      <c r="E31" s="97">
        <v>10.1</v>
      </c>
    </row>
    <row r="32" spans="1:5" x14ac:dyDescent="0.25">
      <c r="A32" s="98" t="s">
        <v>33</v>
      </c>
      <c r="B32" s="99" t="s">
        <v>33</v>
      </c>
      <c r="C32" s="93" t="s">
        <v>1264</v>
      </c>
      <c r="E32" s="97">
        <v>10.199999999999999</v>
      </c>
    </row>
    <row r="33" spans="1:5" ht="42.75" x14ac:dyDescent="0.25">
      <c r="A33" s="100" t="s">
        <v>2451</v>
      </c>
      <c r="B33" s="99" t="s">
        <v>2452</v>
      </c>
      <c r="C33" s="93" t="s">
        <v>41</v>
      </c>
      <c r="D33" s="96" t="s">
        <v>2609</v>
      </c>
      <c r="E33" s="97">
        <v>11.1</v>
      </c>
    </row>
    <row r="34" spans="1:5" x14ac:dyDescent="0.25">
      <c r="A34" s="100"/>
      <c r="B34" s="99"/>
      <c r="C34" s="93" t="s">
        <v>2448</v>
      </c>
      <c r="D34" s="97"/>
      <c r="E34" s="97">
        <v>11.2</v>
      </c>
    </row>
    <row r="35" spans="1:5" x14ac:dyDescent="0.25">
      <c r="A35" s="100"/>
      <c r="B35" s="99"/>
      <c r="C35" s="93" t="s">
        <v>42</v>
      </c>
      <c r="D35" s="96" t="s">
        <v>42</v>
      </c>
      <c r="E35" s="97">
        <v>11.3</v>
      </c>
    </row>
    <row r="36" spans="1:5" x14ac:dyDescent="0.25">
      <c r="A36" s="100"/>
      <c r="B36" s="99"/>
      <c r="C36" s="93" t="s">
        <v>2449</v>
      </c>
      <c r="E36" s="97">
        <v>11.4</v>
      </c>
    </row>
    <row r="37" spans="1:5" x14ac:dyDescent="0.25">
      <c r="A37" s="100"/>
      <c r="B37" s="99"/>
      <c r="C37" s="93" t="s">
        <v>43</v>
      </c>
      <c r="D37" s="96" t="s">
        <v>43</v>
      </c>
      <c r="E37" s="97">
        <v>11.5</v>
      </c>
    </row>
    <row r="38" spans="1:5" x14ac:dyDescent="0.25">
      <c r="A38" s="100"/>
      <c r="B38" s="99"/>
      <c r="C38" s="93" t="s">
        <v>2450</v>
      </c>
      <c r="E38" s="97">
        <v>11.6</v>
      </c>
    </row>
    <row r="39" spans="1:5" ht="28.5" x14ac:dyDescent="0.25">
      <c r="A39" s="100" t="s">
        <v>2455</v>
      </c>
      <c r="B39" s="99" t="s">
        <v>2456</v>
      </c>
      <c r="C39" s="93" t="s">
        <v>44</v>
      </c>
      <c r="D39" s="96" t="s">
        <v>2610</v>
      </c>
      <c r="E39" s="97">
        <v>12.1</v>
      </c>
    </row>
    <row r="40" spans="1:5" x14ac:dyDescent="0.25">
      <c r="A40" s="100"/>
      <c r="B40" s="99"/>
      <c r="C40" s="93" t="s">
        <v>45</v>
      </c>
      <c r="D40" s="96" t="s">
        <v>2611</v>
      </c>
      <c r="E40" s="97">
        <v>12.2</v>
      </c>
    </row>
    <row r="41" spans="1:5" x14ac:dyDescent="0.25">
      <c r="A41" s="100"/>
      <c r="B41" s="99"/>
      <c r="C41" s="93" t="s">
        <v>46</v>
      </c>
      <c r="D41" s="96" t="s">
        <v>2612</v>
      </c>
      <c r="E41" s="97">
        <v>12.3</v>
      </c>
    </row>
    <row r="42" spans="1:5" ht="28.5" x14ac:dyDescent="0.25">
      <c r="A42" s="100" t="s">
        <v>2462</v>
      </c>
      <c r="B42" s="99" t="s">
        <v>2462</v>
      </c>
      <c r="C42" s="93" t="s">
        <v>47</v>
      </c>
      <c r="D42" s="96" t="s">
        <v>2613</v>
      </c>
      <c r="E42" s="97">
        <v>13.1</v>
      </c>
    </row>
    <row r="43" spans="1:5" x14ac:dyDescent="0.25">
      <c r="A43" s="100"/>
      <c r="B43" s="99"/>
      <c r="C43" s="93" t="s">
        <v>48</v>
      </c>
      <c r="D43" s="96" t="s">
        <v>2614</v>
      </c>
      <c r="E43" s="97">
        <v>13.2</v>
      </c>
    </row>
    <row r="44" spans="1:5" ht="30" x14ac:dyDescent="0.25">
      <c r="A44" s="100"/>
      <c r="B44" s="99"/>
      <c r="C44" s="93" t="s">
        <v>49</v>
      </c>
      <c r="D44" s="96" t="s">
        <v>2615</v>
      </c>
      <c r="E44" s="97">
        <v>13.3</v>
      </c>
    </row>
    <row r="45" spans="1:5" x14ac:dyDescent="0.25">
      <c r="A45" s="100"/>
      <c r="B45" s="99"/>
      <c r="C45" s="93" t="s">
        <v>50</v>
      </c>
      <c r="D45" s="96" t="s">
        <v>2616</v>
      </c>
      <c r="E45" s="97">
        <v>13.4</v>
      </c>
    </row>
    <row r="46" spans="1:5" x14ac:dyDescent="0.25">
      <c r="A46" s="100" t="s">
        <v>2389</v>
      </c>
      <c r="B46" s="99"/>
      <c r="C46" s="93" t="s">
        <v>2390</v>
      </c>
      <c r="D46" s="96" t="s">
        <v>2617</v>
      </c>
      <c r="E46" s="97">
        <v>13.5</v>
      </c>
    </row>
    <row r="47" spans="1:5" ht="28.5" x14ac:dyDescent="0.25">
      <c r="A47" s="100" t="s">
        <v>2480</v>
      </c>
      <c r="B47" s="99" t="s">
        <v>2481</v>
      </c>
      <c r="C47" s="93" t="s">
        <v>51</v>
      </c>
      <c r="D47" s="105" t="s">
        <v>2618</v>
      </c>
      <c r="E47" s="110" t="s">
        <v>2619</v>
      </c>
    </row>
    <row r="48" spans="1:5" x14ac:dyDescent="0.25">
      <c r="A48" s="100"/>
      <c r="B48" s="99"/>
      <c r="C48" s="93" t="s">
        <v>52</v>
      </c>
      <c r="D48" s="105"/>
      <c r="E48" s="110" t="s">
        <v>2620</v>
      </c>
    </row>
    <row r="49" spans="1:5" ht="28.5" x14ac:dyDescent="0.25">
      <c r="A49" s="100"/>
      <c r="B49" s="99"/>
      <c r="C49" s="93" t="s">
        <v>53</v>
      </c>
      <c r="D49" s="105"/>
      <c r="E49" s="110" t="s">
        <v>2629</v>
      </c>
    </row>
    <row r="50" spans="1:5" x14ac:dyDescent="0.25">
      <c r="A50" s="100"/>
      <c r="B50" s="99"/>
      <c r="C50" s="93" t="s">
        <v>54</v>
      </c>
      <c r="D50" s="105"/>
      <c r="E50" s="110" t="s">
        <v>2621</v>
      </c>
    </row>
    <row r="51" spans="1:5" x14ac:dyDescent="0.25">
      <c r="A51" s="100"/>
      <c r="B51" s="99"/>
      <c r="C51" s="93" t="s">
        <v>55</v>
      </c>
      <c r="D51" s="105"/>
      <c r="E51" s="110" t="s">
        <v>2622</v>
      </c>
    </row>
    <row r="52" spans="1:5" ht="28.5" x14ac:dyDescent="0.25">
      <c r="A52" s="100"/>
      <c r="B52" s="99"/>
      <c r="C52" s="93" t="s">
        <v>56</v>
      </c>
      <c r="D52" s="105"/>
      <c r="E52" s="110" t="s">
        <v>2623</v>
      </c>
    </row>
    <row r="53" spans="1:5" x14ac:dyDescent="0.25">
      <c r="A53" s="100"/>
      <c r="B53" s="99"/>
      <c r="C53" s="93" t="s">
        <v>57</v>
      </c>
      <c r="D53" s="105"/>
      <c r="E53" s="110" t="s">
        <v>2624</v>
      </c>
    </row>
    <row r="54" spans="1:5" x14ac:dyDescent="0.25">
      <c r="A54" s="100"/>
      <c r="B54" s="99"/>
      <c r="C54" s="93" t="s">
        <v>58</v>
      </c>
      <c r="D54" s="105"/>
      <c r="E54" s="110" t="s">
        <v>2625</v>
      </c>
    </row>
    <row r="55" spans="1:5" ht="28.5" x14ac:dyDescent="0.25">
      <c r="A55" s="100"/>
      <c r="B55" s="99"/>
      <c r="C55" s="93" t="s">
        <v>59</v>
      </c>
      <c r="D55" s="105"/>
      <c r="E55" s="110" t="s">
        <v>2626</v>
      </c>
    </row>
    <row r="56" spans="1:5" ht="28.5" x14ac:dyDescent="0.25">
      <c r="A56" s="100"/>
      <c r="B56" s="99"/>
      <c r="C56" s="93" t="s">
        <v>60</v>
      </c>
      <c r="D56" s="105"/>
      <c r="E56" s="110">
        <v>14.4</v>
      </c>
    </row>
    <row r="57" spans="1:5" x14ac:dyDescent="0.25">
      <c r="A57" s="100" t="s">
        <v>2484</v>
      </c>
      <c r="B57" s="99" t="s">
        <v>2485</v>
      </c>
      <c r="C57" s="93" t="s">
        <v>61</v>
      </c>
      <c r="D57" s="105"/>
      <c r="E57" s="110" t="s">
        <v>2627</v>
      </c>
    </row>
    <row r="58" spans="1:5" x14ac:dyDescent="0.25">
      <c r="A58" s="100"/>
      <c r="B58" s="99"/>
      <c r="C58" s="93" t="s">
        <v>62</v>
      </c>
      <c r="D58" s="105"/>
      <c r="E58" s="110" t="s">
        <v>2628</v>
      </c>
    </row>
    <row r="59" spans="1:5" ht="28.5" x14ac:dyDescent="0.25">
      <c r="A59" s="100"/>
      <c r="B59" s="99"/>
      <c r="C59" s="93" t="s">
        <v>63</v>
      </c>
      <c r="D59" s="105"/>
      <c r="E59" s="110" t="s">
        <v>2630</v>
      </c>
    </row>
    <row r="60" spans="1:5" x14ac:dyDescent="0.25">
      <c r="A60" s="100"/>
      <c r="B60" s="99"/>
      <c r="C60" s="93" t="s">
        <v>64</v>
      </c>
      <c r="D60" s="105"/>
      <c r="E60" s="110" t="s">
        <v>2631</v>
      </c>
    </row>
    <row r="61" spans="1:5" x14ac:dyDescent="0.25">
      <c r="A61" s="100"/>
      <c r="B61" s="99"/>
      <c r="C61" s="93" t="s">
        <v>65</v>
      </c>
      <c r="D61" s="105"/>
      <c r="E61" s="110" t="s">
        <v>2632</v>
      </c>
    </row>
    <row r="62" spans="1:5" ht="28.5" x14ac:dyDescent="0.25">
      <c r="A62" s="100"/>
      <c r="B62" s="99"/>
      <c r="C62" s="93" t="s">
        <v>66</v>
      </c>
      <c r="D62" s="105"/>
      <c r="E62" s="110" t="s">
        <v>2633</v>
      </c>
    </row>
    <row r="63" spans="1:5" x14ac:dyDescent="0.25">
      <c r="A63" s="100"/>
      <c r="B63" s="99"/>
      <c r="C63" s="93" t="s">
        <v>67</v>
      </c>
      <c r="D63" s="105"/>
      <c r="E63" s="110" t="s">
        <v>2634</v>
      </c>
    </row>
    <row r="64" spans="1:5" x14ac:dyDescent="0.25">
      <c r="A64" s="100"/>
      <c r="B64" s="99"/>
      <c r="C64" s="93" t="s">
        <v>68</v>
      </c>
      <c r="D64" s="105"/>
      <c r="E64" s="110" t="s">
        <v>2635</v>
      </c>
    </row>
    <row r="65" spans="1:5" ht="28.5" x14ac:dyDescent="0.25">
      <c r="A65" s="100"/>
      <c r="B65" s="99"/>
      <c r="C65" s="93" t="s">
        <v>69</v>
      </c>
      <c r="D65" s="105"/>
      <c r="E65" s="110" t="s">
        <v>2636</v>
      </c>
    </row>
    <row r="66" spans="1:5" x14ac:dyDescent="0.25">
      <c r="A66" s="100"/>
      <c r="B66" s="99"/>
      <c r="C66" s="93" t="s">
        <v>70</v>
      </c>
      <c r="D66" s="105"/>
      <c r="E66" s="110" t="s">
        <v>2637</v>
      </c>
    </row>
    <row r="67" spans="1:5" x14ac:dyDescent="0.25">
      <c r="A67" s="100"/>
      <c r="B67" s="99"/>
      <c r="C67" s="93" t="s">
        <v>71</v>
      </c>
      <c r="D67" s="105"/>
      <c r="E67" s="110" t="s">
        <v>2638</v>
      </c>
    </row>
    <row r="68" spans="1:5" ht="28.5" x14ac:dyDescent="0.25">
      <c r="A68" s="100"/>
      <c r="B68" s="99"/>
      <c r="C68" s="93" t="s">
        <v>72</v>
      </c>
      <c r="D68" s="105"/>
      <c r="E68" s="110" t="s">
        <v>2639</v>
      </c>
    </row>
    <row r="69" spans="1:5" x14ac:dyDescent="0.25">
      <c r="A69" s="100"/>
      <c r="B69" s="99"/>
      <c r="C69" s="93" t="s">
        <v>73</v>
      </c>
      <c r="D69" s="105"/>
      <c r="E69" s="110" t="s">
        <v>2640</v>
      </c>
    </row>
    <row r="70" spans="1:5" x14ac:dyDescent="0.25">
      <c r="A70" s="100"/>
      <c r="B70" s="99"/>
      <c r="C70" s="93" t="s">
        <v>74</v>
      </c>
      <c r="D70" s="105"/>
      <c r="E70" s="110" t="s">
        <v>2641</v>
      </c>
    </row>
    <row r="71" spans="1:5" ht="28.5" x14ac:dyDescent="0.25">
      <c r="A71" s="100"/>
      <c r="B71" s="99"/>
      <c r="C71" s="93" t="s">
        <v>75</v>
      </c>
      <c r="D71" s="105"/>
      <c r="E71" s="110" t="s">
        <v>2642</v>
      </c>
    </row>
    <row r="72" spans="1:5" ht="28.5" x14ac:dyDescent="0.25">
      <c r="A72" s="100"/>
      <c r="B72" s="99"/>
      <c r="C72" s="93" t="s">
        <v>76</v>
      </c>
      <c r="D72" s="105"/>
      <c r="E72" s="110">
        <v>15.6</v>
      </c>
    </row>
    <row r="73" spans="1:5" x14ac:dyDescent="0.25">
      <c r="A73" s="100" t="s">
        <v>2488</v>
      </c>
      <c r="B73" s="99" t="s">
        <v>2488</v>
      </c>
      <c r="C73" s="93" t="s">
        <v>77</v>
      </c>
      <c r="D73" s="105"/>
      <c r="E73" s="110" t="s">
        <v>2643</v>
      </c>
    </row>
    <row r="74" spans="1:5" x14ac:dyDescent="0.25">
      <c r="A74" s="100"/>
      <c r="B74" s="99"/>
      <c r="C74" s="93" t="s">
        <v>78</v>
      </c>
      <c r="D74" s="105"/>
      <c r="E74" s="110" t="s">
        <v>2644</v>
      </c>
    </row>
    <row r="75" spans="1:5" ht="28.5" x14ac:dyDescent="0.25">
      <c r="A75" s="100"/>
      <c r="B75" s="99"/>
      <c r="C75" s="93" t="s">
        <v>79</v>
      </c>
      <c r="D75" s="105"/>
      <c r="E75" s="110" t="s">
        <v>2645</v>
      </c>
    </row>
    <row r="76" spans="1:5" x14ac:dyDescent="0.25">
      <c r="A76" s="100"/>
      <c r="B76" s="99"/>
      <c r="C76" s="93" t="s">
        <v>80</v>
      </c>
      <c r="D76" s="105"/>
      <c r="E76" s="110" t="s">
        <v>2646</v>
      </c>
    </row>
    <row r="77" spans="1:5" x14ac:dyDescent="0.25">
      <c r="A77" s="100"/>
      <c r="B77" s="99"/>
      <c r="C77" s="93" t="s">
        <v>81</v>
      </c>
      <c r="D77" s="105"/>
      <c r="E77" s="110" t="s">
        <v>2647</v>
      </c>
    </row>
    <row r="78" spans="1:5" ht="28.5" x14ac:dyDescent="0.25">
      <c r="A78" s="100"/>
      <c r="B78" s="99"/>
      <c r="C78" s="93" t="s">
        <v>82</v>
      </c>
      <c r="D78" s="105"/>
      <c r="E78" s="110" t="s">
        <v>2648</v>
      </c>
    </row>
    <row r="79" spans="1:5" x14ac:dyDescent="0.25">
      <c r="A79" s="100"/>
      <c r="B79" s="99"/>
      <c r="C79" s="93" t="s">
        <v>83</v>
      </c>
      <c r="D79" s="105"/>
      <c r="E79" s="110" t="s">
        <v>2649</v>
      </c>
    </row>
    <row r="80" spans="1:5" x14ac:dyDescent="0.25">
      <c r="A80" s="100"/>
      <c r="B80" s="99"/>
      <c r="C80" s="93" t="s">
        <v>84</v>
      </c>
      <c r="D80" s="105"/>
      <c r="E80" s="110" t="s">
        <v>2650</v>
      </c>
    </row>
    <row r="81" spans="1:5" ht="28.5" x14ac:dyDescent="0.25">
      <c r="A81" s="100"/>
      <c r="B81" s="99"/>
      <c r="C81" s="93" t="s">
        <v>85</v>
      </c>
      <c r="D81" s="105"/>
      <c r="E81" s="110" t="s">
        <v>2651</v>
      </c>
    </row>
    <row r="82" spans="1:5" ht="28.5" x14ac:dyDescent="0.25">
      <c r="A82" s="100"/>
      <c r="B82" s="99"/>
      <c r="C82" s="93" t="s">
        <v>1265</v>
      </c>
      <c r="D82" s="105"/>
      <c r="E82" s="110">
        <v>16.399999999999999</v>
      </c>
    </row>
    <row r="83" spans="1:5" x14ac:dyDescent="0.25">
      <c r="A83" s="100" t="s">
        <v>2491</v>
      </c>
      <c r="B83" s="99" t="s">
        <v>2492</v>
      </c>
      <c r="C83" s="93" t="s">
        <v>86</v>
      </c>
      <c r="D83" s="105"/>
      <c r="E83" s="110" t="s">
        <v>2652</v>
      </c>
    </row>
    <row r="84" spans="1:5" x14ac:dyDescent="0.25">
      <c r="A84" s="100"/>
      <c r="B84" s="99"/>
      <c r="C84" s="93" t="s">
        <v>87</v>
      </c>
      <c r="D84" s="105"/>
      <c r="E84" s="110" t="s">
        <v>2653</v>
      </c>
    </row>
    <row r="85" spans="1:5" x14ac:dyDescent="0.25">
      <c r="A85" s="100"/>
      <c r="B85" s="99"/>
      <c r="C85" s="93" t="s">
        <v>88</v>
      </c>
      <c r="D85" s="105"/>
      <c r="E85" s="110" t="s">
        <v>2654</v>
      </c>
    </row>
    <row r="86" spans="1:5" x14ac:dyDescent="0.25">
      <c r="A86" s="100"/>
      <c r="B86" s="99"/>
      <c r="C86" s="93" t="s">
        <v>89</v>
      </c>
      <c r="D86" s="105"/>
      <c r="E86" s="110" t="s">
        <v>2655</v>
      </c>
    </row>
    <row r="87" spans="1:5" x14ac:dyDescent="0.25">
      <c r="A87" s="100"/>
      <c r="B87" s="99"/>
      <c r="C87" s="93" t="s">
        <v>90</v>
      </c>
      <c r="D87" s="105"/>
      <c r="E87" s="110" t="s">
        <v>2656</v>
      </c>
    </row>
    <row r="88" spans="1:5" x14ac:dyDescent="0.25">
      <c r="A88" s="100"/>
      <c r="B88" s="99"/>
      <c r="C88" s="93" t="s">
        <v>91</v>
      </c>
      <c r="D88" s="105"/>
      <c r="E88" s="110" t="s">
        <v>2657</v>
      </c>
    </row>
    <row r="89" spans="1:5" x14ac:dyDescent="0.25">
      <c r="A89" s="100"/>
      <c r="B89" s="99"/>
      <c r="C89" s="93" t="s">
        <v>92</v>
      </c>
      <c r="D89" s="105"/>
      <c r="E89" s="110" t="s">
        <v>2658</v>
      </c>
    </row>
    <row r="90" spans="1:5" x14ac:dyDescent="0.25">
      <c r="A90" s="100"/>
      <c r="B90" s="99"/>
      <c r="C90" s="93" t="s">
        <v>93</v>
      </c>
      <c r="D90" s="105"/>
      <c r="E90" s="110" t="s">
        <v>2659</v>
      </c>
    </row>
    <row r="91" spans="1:5" x14ac:dyDescent="0.25">
      <c r="A91" s="100"/>
      <c r="B91" s="99"/>
      <c r="C91" s="93" t="s">
        <v>94</v>
      </c>
      <c r="D91" s="105"/>
      <c r="E91" s="110" t="s">
        <v>2660</v>
      </c>
    </row>
    <row r="92" spans="1:5" x14ac:dyDescent="0.25">
      <c r="A92" s="100"/>
      <c r="B92" s="99"/>
      <c r="C92" s="93" t="s">
        <v>95</v>
      </c>
      <c r="D92" s="105"/>
      <c r="E92" s="110" t="s">
        <v>2661</v>
      </c>
    </row>
    <row r="93" spans="1:5" x14ac:dyDescent="0.25">
      <c r="A93" s="100"/>
      <c r="B93" s="99"/>
      <c r="C93" s="93" t="s">
        <v>96</v>
      </c>
      <c r="D93" s="105"/>
      <c r="E93" s="110" t="s">
        <v>2662</v>
      </c>
    </row>
    <row r="94" spans="1:5" x14ac:dyDescent="0.25">
      <c r="A94" s="100"/>
      <c r="B94" s="99"/>
      <c r="C94" s="93" t="s">
        <v>97</v>
      </c>
      <c r="D94" s="105"/>
      <c r="E94" s="110" t="s">
        <v>2663</v>
      </c>
    </row>
    <row r="95" spans="1:5" x14ac:dyDescent="0.25">
      <c r="A95" s="100"/>
      <c r="B95" s="99"/>
      <c r="C95" s="93" t="s">
        <v>98</v>
      </c>
      <c r="D95" s="105"/>
      <c r="E95" s="110" t="s">
        <v>2664</v>
      </c>
    </row>
    <row r="96" spans="1:5" x14ac:dyDescent="0.25">
      <c r="A96" s="100"/>
      <c r="B96" s="99"/>
      <c r="C96" s="93" t="s">
        <v>99</v>
      </c>
      <c r="D96" s="105"/>
      <c r="E96" s="110" t="s">
        <v>2665</v>
      </c>
    </row>
    <row r="97" spans="1:5" x14ac:dyDescent="0.25">
      <c r="A97" s="100"/>
      <c r="B97" s="99"/>
      <c r="C97" s="93" t="s">
        <v>100</v>
      </c>
      <c r="D97" s="105"/>
      <c r="E97" s="110" t="s">
        <v>2666</v>
      </c>
    </row>
    <row r="98" spans="1:5" x14ac:dyDescent="0.25">
      <c r="A98" s="100"/>
      <c r="B98" s="99"/>
      <c r="C98" s="93" t="s">
        <v>101</v>
      </c>
      <c r="D98" s="105"/>
      <c r="E98" s="110" t="s">
        <v>2667</v>
      </c>
    </row>
    <row r="99" spans="1:5" x14ac:dyDescent="0.25">
      <c r="A99" s="100"/>
      <c r="B99" s="99"/>
      <c r="C99" s="93" t="s">
        <v>102</v>
      </c>
      <c r="D99" s="105"/>
      <c r="E99" s="110" t="s">
        <v>2668</v>
      </c>
    </row>
    <row r="100" spans="1:5" x14ac:dyDescent="0.25">
      <c r="A100" s="100"/>
      <c r="B100" s="99"/>
      <c r="C100" s="93" t="s">
        <v>103</v>
      </c>
      <c r="D100" s="105"/>
      <c r="E100" s="110" t="s">
        <v>2669</v>
      </c>
    </row>
    <row r="101" spans="1:5" x14ac:dyDescent="0.25">
      <c r="A101" s="100"/>
      <c r="B101" s="99"/>
      <c r="C101" s="93" t="s">
        <v>104</v>
      </c>
      <c r="D101" s="105"/>
      <c r="E101" s="110" t="s">
        <v>2670</v>
      </c>
    </row>
    <row r="102" spans="1:5" x14ac:dyDescent="0.25">
      <c r="A102" s="100"/>
      <c r="B102" s="99"/>
      <c r="C102" s="93" t="s">
        <v>105</v>
      </c>
      <c r="D102" s="105"/>
      <c r="E102" s="110" t="s">
        <v>2671</v>
      </c>
    </row>
    <row r="103" spans="1:5" x14ac:dyDescent="0.25">
      <c r="A103" s="100"/>
      <c r="B103" s="99"/>
      <c r="C103" s="93" t="s">
        <v>106</v>
      </c>
      <c r="D103" s="105"/>
      <c r="E103" s="110" t="s">
        <v>2672</v>
      </c>
    </row>
    <row r="104" spans="1:5" x14ac:dyDescent="0.25">
      <c r="A104" s="100"/>
      <c r="B104" s="99"/>
      <c r="C104" s="93" t="s">
        <v>107</v>
      </c>
      <c r="D104" s="105"/>
      <c r="E104" s="110" t="s">
        <v>2673</v>
      </c>
    </row>
    <row r="105" spans="1:5" x14ac:dyDescent="0.25">
      <c r="A105" s="100"/>
      <c r="B105" s="99"/>
      <c r="C105" s="93" t="s">
        <v>108</v>
      </c>
      <c r="D105" s="105"/>
      <c r="E105" s="110" t="s">
        <v>2674</v>
      </c>
    </row>
    <row r="106" spans="1:5" x14ac:dyDescent="0.25">
      <c r="A106" s="100"/>
      <c r="B106" s="99"/>
      <c r="C106" s="93" t="s">
        <v>109</v>
      </c>
      <c r="D106" s="105"/>
      <c r="E106" s="110" t="s">
        <v>2675</v>
      </c>
    </row>
    <row r="107" spans="1:5" ht="28.5" x14ac:dyDescent="0.25">
      <c r="A107" s="100"/>
      <c r="B107" s="99"/>
      <c r="C107" s="93" t="s">
        <v>1266</v>
      </c>
      <c r="D107" s="105"/>
      <c r="E107" s="110">
        <v>17.899999999999999</v>
      </c>
    </row>
    <row r="108" spans="1:5" ht="28.5" x14ac:dyDescent="0.25">
      <c r="A108" s="100" t="s">
        <v>2493</v>
      </c>
      <c r="B108" s="99" t="s">
        <v>2494</v>
      </c>
      <c r="C108" s="93" t="s">
        <v>1267</v>
      </c>
      <c r="D108" s="96" t="s">
        <v>2676</v>
      </c>
      <c r="E108" s="97">
        <v>18.100000000000001</v>
      </c>
    </row>
    <row r="109" spans="1:5" x14ac:dyDescent="0.25">
      <c r="A109" s="100"/>
      <c r="B109" s="99"/>
      <c r="C109" s="93" t="s">
        <v>1268</v>
      </c>
      <c r="D109" s="96" t="s">
        <v>2677</v>
      </c>
      <c r="E109" s="97">
        <v>18.2</v>
      </c>
    </row>
    <row r="110" spans="1:5" x14ac:dyDescent="0.25">
      <c r="A110" s="100"/>
      <c r="B110" s="99"/>
      <c r="C110" s="93" t="s">
        <v>1269</v>
      </c>
      <c r="D110" s="96" t="s">
        <v>2678</v>
      </c>
      <c r="E110" s="97">
        <v>18.3</v>
      </c>
    </row>
    <row r="111" spans="1:5" ht="28.5" x14ac:dyDescent="0.25">
      <c r="A111" s="100" t="s">
        <v>2508</v>
      </c>
      <c r="B111" s="99" t="s">
        <v>2508</v>
      </c>
      <c r="C111" s="93" t="s">
        <v>110</v>
      </c>
      <c r="D111" s="96" t="s">
        <v>2679</v>
      </c>
      <c r="E111" s="97">
        <v>19.100000000000001</v>
      </c>
    </row>
    <row r="112" spans="1:5" x14ac:dyDescent="0.25">
      <c r="A112" s="104"/>
      <c r="B112" s="99"/>
      <c r="C112" s="93" t="s">
        <v>111</v>
      </c>
      <c r="E112" s="97">
        <v>19.2</v>
      </c>
    </row>
    <row r="113" spans="1:5" x14ac:dyDescent="0.25">
      <c r="A113" s="104"/>
      <c r="B113" s="99"/>
      <c r="C113" s="93" t="s">
        <v>112</v>
      </c>
      <c r="E113" s="97">
        <v>19.3</v>
      </c>
    </row>
    <row r="114" spans="1:5" ht="28.5" x14ac:dyDescent="0.25">
      <c r="A114" s="104"/>
      <c r="B114" s="99"/>
      <c r="C114" s="93" t="s">
        <v>113</v>
      </c>
      <c r="E114" s="97">
        <v>19.399999999999999</v>
      </c>
    </row>
    <row r="115" spans="1:5" x14ac:dyDescent="0.25">
      <c r="A115" s="104"/>
      <c r="B115" s="99"/>
      <c r="C115" s="93" t="s">
        <v>114</v>
      </c>
      <c r="E115" s="97">
        <v>19.5</v>
      </c>
    </row>
    <row r="116" spans="1:5" ht="28.5" x14ac:dyDescent="0.25">
      <c r="A116" s="104"/>
      <c r="B116" s="99"/>
      <c r="C116" s="93" t="s">
        <v>115</v>
      </c>
      <c r="E116" s="97">
        <v>19.600000000000001</v>
      </c>
    </row>
    <row r="117" spans="1:5" ht="28.5" x14ac:dyDescent="0.25">
      <c r="A117" s="104"/>
      <c r="B117" s="99"/>
      <c r="C117" s="93" t="s">
        <v>116</v>
      </c>
      <c r="E117" s="97">
        <v>19.7</v>
      </c>
    </row>
    <row r="118" spans="1:5" x14ac:dyDescent="0.25">
      <c r="A118" s="100"/>
      <c r="B118" s="99"/>
      <c r="C118" s="93" t="s">
        <v>117</v>
      </c>
      <c r="E118" s="97">
        <v>19.8</v>
      </c>
    </row>
    <row r="119" spans="1:5" ht="28.5" x14ac:dyDescent="0.25">
      <c r="A119" s="100" t="s">
        <v>2511</v>
      </c>
      <c r="B119" s="99" t="s">
        <v>2511</v>
      </c>
      <c r="C119" s="93" t="s">
        <v>2512</v>
      </c>
      <c r="D119" s="96" t="s">
        <v>2680</v>
      </c>
      <c r="E119" s="97">
        <v>20.100000000000001</v>
      </c>
    </row>
    <row r="120" spans="1:5" x14ac:dyDescent="0.25">
      <c r="A120" s="100"/>
      <c r="B120" s="99"/>
      <c r="C120" s="93" t="s">
        <v>2513</v>
      </c>
      <c r="E120" s="97">
        <v>20.2</v>
      </c>
    </row>
    <row r="121" spans="1:5" x14ac:dyDescent="0.25">
      <c r="A121" s="100"/>
      <c r="B121" s="99"/>
      <c r="C121" s="93" t="s">
        <v>2514</v>
      </c>
      <c r="E121" s="97">
        <v>20.3</v>
      </c>
    </row>
    <row r="122" spans="1:5" ht="28.5" x14ac:dyDescent="0.25">
      <c r="A122" s="100"/>
      <c r="B122" s="99"/>
      <c r="C122" s="93" t="s">
        <v>2515</v>
      </c>
      <c r="E122" s="97">
        <v>20.399999999999999</v>
      </c>
    </row>
    <row r="123" spans="1:5" x14ac:dyDescent="0.25">
      <c r="A123" s="100"/>
      <c r="B123" s="99"/>
      <c r="C123" s="93" t="s">
        <v>2516</v>
      </c>
      <c r="E123" s="97">
        <v>20.5</v>
      </c>
    </row>
    <row r="124" spans="1:5" ht="28.5" x14ac:dyDescent="0.25">
      <c r="A124" s="100"/>
      <c r="B124" s="99"/>
      <c r="C124" s="93" t="s">
        <v>2517</v>
      </c>
      <c r="E124" s="97">
        <v>20.6</v>
      </c>
    </row>
    <row r="125" spans="1:5" ht="28.5" x14ac:dyDescent="0.25">
      <c r="A125" s="100"/>
      <c r="B125" s="99"/>
      <c r="C125" s="93" t="s">
        <v>2518</v>
      </c>
      <c r="E125" s="97">
        <v>20.7</v>
      </c>
    </row>
    <row r="126" spans="1:5" x14ac:dyDescent="0.25">
      <c r="A126" s="100"/>
      <c r="B126" s="99"/>
      <c r="C126" s="93" t="s">
        <v>2521</v>
      </c>
      <c r="E126" s="97">
        <v>20.8</v>
      </c>
    </row>
    <row r="127" spans="1:5" ht="28.5" x14ac:dyDescent="0.25">
      <c r="A127" s="100" t="s">
        <v>2522</v>
      </c>
      <c r="B127" s="99" t="s">
        <v>2522</v>
      </c>
      <c r="C127" s="93" t="s">
        <v>118</v>
      </c>
      <c r="D127" s="96" t="s">
        <v>2681</v>
      </c>
      <c r="E127" s="97">
        <v>21.1</v>
      </c>
    </row>
    <row r="128" spans="1:5" ht="28.5" x14ac:dyDescent="0.25">
      <c r="A128" s="100"/>
      <c r="B128" s="99"/>
      <c r="C128" s="93" t="s">
        <v>119</v>
      </c>
      <c r="E128" s="97">
        <v>21.2</v>
      </c>
    </row>
    <row r="129" spans="1:5" ht="28.5" x14ac:dyDescent="0.25">
      <c r="A129" s="104"/>
      <c r="B129" s="99"/>
      <c r="C129" s="93" t="s">
        <v>120</v>
      </c>
      <c r="E129" s="97">
        <v>21.3</v>
      </c>
    </row>
    <row r="130" spans="1:5" ht="28.5" x14ac:dyDescent="0.25">
      <c r="A130" s="100" t="s">
        <v>1415</v>
      </c>
      <c r="B130" s="99"/>
      <c r="C130" s="93" t="s">
        <v>2391</v>
      </c>
      <c r="E130" s="97">
        <v>21.4</v>
      </c>
    </row>
    <row r="131" spans="1:5" x14ac:dyDescent="0.25">
      <c r="A131" s="100"/>
      <c r="B131" s="99"/>
      <c r="C131" s="93" t="s">
        <v>121</v>
      </c>
      <c r="E131" s="97">
        <v>21.5</v>
      </c>
    </row>
    <row r="132" spans="1:5" ht="28.5" x14ac:dyDescent="0.25">
      <c r="A132" s="100" t="s">
        <v>2528</v>
      </c>
      <c r="B132" s="99" t="s">
        <v>2529</v>
      </c>
      <c r="C132" s="93" t="s">
        <v>2531</v>
      </c>
      <c r="D132" s="96" t="s">
        <v>2682</v>
      </c>
      <c r="E132" s="97">
        <v>22.1</v>
      </c>
    </row>
    <row r="133" spans="1:5" x14ac:dyDescent="0.25">
      <c r="A133" s="100"/>
      <c r="B133" s="99"/>
      <c r="C133" s="93" t="s">
        <v>1270</v>
      </c>
      <c r="E133" s="97">
        <v>22.2</v>
      </c>
    </row>
    <row r="134" spans="1:5" ht="28.5" x14ac:dyDescent="0.25">
      <c r="A134" s="100" t="s">
        <v>2535</v>
      </c>
      <c r="B134" s="99" t="s">
        <v>2536</v>
      </c>
      <c r="C134" s="93" t="s">
        <v>2537</v>
      </c>
      <c r="D134" s="96" t="s">
        <v>2683</v>
      </c>
      <c r="E134" s="97">
        <v>23.1</v>
      </c>
    </row>
    <row r="135" spans="1:5" x14ac:dyDescent="0.25">
      <c r="A135" s="100"/>
      <c r="B135" s="99"/>
      <c r="C135" s="93" t="s">
        <v>1271</v>
      </c>
      <c r="E135" s="97">
        <v>23.2</v>
      </c>
    </row>
    <row r="136" spans="1:5" ht="28.5" x14ac:dyDescent="0.25">
      <c r="A136" s="100" t="s">
        <v>2539</v>
      </c>
      <c r="B136" s="99" t="s">
        <v>2540</v>
      </c>
      <c r="C136" s="93" t="s">
        <v>2541</v>
      </c>
      <c r="D136" s="96" t="s">
        <v>2684</v>
      </c>
      <c r="E136" s="97">
        <v>24.1</v>
      </c>
    </row>
    <row r="137" spans="1:5" x14ac:dyDescent="0.25">
      <c r="A137" s="100" t="s">
        <v>18</v>
      </c>
      <c r="B137" s="99" t="s">
        <v>18</v>
      </c>
      <c r="C137" s="93" t="s">
        <v>1272</v>
      </c>
      <c r="D137" s="96" t="s">
        <v>2685</v>
      </c>
      <c r="E137" s="97">
        <v>25</v>
      </c>
    </row>
    <row r="138" spans="1:5" ht="28.5" x14ac:dyDescent="0.25">
      <c r="A138" s="100" t="s">
        <v>2544</v>
      </c>
      <c r="B138" s="99" t="s">
        <v>2544</v>
      </c>
      <c r="C138" s="93" t="s">
        <v>1273</v>
      </c>
      <c r="D138" s="96" t="s">
        <v>2686</v>
      </c>
      <c r="E138" s="97">
        <v>26.1</v>
      </c>
    </row>
    <row r="139" spans="1:5" x14ac:dyDescent="0.25">
      <c r="A139" s="100"/>
      <c r="B139" s="99"/>
      <c r="C139" s="93" t="s">
        <v>1274</v>
      </c>
      <c r="E139" s="97">
        <v>26.2</v>
      </c>
    </row>
    <row r="140" spans="1:5" x14ac:dyDescent="0.25">
      <c r="A140" s="100"/>
      <c r="B140" s="99"/>
      <c r="C140" s="93" t="s">
        <v>1275</v>
      </c>
      <c r="E140" s="97">
        <v>26.3</v>
      </c>
    </row>
    <row r="141" spans="1:5" x14ac:dyDescent="0.25">
      <c r="A141" s="100"/>
      <c r="B141" s="99"/>
      <c r="C141" s="93" t="s">
        <v>1276</v>
      </c>
      <c r="E141" s="97">
        <v>26.4</v>
      </c>
    </row>
    <row r="142" spans="1:5" x14ac:dyDescent="0.25">
      <c r="A142" s="100" t="s">
        <v>2545</v>
      </c>
      <c r="B142" s="99" t="s">
        <v>2545</v>
      </c>
      <c r="C142" s="93" t="s">
        <v>2547</v>
      </c>
      <c r="D142" s="96" t="s">
        <v>2687</v>
      </c>
      <c r="E142" s="97">
        <v>27.1</v>
      </c>
    </row>
    <row r="143" spans="1:5" x14ac:dyDescent="0.25">
      <c r="A143" s="100"/>
      <c r="B143" s="99"/>
      <c r="C143" s="93" t="s">
        <v>2548</v>
      </c>
      <c r="E143" s="97">
        <v>27.2</v>
      </c>
    </row>
    <row r="144" spans="1:5" x14ac:dyDescent="0.25">
      <c r="A144" s="100"/>
      <c r="B144" s="99"/>
      <c r="C144" s="93" t="s">
        <v>2549</v>
      </c>
      <c r="E144" s="97">
        <v>27.3</v>
      </c>
    </row>
    <row r="145" spans="1:5" ht="28.5" x14ac:dyDescent="0.25">
      <c r="A145" s="100"/>
      <c r="B145" s="99"/>
      <c r="C145" s="93" t="s">
        <v>2550</v>
      </c>
      <c r="E145" s="97">
        <v>27.4</v>
      </c>
    </row>
    <row r="146" spans="1:5" x14ac:dyDescent="0.25">
      <c r="A146" s="100"/>
      <c r="B146" s="99"/>
      <c r="C146" s="93" t="s">
        <v>2551</v>
      </c>
      <c r="E146" s="97">
        <v>27.5</v>
      </c>
    </row>
    <row r="147" spans="1:5" ht="28.5" x14ac:dyDescent="0.25">
      <c r="A147" s="100"/>
      <c r="B147" s="99"/>
      <c r="C147" s="93" t="s">
        <v>2552</v>
      </c>
      <c r="E147" s="97">
        <v>27.6</v>
      </c>
    </row>
    <row r="148" spans="1:5" ht="28.5" x14ac:dyDescent="0.25">
      <c r="A148" s="100"/>
      <c r="B148" s="99"/>
      <c r="C148" s="93" t="s">
        <v>2553</v>
      </c>
      <c r="E148" s="97">
        <v>27.7</v>
      </c>
    </row>
    <row r="149" spans="1:5" x14ac:dyDescent="0.25">
      <c r="A149" s="100"/>
      <c r="B149" s="99"/>
      <c r="C149" s="93" t="s">
        <v>1277</v>
      </c>
      <c r="E149" s="97">
        <v>27.8</v>
      </c>
    </row>
    <row r="150" spans="1:5" ht="28.5" x14ac:dyDescent="0.25">
      <c r="A150" s="100" t="s">
        <v>2554</v>
      </c>
      <c r="B150" s="99" t="s">
        <v>2554</v>
      </c>
      <c r="C150" s="93" t="s">
        <v>128</v>
      </c>
      <c r="D150" s="96" t="s">
        <v>2688</v>
      </c>
      <c r="E150" s="97">
        <v>28.1</v>
      </c>
    </row>
    <row r="151" spans="1:5" ht="42.75" x14ac:dyDescent="0.25">
      <c r="A151" s="100"/>
      <c r="B151" s="99"/>
      <c r="C151" s="93" t="s">
        <v>129</v>
      </c>
      <c r="E151" s="97">
        <v>28.2</v>
      </c>
    </row>
    <row r="152" spans="1:5" ht="28.5" x14ac:dyDescent="0.25">
      <c r="A152" s="100" t="s">
        <v>1418</v>
      </c>
      <c r="B152" s="102"/>
      <c r="C152" s="93" t="s">
        <v>130</v>
      </c>
      <c r="E152" s="97">
        <v>28.3</v>
      </c>
    </row>
    <row r="153" spans="1:5" ht="28.5" x14ac:dyDescent="0.25">
      <c r="A153" s="100"/>
      <c r="B153" s="99"/>
      <c r="C153" s="93" t="s">
        <v>2392</v>
      </c>
      <c r="E153" s="97">
        <v>28.4</v>
      </c>
    </row>
    <row r="154" spans="1:5" x14ac:dyDescent="0.25">
      <c r="A154" s="100"/>
      <c r="B154" s="99"/>
      <c r="C154" s="93" t="s">
        <v>1278</v>
      </c>
      <c r="E154" s="97">
        <v>28.5</v>
      </c>
    </row>
    <row r="155" spans="1:5" ht="28.5" x14ac:dyDescent="0.25">
      <c r="A155" s="100" t="s">
        <v>2557</v>
      </c>
      <c r="B155" s="99" t="s">
        <v>2558</v>
      </c>
      <c r="C155" s="93" t="s">
        <v>2564</v>
      </c>
      <c r="D155" s="96" t="s">
        <v>2689</v>
      </c>
      <c r="E155" s="97">
        <v>29.1</v>
      </c>
    </row>
    <row r="156" spans="1:5" x14ac:dyDescent="0.25">
      <c r="A156" s="100"/>
      <c r="B156" s="99"/>
      <c r="C156" s="93" t="s">
        <v>1279</v>
      </c>
      <c r="E156" s="97">
        <v>29.2</v>
      </c>
    </row>
    <row r="157" spans="1:5" ht="28.5" x14ac:dyDescent="0.25">
      <c r="A157" s="100" t="s">
        <v>2559</v>
      </c>
      <c r="B157" s="99" t="s">
        <v>2560</v>
      </c>
      <c r="C157" s="93" t="s">
        <v>2566</v>
      </c>
      <c r="D157" s="96" t="s">
        <v>2690</v>
      </c>
      <c r="E157" s="97">
        <v>30</v>
      </c>
    </row>
    <row r="158" spans="1:5" ht="28.5" x14ac:dyDescent="0.25">
      <c r="A158" s="100" t="s">
        <v>2561</v>
      </c>
      <c r="B158" s="99" t="s">
        <v>2562</v>
      </c>
      <c r="C158" s="93" t="s">
        <v>2567</v>
      </c>
      <c r="D158" s="96" t="s">
        <v>2691</v>
      </c>
      <c r="E158" s="97">
        <v>31</v>
      </c>
    </row>
    <row r="159" spans="1:5" ht="28.5" x14ac:dyDescent="0.25">
      <c r="A159" s="100" t="s">
        <v>2568</v>
      </c>
      <c r="B159" s="102"/>
      <c r="C159" s="93" t="s">
        <v>2393</v>
      </c>
      <c r="D159" s="96" t="s">
        <v>2692</v>
      </c>
      <c r="E159" s="97">
        <v>32</v>
      </c>
    </row>
    <row r="160" spans="1:5" ht="28.5" x14ac:dyDescent="0.25">
      <c r="A160" s="100" t="s">
        <v>2569</v>
      </c>
      <c r="B160" s="99" t="s">
        <v>2569</v>
      </c>
      <c r="C160" s="93" t="s">
        <v>2570</v>
      </c>
      <c r="D160" s="103" t="s">
        <v>2693</v>
      </c>
      <c r="E160" s="97">
        <v>33.1</v>
      </c>
    </row>
    <row r="161" spans="1:5" x14ac:dyDescent="0.25">
      <c r="A161" s="100"/>
      <c r="B161" s="99"/>
      <c r="C161" s="93" t="s">
        <v>2571</v>
      </c>
      <c r="E161" s="97">
        <v>33.200000000000003</v>
      </c>
    </row>
    <row r="162" spans="1:5" x14ac:dyDescent="0.25">
      <c r="A162" s="100"/>
      <c r="B162" s="99"/>
      <c r="C162" s="93" t="s">
        <v>2572</v>
      </c>
      <c r="E162" s="97">
        <v>33.299999999999997</v>
      </c>
    </row>
    <row r="163" spans="1:5" ht="28.5" x14ac:dyDescent="0.25">
      <c r="A163" s="100"/>
      <c r="B163" s="99"/>
      <c r="C163" s="93" t="s">
        <v>2573</v>
      </c>
      <c r="E163" s="97">
        <v>33.4</v>
      </c>
    </row>
    <row r="164" spans="1:5" ht="28.5" x14ac:dyDescent="0.25">
      <c r="A164" s="100"/>
      <c r="B164" s="99"/>
      <c r="C164" s="93" t="s">
        <v>2574</v>
      </c>
      <c r="E164" s="97">
        <v>33.5</v>
      </c>
    </row>
    <row r="165" spans="1:5" ht="28.5" x14ac:dyDescent="0.25">
      <c r="A165" s="100"/>
      <c r="B165" s="99"/>
      <c r="C165" s="93" t="s">
        <v>2575</v>
      </c>
      <c r="E165" s="97">
        <v>33.6</v>
      </c>
    </row>
    <row r="166" spans="1:5" ht="28.5" x14ac:dyDescent="0.25">
      <c r="A166" s="100"/>
      <c r="B166" s="99"/>
      <c r="C166" s="93" t="s">
        <v>2576</v>
      </c>
      <c r="E166" s="97">
        <v>33.700000000000003</v>
      </c>
    </row>
    <row r="167" spans="1:5" x14ac:dyDescent="0.25">
      <c r="A167" s="100"/>
      <c r="B167" s="99"/>
      <c r="C167" s="93" t="s">
        <v>1280</v>
      </c>
      <c r="E167" s="97">
        <v>33.799999999999997</v>
      </c>
    </row>
    <row r="168" spans="1:5" ht="28.5" x14ac:dyDescent="0.25">
      <c r="A168" s="100" t="s">
        <v>2578</v>
      </c>
      <c r="B168" s="99" t="s">
        <v>2578</v>
      </c>
      <c r="C168" s="93" t="s">
        <v>2579</v>
      </c>
      <c r="D168" s="96" t="s">
        <v>2694</v>
      </c>
      <c r="E168" s="97">
        <v>34.1</v>
      </c>
    </row>
    <row r="169" spans="1:5" x14ac:dyDescent="0.25">
      <c r="A169" s="100"/>
      <c r="B169" s="99"/>
      <c r="C169" s="93" t="s">
        <v>2580</v>
      </c>
      <c r="E169" s="97">
        <v>34.200000000000003</v>
      </c>
    </row>
    <row r="170" spans="1:5" x14ac:dyDescent="0.25">
      <c r="A170" s="100"/>
      <c r="B170" s="99"/>
      <c r="C170" s="93" t="s">
        <v>2581</v>
      </c>
      <c r="E170" s="97">
        <v>34.299999999999997</v>
      </c>
    </row>
    <row r="171" spans="1:5" ht="28.5" x14ac:dyDescent="0.25">
      <c r="A171" s="100"/>
      <c r="B171" s="99"/>
      <c r="C171" s="93" t="s">
        <v>2582</v>
      </c>
      <c r="E171" s="97">
        <v>34.4</v>
      </c>
    </row>
    <row r="172" spans="1:5" ht="28.5" x14ac:dyDescent="0.25">
      <c r="A172" s="100"/>
      <c r="B172" s="99"/>
      <c r="C172" s="93" t="s">
        <v>2583</v>
      </c>
      <c r="E172" s="97">
        <v>34.5</v>
      </c>
    </row>
    <row r="173" spans="1:5" ht="28.5" x14ac:dyDescent="0.25">
      <c r="A173" s="100"/>
      <c r="B173" s="99"/>
      <c r="C173" s="93" t="s">
        <v>2584</v>
      </c>
      <c r="E173" s="97">
        <v>34.6</v>
      </c>
    </row>
    <row r="174" spans="1:5" ht="28.5" x14ac:dyDescent="0.25">
      <c r="A174" s="100"/>
      <c r="B174" s="99"/>
      <c r="C174" s="93" t="s">
        <v>2585</v>
      </c>
      <c r="E174" s="97">
        <v>34.700000000000003</v>
      </c>
    </row>
    <row r="175" spans="1:5" x14ac:dyDescent="0.25">
      <c r="A175" s="100"/>
      <c r="B175" s="99"/>
      <c r="C175" s="93" t="s">
        <v>1281</v>
      </c>
      <c r="E175" s="97">
        <v>34.799999999999997</v>
      </c>
    </row>
    <row r="176" spans="1:5" ht="28.5" x14ac:dyDescent="0.25">
      <c r="A176" s="100" t="s">
        <v>17</v>
      </c>
      <c r="B176" s="99" t="s">
        <v>17</v>
      </c>
      <c r="C176" s="93" t="s">
        <v>1282</v>
      </c>
      <c r="D176" s="96" t="s">
        <v>2695</v>
      </c>
      <c r="E176" s="97">
        <v>35.1</v>
      </c>
    </row>
    <row r="177" spans="1:5" ht="42.75" x14ac:dyDescent="0.25">
      <c r="A177" s="100"/>
      <c r="B177" s="99"/>
      <c r="C177" s="93" t="s">
        <v>1283</v>
      </c>
      <c r="E177" s="97">
        <v>35.200000000000003</v>
      </c>
    </row>
    <row r="178" spans="1:5" x14ac:dyDescent="0.25">
      <c r="A178" s="100" t="s">
        <v>23</v>
      </c>
      <c r="B178" s="99" t="s">
        <v>23</v>
      </c>
      <c r="C178" s="93" t="s">
        <v>1284</v>
      </c>
      <c r="D178" s="96" t="s">
        <v>2696</v>
      </c>
      <c r="E178" s="97">
        <v>36</v>
      </c>
    </row>
    <row r="179" spans="1:5" x14ac:dyDescent="0.25">
      <c r="A179" s="100"/>
      <c r="B179" s="99"/>
      <c r="C179" s="93" t="s">
        <v>131</v>
      </c>
      <c r="E179" s="97">
        <v>36.1</v>
      </c>
    </row>
    <row r="180" spans="1:5" x14ac:dyDescent="0.25">
      <c r="A180" s="100"/>
      <c r="B180" s="99"/>
      <c r="C180" s="93" t="s">
        <v>132</v>
      </c>
      <c r="E180" s="97">
        <v>36.200000000000003</v>
      </c>
    </row>
    <row r="181" spans="1:5" x14ac:dyDescent="0.25">
      <c r="A181" s="100"/>
      <c r="B181" s="99"/>
      <c r="C181" s="93" t="s">
        <v>133</v>
      </c>
      <c r="E181" s="97">
        <v>36.299999999999997</v>
      </c>
    </row>
    <row r="182" spans="1:5" ht="28.5" x14ac:dyDescent="0.25">
      <c r="A182" s="100"/>
      <c r="B182" s="99"/>
      <c r="C182" s="93" t="s">
        <v>1285</v>
      </c>
      <c r="E182" s="97">
        <v>36.4</v>
      </c>
    </row>
    <row r="183" spans="1:5" x14ac:dyDescent="0.25">
      <c r="A183" s="100"/>
      <c r="B183" s="99"/>
      <c r="C183" s="93" t="s">
        <v>134</v>
      </c>
      <c r="E183" s="97">
        <v>36.5</v>
      </c>
    </row>
    <row r="184" spans="1:5" ht="28.5" x14ac:dyDescent="0.25">
      <c r="A184" s="100"/>
      <c r="B184" s="99"/>
      <c r="C184" s="93" t="s">
        <v>135</v>
      </c>
      <c r="E184" s="97">
        <v>36.6</v>
      </c>
    </row>
    <row r="185" spans="1:5" ht="28.5" x14ac:dyDescent="0.25">
      <c r="A185" s="100"/>
      <c r="B185" s="99"/>
      <c r="C185" s="93" t="s">
        <v>136</v>
      </c>
      <c r="E185" s="97">
        <v>36.700000000000003</v>
      </c>
    </row>
    <row r="186" spans="1:5" x14ac:dyDescent="0.25">
      <c r="A186" s="100"/>
      <c r="B186" s="99"/>
      <c r="C186" s="93" t="s">
        <v>137</v>
      </c>
      <c r="E186" s="97">
        <v>36.799999999999997</v>
      </c>
    </row>
    <row r="187" spans="1:5" ht="28.5" x14ac:dyDescent="0.25">
      <c r="A187" s="100" t="s">
        <v>21</v>
      </c>
      <c r="B187" s="99" t="s">
        <v>21</v>
      </c>
      <c r="C187" s="93" t="s">
        <v>1286</v>
      </c>
      <c r="D187" s="96" t="s">
        <v>2697</v>
      </c>
      <c r="E187" s="97">
        <v>37.1</v>
      </c>
    </row>
    <row r="188" spans="1:5" ht="42.75" x14ac:dyDescent="0.25">
      <c r="A188" s="100"/>
      <c r="B188" s="99"/>
      <c r="C188" s="93" t="s">
        <v>1287</v>
      </c>
      <c r="E188" s="97">
        <v>37.200000000000003</v>
      </c>
    </row>
    <row r="189" spans="1:5" x14ac:dyDescent="0.25">
      <c r="A189" s="94" t="s">
        <v>24</v>
      </c>
      <c r="B189" s="111" t="s">
        <v>24</v>
      </c>
      <c r="C189" s="112" t="s">
        <v>1288</v>
      </c>
      <c r="E189" s="97">
        <v>38</v>
      </c>
    </row>
    <row r="190" spans="1:5" x14ac:dyDescent="0.25">
      <c r="A190" s="94"/>
      <c r="B190" s="111"/>
      <c r="C190" s="112" t="s">
        <v>138</v>
      </c>
      <c r="D190" s="96" t="s">
        <v>2698</v>
      </c>
      <c r="E190" s="97">
        <v>38.1</v>
      </c>
    </row>
    <row r="191" spans="1:5" x14ac:dyDescent="0.25">
      <c r="A191" s="100"/>
      <c r="B191" s="99"/>
      <c r="C191" s="93" t="s">
        <v>139</v>
      </c>
      <c r="E191" s="97">
        <v>38.200000000000003</v>
      </c>
    </row>
    <row r="192" spans="1:5" x14ac:dyDescent="0.25">
      <c r="A192" s="100"/>
      <c r="B192" s="99"/>
      <c r="C192" s="93" t="s">
        <v>140</v>
      </c>
      <c r="E192" s="97">
        <v>38.299999999999997</v>
      </c>
    </row>
    <row r="193" spans="1:5" x14ac:dyDescent="0.25">
      <c r="A193" s="100"/>
      <c r="B193" s="99"/>
      <c r="C193" s="93" t="s">
        <v>141</v>
      </c>
      <c r="E193" s="97">
        <v>38.4</v>
      </c>
    </row>
    <row r="194" spans="1:5" x14ac:dyDescent="0.25">
      <c r="A194" s="100"/>
      <c r="B194" s="99"/>
      <c r="C194" s="93" t="s">
        <v>142</v>
      </c>
      <c r="E194" s="97">
        <v>38.5</v>
      </c>
    </row>
    <row r="195" spans="1:5" x14ac:dyDescent="0.25">
      <c r="A195" s="100"/>
      <c r="B195" s="99"/>
      <c r="C195" s="93" t="s">
        <v>143</v>
      </c>
      <c r="E195" s="97">
        <v>38.6</v>
      </c>
    </row>
    <row r="196" spans="1:5" x14ac:dyDescent="0.25">
      <c r="A196" s="100"/>
      <c r="B196" s="99"/>
      <c r="C196" s="93" t="s">
        <v>144</v>
      </c>
      <c r="E196" s="97">
        <v>39.1</v>
      </c>
    </row>
    <row r="197" spans="1:5" x14ac:dyDescent="0.25">
      <c r="A197" s="100"/>
      <c r="B197" s="99"/>
      <c r="C197" s="93" t="s">
        <v>145</v>
      </c>
      <c r="E197" s="97">
        <v>39.200000000000003</v>
      </c>
    </row>
    <row r="198" spans="1:5" x14ac:dyDescent="0.25">
      <c r="A198" s="100"/>
      <c r="B198" s="99"/>
      <c r="C198" s="93" t="s">
        <v>146</v>
      </c>
      <c r="E198" s="97">
        <v>39.299999999999997</v>
      </c>
    </row>
    <row r="199" spans="1:5" x14ac:dyDescent="0.25">
      <c r="A199" s="100"/>
      <c r="B199" s="99"/>
      <c r="C199" s="93" t="s">
        <v>147</v>
      </c>
      <c r="E199" s="97">
        <v>39.4</v>
      </c>
    </row>
    <row r="200" spans="1:5" x14ac:dyDescent="0.25">
      <c r="A200" s="100"/>
      <c r="B200" s="99"/>
      <c r="C200" s="93" t="s">
        <v>148</v>
      </c>
      <c r="E200" s="97">
        <v>39.5</v>
      </c>
    </row>
    <row r="201" spans="1:5" x14ac:dyDescent="0.25">
      <c r="A201" s="100"/>
      <c r="B201" s="99"/>
      <c r="C201" s="93" t="s">
        <v>149</v>
      </c>
      <c r="E201" s="97">
        <v>39.6</v>
      </c>
    </row>
    <row r="202" spans="1:5" x14ac:dyDescent="0.25">
      <c r="A202" s="100" t="s">
        <v>25</v>
      </c>
      <c r="B202" s="99" t="s">
        <v>25</v>
      </c>
      <c r="C202" s="93" t="s">
        <v>1289</v>
      </c>
      <c r="D202" s="96" t="s">
        <v>2699</v>
      </c>
      <c r="E202" s="97">
        <v>40.1</v>
      </c>
    </row>
    <row r="203" spans="1:5" x14ac:dyDescent="0.25">
      <c r="A203" s="100"/>
      <c r="B203" s="99"/>
      <c r="C203" s="93" t="s">
        <v>1290</v>
      </c>
      <c r="E203" s="97">
        <v>40.200000000000003</v>
      </c>
    </row>
    <row r="204" spans="1:5" ht="30" x14ac:dyDescent="0.25">
      <c r="A204" s="94" t="s">
        <v>26</v>
      </c>
      <c r="B204" s="111" t="s">
        <v>26</v>
      </c>
      <c r="C204" s="112" t="s">
        <v>1291</v>
      </c>
      <c r="D204" s="96" t="s">
        <v>2700</v>
      </c>
      <c r="E204" s="97">
        <v>41</v>
      </c>
    </row>
    <row r="205" spans="1:5" ht="30" x14ac:dyDescent="0.25">
      <c r="A205" s="94" t="s">
        <v>27</v>
      </c>
      <c r="B205" s="111" t="s">
        <v>27</v>
      </c>
      <c r="C205" s="112" t="s">
        <v>150</v>
      </c>
      <c r="D205" s="96" t="s">
        <v>27</v>
      </c>
      <c r="E205" s="97">
        <v>42</v>
      </c>
    </row>
    <row r="206" spans="1:5" x14ac:dyDescent="0.25">
      <c r="A206" s="100"/>
      <c r="B206" s="99"/>
      <c r="C206" s="93" t="s">
        <v>151</v>
      </c>
      <c r="E206" s="97">
        <v>42.1</v>
      </c>
    </row>
    <row r="207" spans="1:5" x14ac:dyDescent="0.25">
      <c r="A207" s="100"/>
      <c r="B207" s="99"/>
      <c r="C207" s="93" t="s">
        <v>152</v>
      </c>
      <c r="E207" s="97">
        <v>42.2</v>
      </c>
    </row>
    <row r="208" spans="1:5" x14ac:dyDescent="0.25">
      <c r="A208" s="100"/>
      <c r="B208" s="99"/>
      <c r="C208" s="93" t="s">
        <v>153</v>
      </c>
      <c r="E208" s="97">
        <v>42.3</v>
      </c>
    </row>
    <row r="209" spans="1:5" x14ac:dyDescent="0.25">
      <c r="A209" s="100"/>
      <c r="B209" s="99"/>
      <c r="C209" s="93" t="s">
        <v>154</v>
      </c>
      <c r="E209" s="97">
        <v>42.4</v>
      </c>
    </row>
    <row r="210" spans="1:5" x14ac:dyDescent="0.25">
      <c r="A210" s="100"/>
      <c r="B210" s="99"/>
      <c r="C210" s="93" t="s">
        <v>155</v>
      </c>
      <c r="E210" s="97">
        <v>42.5</v>
      </c>
    </row>
    <row r="211" spans="1:5" x14ac:dyDescent="0.25">
      <c r="A211" s="100"/>
      <c r="B211" s="99"/>
      <c r="C211" s="93" t="s">
        <v>156</v>
      </c>
      <c r="E211" s="97">
        <v>42.6</v>
      </c>
    </row>
    <row r="212" spans="1:5" x14ac:dyDescent="0.25">
      <c r="A212" s="100"/>
      <c r="B212" s="99"/>
      <c r="C212" s="93" t="s">
        <v>157</v>
      </c>
      <c r="E212" s="97">
        <v>42.7</v>
      </c>
    </row>
    <row r="213" spans="1:5" x14ac:dyDescent="0.25">
      <c r="A213" s="100"/>
      <c r="B213" s="99"/>
      <c r="C213" s="93" t="s">
        <v>158</v>
      </c>
      <c r="E213" s="97">
        <v>42.8</v>
      </c>
    </row>
    <row r="214" spans="1:5" x14ac:dyDescent="0.25">
      <c r="A214" s="100"/>
      <c r="B214" s="99"/>
      <c r="C214" s="93" t="s">
        <v>159</v>
      </c>
      <c r="E214" s="97">
        <v>42.9</v>
      </c>
    </row>
    <row r="215" spans="1:5" x14ac:dyDescent="0.25">
      <c r="A215" s="100"/>
      <c r="B215" s="99"/>
      <c r="C215" s="93" t="s">
        <v>160</v>
      </c>
      <c r="E215" s="97">
        <v>43</v>
      </c>
    </row>
    <row r="216" spans="1:5" x14ac:dyDescent="0.25">
      <c r="A216" s="100"/>
      <c r="B216" s="99"/>
      <c r="C216" s="93" t="s">
        <v>161</v>
      </c>
      <c r="E216" s="97">
        <v>43.1</v>
      </c>
    </row>
    <row r="217" spans="1:5" x14ac:dyDescent="0.25">
      <c r="A217" s="100"/>
      <c r="B217" s="99"/>
      <c r="C217" s="93" t="s">
        <v>162</v>
      </c>
      <c r="E217" s="97">
        <v>43.2</v>
      </c>
    </row>
    <row r="218" spans="1:5" x14ac:dyDescent="0.25">
      <c r="A218" s="100"/>
      <c r="B218" s="99"/>
      <c r="C218" s="93" t="s">
        <v>1292</v>
      </c>
      <c r="E218" s="97">
        <v>43.3</v>
      </c>
    </row>
    <row r="219" spans="1:5" ht="42.75" x14ac:dyDescent="0.25">
      <c r="A219" s="100" t="s">
        <v>28</v>
      </c>
      <c r="B219" s="99" t="s">
        <v>28</v>
      </c>
      <c r="C219" s="93" t="s">
        <v>1293</v>
      </c>
      <c r="D219" s="96" t="s">
        <v>28</v>
      </c>
      <c r="E219" s="97">
        <v>44</v>
      </c>
    </row>
    <row r="220" spans="1:5" x14ac:dyDescent="0.25">
      <c r="A220" s="100" t="s">
        <v>25</v>
      </c>
      <c r="B220" s="99" t="s">
        <v>25</v>
      </c>
      <c r="C220" s="93" t="s">
        <v>1294</v>
      </c>
      <c r="D220" s="96" t="s">
        <v>25</v>
      </c>
      <c r="E220" s="97">
        <v>45</v>
      </c>
    </row>
    <row r="221" spans="1:5" ht="85.5" x14ac:dyDescent="0.25">
      <c r="A221" s="100" t="s">
        <v>29</v>
      </c>
      <c r="B221" s="99" t="s">
        <v>29</v>
      </c>
      <c r="C221" s="93" t="s">
        <v>1295</v>
      </c>
    </row>
    <row r="222" spans="1:5" x14ac:dyDescent="0.25">
      <c r="A222" s="100" t="s">
        <v>30</v>
      </c>
      <c r="B222" s="99" t="s">
        <v>30</v>
      </c>
      <c r="C222" s="93" t="s">
        <v>1296</v>
      </c>
    </row>
    <row r="223" spans="1:5" x14ac:dyDescent="0.25">
      <c r="A223" s="100" t="s">
        <v>31</v>
      </c>
      <c r="B223" s="99" t="s">
        <v>31</v>
      </c>
      <c r="C223" s="93" t="s">
        <v>1297</v>
      </c>
    </row>
    <row r="224" spans="1:5" x14ac:dyDescent="0.25">
      <c r="A224" s="100" t="s">
        <v>32</v>
      </c>
      <c r="B224" s="99" t="s">
        <v>32</v>
      </c>
      <c r="C224" s="93" t="s">
        <v>1298</v>
      </c>
    </row>
    <row r="225" spans="1:2" x14ac:dyDescent="0.25">
      <c r="A225" s="104"/>
      <c r="B225" s="104"/>
    </row>
    <row r="226" spans="1:2" x14ac:dyDescent="0.25">
      <c r="A226" s="104"/>
      <c r="B226" s="104"/>
    </row>
    <row r="227" spans="1:2" x14ac:dyDescent="0.25">
      <c r="A227" s="104"/>
      <c r="B227" s="104"/>
    </row>
    <row r="228" spans="1:2" x14ac:dyDescent="0.25">
      <c r="A228" s="104"/>
      <c r="B228" s="104"/>
    </row>
    <row r="229" spans="1:2" x14ac:dyDescent="0.25">
      <c r="A229" s="104"/>
      <c r="B229" s="104"/>
    </row>
    <row r="230" spans="1:2" x14ac:dyDescent="0.25">
      <c r="A230" s="104"/>
      <c r="B230" s="104"/>
    </row>
    <row r="231" spans="1:2" x14ac:dyDescent="0.25">
      <c r="A231" s="104"/>
      <c r="B231" s="104"/>
    </row>
    <row r="232" spans="1:2" x14ac:dyDescent="0.25">
      <c r="A232" s="104"/>
      <c r="B232" s="104"/>
    </row>
    <row r="233" spans="1:2" x14ac:dyDescent="0.25">
      <c r="A233" s="104"/>
      <c r="B233" s="104"/>
    </row>
    <row r="234" spans="1:2" x14ac:dyDescent="0.25">
      <c r="A234" s="104"/>
      <c r="B234" s="104"/>
    </row>
    <row r="235" spans="1:2" x14ac:dyDescent="0.25">
      <c r="A235" s="104"/>
      <c r="B235" s="104"/>
    </row>
    <row r="236" spans="1:2" x14ac:dyDescent="0.25">
      <c r="A236" s="104"/>
      <c r="B236" s="104"/>
    </row>
    <row r="237" spans="1:2" x14ac:dyDescent="0.25">
      <c r="A237" s="104"/>
      <c r="B237" s="104"/>
    </row>
    <row r="238" spans="1:2" x14ac:dyDescent="0.25">
      <c r="A238" s="104"/>
      <c r="B238" s="104"/>
    </row>
    <row r="239" spans="1:2" x14ac:dyDescent="0.25">
      <c r="A239" s="104"/>
      <c r="B239" s="104"/>
    </row>
    <row r="240" spans="1:2" x14ac:dyDescent="0.25">
      <c r="A240" s="104"/>
      <c r="B240" s="104"/>
    </row>
    <row r="241" spans="1:2" x14ac:dyDescent="0.25">
      <c r="A241" s="104"/>
      <c r="B241" s="104"/>
    </row>
    <row r="242" spans="1:2" x14ac:dyDescent="0.25">
      <c r="A242" s="104"/>
      <c r="B242" s="104"/>
    </row>
    <row r="243" spans="1:2" x14ac:dyDescent="0.25">
      <c r="A243" s="104"/>
      <c r="B243" s="104"/>
    </row>
    <row r="244" spans="1:2" x14ac:dyDescent="0.25">
      <c r="A244" s="104"/>
      <c r="B244" s="104"/>
    </row>
    <row r="245" spans="1:2" x14ac:dyDescent="0.25">
      <c r="A245" s="104"/>
      <c r="B245" s="104"/>
    </row>
    <row r="246" spans="1:2" x14ac:dyDescent="0.25">
      <c r="A246" s="104"/>
      <c r="B246" s="104"/>
    </row>
    <row r="247" spans="1:2" x14ac:dyDescent="0.25">
      <c r="A247" s="104"/>
      <c r="B247" s="104"/>
    </row>
    <row r="248" spans="1:2" x14ac:dyDescent="0.25">
      <c r="A248" s="104"/>
      <c r="B248" s="104"/>
    </row>
    <row r="249" spans="1:2" x14ac:dyDescent="0.25">
      <c r="A249" s="104"/>
      <c r="B249" s="104"/>
    </row>
    <row r="250" spans="1:2" x14ac:dyDescent="0.25">
      <c r="A250" s="104"/>
      <c r="B250" s="104"/>
    </row>
    <row r="251" spans="1:2" x14ac:dyDescent="0.25">
      <c r="A251" s="104"/>
      <c r="B251" s="104"/>
    </row>
    <row r="252" spans="1:2" x14ac:dyDescent="0.25">
      <c r="A252" s="104"/>
      <c r="B252" s="104"/>
    </row>
    <row r="253" spans="1:2" x14ac:dyDescent="0.25">
      <c r="A253" s="104"/>
      <c r="B253" s="104"/>
    </row>
    <row r="254" spans="1:2" x14ac:dyDescent="0.25">
      <c r="A254" s="104"/>
      <c r="B254" s="104"/>
    </row>
    <row r="255" spans="1:2" x14ac:dyDescent="0.25">
      <c r="A255" s="104"/>
      <c r="B255" s="104"/>
    </row>
    <row r="256" spans="1:2" x14ac:dyDescent="0.25">
      <c r="A256" s="104"/>
      <c r="B256" s="104"/>
    </row>
    <row r="257" spans="1:2" x14ac:dyDescent="0.25">
      <c r="A257" s="104"/>
      <c r="B257" s="104"/>
    </row>
    <row r="258" spans="1:2" x14ac:dyDescent="0.25">
      <c r="A258" s="104"/>
      <c r="B258" s="104"/>
    </row>
    <row r="259" spans="1:2" x14ac:dyDescent="0.25">
      <c r="A259" s="104"/>
      <c r="B259" s="104"/>
    </row>
    <row r="260" spans="1:2" x14ac:dyDescent="0.25">
      <c r="A260" s="104"/>
      <c r="B260" s="104"/>
    </row>
    <row r="261" spans="1:2" x14ac:dyDescent="0.25">
      <c r="A261" s="104"/>
      <c r="B261" s="104"/>
    </row>
    <row r="262" spans="1:2" x14ac:dyDescent="0.25">
      <c r="A262" s="104"/>
      <c r="B262" s="104"/>
    </row>
    <row r="263" spans="1:2" x14ac:dyDescent="0.25">
      <c r="A263" s="104"/>
      <c r="B263" s="104"/>
    </row>
    <row r="264" spans="1:2" x14ac:dyDescent="0.25">
      <c r="A264" s="104"/>
      <c r="B264" s="104"/>
    </row>
    <row r="265" spans="1:2" x14ac:dyDescent="0.25">
      <c r="A265" s="104"/>
      <c r="B265" s="104"/>
    </row>
    <row r="266" spans="1:2" x14ac:dyDescent="0.25">
      <c r="A266" s="104"/>
      <c r="B266" s="104"/>
    </row>
    <row r="267" spans="1:2" x14ac:dyDescent="0.25">
      <c r="A267" s="104"/>
      <c r="B267" s="104"/>
    </row>
    <row r="268" spans="1:2" x14ac:dyDescent="0.25">
      <c r="A268" s="104"/>
      <c r="B268" s="104"/>
    </row>
    <row r="269" spans="1:2" x14ac:dyDescent="0.25">
      <c r="A269" s="104"/>
      <c r="B269" s="104"/>
    </row>
    <row r="270" spans="1:2" x14ac:dyDescent="0.25">
      <c r="A270" s="104"/>
      <c r="B270" s="104"/>
    </row>
    <row r="271" spans="1:2" x14ac:dyDescent="0.25">
      <c r="A271" s="104"/>
      <c r="B271" s="104"/>
    </row>
    <row r="272" spans="1:2" x14ac:dyDescent="0.25">
      <c r="A272" s="104"/>
      <c r="B272" s="104"/>
    </row>
    <row r="273" spans="1:2" x14ac:dyDescent="0.25">
      <c r="A273" s="104"/>
      <c r="B273" s="104"/>
    </row>
    <row r="274" spans="1:2" x14ac:dyDescent="0.25">
      <c r="A274" s="104"/>
      <c r="B274" s="104"/>
    </row>
    <row r="275" spans="1:2" x14ac:dyDescent="0.25">
      <c r="A275" s="104"/>
      <c r="B275" s="104"/>
    </row>
    <row r="276" spans="1:2" x14ac:dyDescent="0.25">
      <c r="A276" s="104"/>
      <c r="B276" s="104"/>
    </row>
    <row r="277" spans="1:2" x14ac:dyDescent="0.25">
      <c r="A277" s="104"/>
      <c r="B277" s="104"/>
    </row>
    <row r="278" spans="1:2" x14ac:dyDescent="0.25">
      <c r="A278" s="104"/>
      <c r="B278" s="104"/>
    </row>
    <row r="279" spans="1:2" x14ac:dyDescent="0.25">
      <c r="A279" s="104"/>
      <c r="B279" s="104"/>
    </row>
    <row r="280" spans="1:2" x14ac:dyDescent="0.25">
      <c r="A280" s="104"/>
      <c r="B280" s="104"/>
    </row>
    <row r="281" spans="1:2" x14ac:dyDescent="0.25">
      <c r="A281" s="104"/>
      <c r="B281" s="104"/>
    </row>
    <row r="282" spans="1:2" x14ac:dyDescent="0.25">
      <c r="A282" s="104"/>
      <c r="B282" s="104"/>
    </row>
    <row r="283" spans="1:2" x14ac:dyDescent="0.25">
      <c r="A283" s="104"/>
      <c r="B283" s="104"/>
    </row>
    <row r="284" spans="1:2" x14ac:dyDescent="0.25">
      <c r="A284" s="104"/>
      <c r="B284" s="104"/>
    </row>
    <row r="285" spans="1:2" x14ac:dyDescent="0.25">
      <c r="A285" s="104"/>
      <c r="B285" s="104"/>
    </row>
    <row r="286" spans="1:2" x14ac:dyDescent="0.25">
      <c r="A286" s="104"/>
      <c r="B286" s="104"/>
    </row>
    <row r="287" spans="1:2" x14ac:dyDescent="0.25">
      <c r="A287" s="104"/>
      <c r="B287" s="104"/>
    </row>
    <row r="288" spans="1:2" x14ac:dyDescent="0.25">
      <c r="A288" s="104"/>
      <c r="B288" s="104"/>
    </row>
    <row r="289" spans="1:2" x14ac:dyDescent="0.25">
      <c r="A289" s="104"/>
      <c r="B289" s="104"/>
    </row>
    <row r="290" spans="1:2" x14ac:dyDescent="0.25">
      <c r="A290" s="104"/>
      <c r="B290" s="104"/>
    </row>
    <row r="291" spans="1:2" x14ac:dyDescent="0.25">
      <c r="A291" s="104"/>
      <c r="B291" s="104"/>
    </row>
    <row r="292" spans="1:2" x14ac:dyDescent="0.25">
      <c r="A292" s="104"/>
      <c r="B292" s="104"/>
    </row>
    <row r="293" spans="1:2" x14ac:dyDescent="0.25">
      <c r="A293" s="104"/>
      <c r="B293" s="104"/>
    </row>
    <row r="294" spans="1:2" x14ac:dyDescent="0.25">
      <c r="A294" s="104"/>
      <c r="B294" s="104"/>
    </row>
    <row r="295" spans="1:2" x14ac:dyDescent="0.25">
      <c r="A295" s="104"/>
      <c r="B295" s="104"/>
    </row>
    <row r="296" spans="1:2" x14ac:dyDescent="0.25">
      <c r="A296" s="104"/>
      <c r="B296" s="104"/>
    </row>
    <row r="297" spans="1:2" x14ac:dyDescent="0.25">
      <c r="A297" s="104"/>
      <c r="B297" s="104"/>
    </row>
    <row r="298" spans="1:2" x14ac:dyDescent="0.25">
      <c r="A298" s="104"/>
      <c r="B298" s="104"/>
    </row>
    <row r="299" spans="1:2" x14ac:dyDescent="0.25">
      <c r="A299" s="104"/>
      <c r="B299" s="104"/>
    </row>
    <row r="300" spans="1:2" x14ac:dyDescent="0.25">
      <c r="A300" s="104"/>
      <c r="B300" s="104"/>
    </row>
    <row r="301" spans="1:2" x14ac:dyDescent="0.25">
      <c r="A301" s="104"/>
      <c r="B301" s="104"/>
    </row>
    <row r="302" spans="1:2" x14ac:dyDescent="0.25">
      <c r="A302" s="104"/>
      <c r="B302" s="104"/>
    </row>
    <row r="303" spans="1:2" x14ac:dyDescent="0.25">
      <c r="A303" s="104"/>
      <c r="B303" s="104"/>
    </row>
    <row r="304" spans="1:2" x14ac:dyDescent="0.25">
      <c r="A304" s="104"/>
      <c r="B304" s="104"/>
    </row>
    <row r="305" spans="1:2" x14ac:dyDescent="0.25">
      <c r="A305" s="104"/>
      <c r="B305" s="104"/>
    </row>
    <row r="306" spans="1:2" x14ac:dyDescent="0.25">
      <c r="A306" s="104"/>
      <c r="B306" s="104"/>
    </row>
    <row r="307" spans="1:2" x14ac:dyDescent="0.25">
      <c r="A307" s="104"/>
      <c r="B307" s="104"/>
    </row>
    <row r="308" spans="1:2" x14ac:dyDescent="0.25">
      <c r="A308" s="104"/>
      <c r="B308" s="104"/>
    </row>
    <row r="309" spans="1:2" x14ac:dyDescent="0.25">
      <c r="A309" s="104"/>
      <c r="B309" s="104"/>
    </row>
    <row r="310" spans="1:2" x14ac:dyDescent="0.25">
      <c r="A310" s="104"/>
      <c r="B310" s="104"/>
    </row>
    <row r="311" spans="1:2" x14ac:dyDescent="0.25">
      <c r="A311" s="104"/>
      <c r="B311" s="104"/>
    </row>
    <row r="312" spans="1:2" x14ac:dyDescent="0.25">
      <c r="A312" s="104"/>
      <c r="B312" s="104"/>
    </row>
    <row r="313" spans="1:2" x14ac:dyDescent="0.25">
      <c r="A313" s="104"/>
      <c r="B313" s="104"/>
    </row>
    <row r="314" spans="1:2" x14ac:dyDescent="0.25">
      <c r="A314" s="104"/>
      <c r="B314" s="104"/>
    </row>
    <row r="315" spans="1:2" x14ac:dyDescent="0.25">
      <c r="A315" s="104"/>
      <c r="B315" s="104"/>
    </row>
    <row r="316" spans="1:2" x14ac:dyDescent="0.25">
      <c r="A316" s="104"/>
      <c r="B316" s="104"/>
    </row>
    <row r="317" spans="1:2" x14ac:dyDescent="0.25">
      <c r="A317" s="104"/>
      <c r="B317" s="104"/>
    </row>
    <row r="318" spans="1:2" x14ac:dyDescent="0.25">
      <c r="A318" s="104"/>
      <c r="B318" s="104"/>
    </row>
    <row r="319" spans="1:2" x14ac:dyDescent="0.25">
      <c r="A319" s="104"/>
      <c r="B319" s="104"/>
    </row>
    <row r="320" spans="1:2" x14ac:dyDescent="0.25">
      <c r="A320" s="104"/>
      <c r="B320" s="104"/>
    </row>
    <row r="321" spans="1:2" x14ac:dyDescent="0.25">
      <c r="A321" s="104"/>
      <c r="B321" s="104"/>
    </row>
    <row r="322" spans="1:2" x14ac:dyDescent="0.25">
      <c r="A322" s="104"/>
      <c r="B322" s="104"/>
    </row>
    <row r="323" spans="1:2" x14ac:dyDescent="0.25">
      <c r="A323" s="104"/>
      <c r="B323" s="104"/>
    </row>
    <row r="324" spans="1:2" x14ac:dyDescent="0.25">
      <c r="A324" s="104"/>
      <c r="B324" s="104"/>
    </row>
    <row r="325" spans="1:2" x14ac:dyDescent="0.25">
      <c r="A325" s="104"/>
      <c r="B325" s="104"/>
    </row>
    <row r="326" spans="1:2" x14ac:dyDescent="0.25">
      <c r="A326" s="104"/>
      <c r="B326" s="104"/>
    </row>
    <row r="327" spans="1:2" x14ac:dyDescent="0.25">
      <c r="A327" s="104"/>
      <c r="B327" s="104"/>
    </row>
    <row r="328" spans="1:2" x14ac:dyDescent="0.25">
      <c r="A328" s="104"/>
      <c r="B328" s="104"/>
    </row>
    <row r="329" spans="1:2" x14ac:dyDescent="0.25">
      <c r="A329" s="104"/>
      <c r="B329" s="104"/>
    </row>
    <row r="330" spans="1:2" x14ac:dyDescent="0.25">
      <c r="A330" s="104"/>
      <c r="B330" s="104"/>
    </row>
    <row r="331" spans="1:2" x14ac:dyDescent="0.25">
      <c r="A331" s="104"/>
      <c r="B331" s="104"/>
    </row>
    <row r="332" spans="1:2" x14ac:dyDescent="0.25">
      <c r="A332" s="104"/>
      <c r="B332" s="104"/>
    </row>
    <row r="333" spans="1:2" x14ac:dyDescent="0.25">
      <c r="A333" s="104"/>
      <c r="B333" s="104"/>
    </row>
    <row r="334" spans="1:2" x14ac:dyDescent="0.25">
      <c r="A334" s="104"/>
      <c r="B334" s="104"/>
    </row>
    <row r="335" spans="1:2" x14ac:dyDescent="0.25">
      <c r="A335" s="104"/>
      <c r="B335" s="104"/>
    </row>
    <row r="336" spans="1:2" x14ac:dyDescent="0.25">
      <c r="A336" s="104"/>
      <c r="B336" s="104"/>
    </row>
    <row r="337" spans="1:2" x14ac:dyDescent="0.25">
      <c r="A337" s="104"/>
      <c r="B337" s="104"/>
    </row>
    <row r="338" spans="1:2" x14ac:dyDescent="0.25">
      <c r="A338" s="104"/>
      <c r="B338" s="104"/>
    </row>
    <row r="339" spans="1:2" x14ac:dyDescent="0.25">
      <c r="A339" s="104"/>
      <c r="B339" s="104"/>
    </row>
    <row r="340" spans="1:2" x14ac:dyDescent="0.25">
      <c r="A340" s="104"/>
      <c r="B340" s="104"/>
    </row>
    <row r="341" spans="1:2" x14ac:dyDescent="0.25">
      <c r="A341" s="104"/>
      <c r="B341" s="104"/>
    </row>
    <row r="342" spans="1:2" x14ac:dyDescent="0.25">
      <c r="A342" s="104"/>
      <c r="B342" s="104"/>
    </row>
    <row r="343" spans="1:2" x14ac:dyDescent="0.25">
      <c r="A343" s="104"/>
      <c r="B343" s="104"/>
    </row>
    <row r="344" spans="1:2" x14ac:dyDescent="0.25">
      <c r="A344" s="104"/>
      <c r="B344" s="104"/>
    </row>
    <row r="345" spans="1:2" x14ac:dyDescent="0.25">
      <c r="A345" s="104"/>
      <c r="B345" s="104"/>
    </row>
    <row r="346" spans="1:2" x14ac:dyDescent="0.25">
      <c r="A346" s="104"/>
      <c r="B346" s="104"/>
    </row>
    <row r="347" spans="1:2" x14ac:dyDescent="0.25">
      <c r="A347" s="104"/>
      <c r="B347" s="104"/>
    </row>
    <row r="348" spans="1:2" x14ac:dyDescent="0.25">
      <c r="A348" s="104"/>
      <c r="B348" s="104"/>
    </row>
    <row r="349" spans="1:2" x14ac:dyDescent="0.25">
      <c r="A349" s="104"/>
      <c r="B349" s="104"/>
    </row>
    <row r="350" spans="1:2" x14ac:dyDescent="0.25">
      <c r="A350" s="104"/>
      <c r="B350" s="104"/>
    </row>
    <row r="351" spans="1:2" x14ac:dyDescent="0.25">
      <c r="A351" s="104"/>
      <c r="B351" s="104"/>
    </row>
    <row r="352" spans="1:2" x14ac:dyDescent="0.25">
      <c r="A352" s="104"/>
      <c r="B352" s="104"/>
    </row>
    <row r="353" spans="1:2" x14ac:dyDescent="0.25">
      <c r="A353" s="104"/>
      <c r="B353" s="104"/>
    </row>
    <row r="354" spans="1:2" x14ac:dyDescent="0.25">
      <c r="A354" s="104"/>
      <c r="B354" s="104"/>
    </row>
    <row r="355" spans="1:2" x14ac:dyDescent="0.25">
      <c r="A355" s="104"/>
      <c r="B355" s="104"/>
    </row>
    <row r="356" spans="1:2" x14ac:dyDescent="0.25">
      <c r="A356" s="104"/>
      <c r="B356" s="104"/>
    </row>
    <row r="357" spans="1:2" x14ac:dyDescent="0.25">
      <c r="A357" s="104"/>
      <c r="B357" s="104"/>
    </row>
    <row r="358" spans="1:2" x14ac:dyDescent="0.25">
      <c r="A358" s="104"/>
      <c r="B358" s="104"/>
    </row>
    <row r="359" spans="1:2" x14ac:dyDescent="0.25">
      <c r="A359" s="104"/>
      <c r="B359" s="104"/>
    </row>
    <row r="360" spans="1:2" x14ac:dyDescent="0.25">
      <c r="A360" s="104"/>
      <c r="B360" s="104"/>
    </row>
    <row r="361" spans="1:2" x14ac:dyDescent="0.25">
      <c r="A361" s="104"/>
      <c r="B361" s="104"/>
    </row>
    <row r="362" spans="1:2" x14ac:dyDescent="0.25">
      <c r="A362" s="104"/>
      <c r="B362" s="104"/>
    </row>
    <row r="363" spans="1:2" x14ac:dyDescent="0.25">
      <c r="A363" s="104"/>
      <c r="B363" s="104"/>
    </row>
    <row r="364" spans="1:2" x14ac:dyDescent="0.25">
      <c r="A364" s="104"/>
      <c r="B364" s="104"/>
    </row>
    <row r="365" spans="1:2" x14ac:dyDescent="0.25">
      <c r="A365" s="104"/>
      <c r="B365" s="104"/>
    </row>
    <row r="366" spans="1:2" x14ac:dyDescent="0.25">
      <c r="A366" s="104"/>
      <c r="B366" s="104"/>
    </row>
    <row r="367" spans="1:2" x14ac:dyDescent="0.25">
      <c r="A367" s="104"/>
      <c r="B367" s="104"/>
    </row>
    <row r="368" spans="1:2" x14ac:dyDescent="0.25">
      <c r="A368" s="104"/>
      <c r="B368" s="104"/>
    </row>
    <row r="369" spans="1:2" x14ac:dyDescent="0.25">
      <c r="A369" s="104"/>
      <c r="B369" s="104"/>
    </row>
    <row r="370" spans="1:2" x14ac:dyDescent="0.25">
      <c r="A370" s="104"/>
      <c r="B370" s="104"/>
    </row>
    <row r="371" spans="1:2" x14ac:dyDescent="0.25">
      <c r="A371" s="104"/>
      <c r="B371" s="104"/>
    </row>
    <row r="372" spans="1:2" x14ac:dyDescent="0.25">
      <c r="A372" s="104"/>
      <c r="B372" s="104"/>
    </row>
    <row r="373" spans="1:2" x14ac:dyDescent="0.25">
      <c r="A373" s="104"/>
      <c r="B373" s="104"/>
    </row>
    <row r="374" spans="1:2" x14ac:dyDescent="0.25">
      <c r="A374" s="104"/>
      <c r="B374" s="104"/>
    </row>
    <row r="375" spans="1:2" x14ac:dyDescent="0.25">
      <c r="A375" s="104"/>
      <c r="B375" s="104"/>
    </row>
    <row r="376" spans="1:2" x14ac:dyDescent="0.25">
      <c r="A376" s="104"/>
      <c r="B376" s="104"/>
    </row>
    <row r="377" spans="1:2" x14ac:dyDescent="0.25">
      <c r="A377" s="104"/>
      <c r="B377" s="104"/>
    </row>
    <row r="378" spans="1:2" x14ac:dyDescent="0.25">
      <c r="A378" s="104"/>
      <c r="B378" s="104"/>
    </row>
    <row r="379" spans="1:2" x14ac:dyDescent="0.25">
      <c r="A379" s="104"/>
      <c r="B379" s="104"/>
    </row>
    <row r="380" spans="1:2" x14ac:dyDescent="0.25">
      <c r="A380" s="104"/>
      <c r="B380" s="104"/>
    </row>
    <row r="381" spans="1:2" x14ac:dyDescent="0.25">
      <c r="A381" s="104"/>
      <c r="B381" s="104"/>
    </row>
    <row r="382" spans="1:2" x14ac:dyDescent="0.25">
      <c r="A382" s="104"/>
      <c r="B382" s="104"/>
    </row>
    <row r="383" spans="1:2" x14ac:dyDescent="0.25">
      <c r="A383" s="104"/>
      <c r="B383" s="104"/>
    </row>
    <row r="384" spans="1:2" x14ac:dyDescent="0.25">
      <c r="A384" s="104"/>
      <c r="B384" s="104"/>
    </row>
    <row r="385" spans="1:2" x14ac:dyDescent="0.25">
      <c r="A385" s="104"/>
      <c r="B385" s="104"/>
    </row>
    <row r="386" spans="1:2" x14ac:dyDescent="0.25">
      <c r="A386" s="104"/>
      <c r="B386" s="104"/>
    </row>
    <row r="387" spans="1:2" x14ac:dyDescent="0.25">
      <c r="A387" s="104"/>
      <c r="B387" s="104"/>
    </row>
    <row r="388" spans="1:2" x14ac:dyDescent="0.25">
      <c r="A388" s="104"/>
      <c r="B388" s="104"/>
    </row>
    <row r="389" spans="1:2" x14ac:dyDescent="0.25">
      <c r="A389" s="104"/>
      <c r="B389" s="104"/>
    </row>
    <row r="390" spans="1:2" x14ac:dyDescent="0.25">
      <c r="A390" s="104"/>
      <c r="B390" s="104"/>
    </row>
    <row r="391" spans="1:2" x14ac:dyDescent="0.25">
      <c r="A391" s="104"/>
      <c r="B391" s="104"/>
    </row>
    <row r="392" spans="1:2" x14ac:dyDescent="0.25">
      <c r="A392" s="104"/>
      <c r="B392" s="104"/>
    </row>
    <row r="393" spans="1:2" x14ac:dyDescent="0.25">
      <c r="A393" s="104"/>
      <c r="B393" s="104"/>
    </row>
    <row r="394" spans="1:2" x14ac:dyDescent="0.25">
      <c r="A394" s="104"/>
      <c r="B394" s="104"/>
    </row>
    <row r="395" spans="1:2" x14ac:dyDescent="0.25">
      <c r="A395" s="104"/>
      <c r="B395" s="104"/>
    </row>
    <row r="396" spans="1:2" x14ac:dyDescent="0.25">
      <c r="A396" s="104"/>
      <c r="B396" s="104"/>
    </row>
    <row r="397" spans="1:2" x14ac:dyDescent="0.25">
      <c r="A397" s="104"/>
      <c r="B397" s="104"/>
    </row>
    <row r="398" spans="1:2" x14ac:dyDescent="0.25">
      <c r="A398" s="104"/>
      <c r="B398" s="104"/>
    </row>
    <row r="399" spans="1:2" x14ac:dyDescent="0.25">
      <c r="A399" s="104"/>
      <c r="B399" s="104"/>
    </row>
    <row r="400" spans="1:2" x14ac:dyDescent="0.25">
      <c r="A400" s="104"/>
      <c r="B400" s="104"/>
    </row>
    <row r="401" spans="1:2" x14ac:dyDescent="0.25">
      <c r="A401" s="104"/>
      <c r="B401" s="104"/>
    </row>
    <row r="402" spans="1:2" x14ac:dyDescent="0.25">
      <c r="A402" s="104"/>
      <c r="B402" s="104"/>
    </row>
    <row r="403" spans="1:2" x14ac:dyDescent="0.25">
      <c r="A403" s="104"/>
      <c r="B403" s="104"/>
    </row>
    <row r="404" spans="1:2" x14ac:dyDescent="0.25">
      <c r="A404" s="104"/>
      <c r="B404" s="104"/>
    </row>
    <row r="405" spans="1:2" x14ac:dyDescent="0.25">
      <c r="A405" s="104"/>
      <c r="B405" s="104"/>
    </row>
    <row r="406" spans="1:2" x14ac:dyDescent="0.25">
      <c r="A406" s="104"/>
      <c r="B406" s="104"/>
    </row>
    <row r="407" spans="1:2" x14ac:dyDescent="0.25">
      <c r="A407" s="104"/>
      <c r="B407" s="104"/>
    </row>
    <row r="408" spans="1:2" x14ac:dyDescent="0.25">
      <c r="A408" s="104"/>
      <c r="B408" s="104"/>
    </row>
    <row r="409" spans="1:2" x14ac:dyDescent="0.25">
      <c r="A409" s="104"/>
      <c r="B409" s="104"/>
    </row>
    <row r="410" spans="1:2" x14ac:dyDescent="0.25">
      <c r="A410" s="104"/>
      <c r="B410" s="104"/>
    </row>
    <row r="411" spans="1:2" x14ac:dyDescent="0.25">
      <c r="A411" s="104"/>
      <c r="B411" s="104"/>
    </row>
    <row r="412" spans="1:2" x14ac:dyDescent="0.25">
      <c r="A412" s="104"/>
      <c r="B412" s="104"/>
    </row>
    <row r="413" spans="1:2" x14ac:dyDescent="0.25">
      <c r="A413" s="104"/>
      <c r="B413" s="104"/>
    </row>
    <row r="414" spans="1:2" x14ac:dyDescent="0.25">
      <c r="A414" s="104"/>
      <c r="B414" s="104"/>
    </row>
    <row r="415" spans="1:2" x14ac:dyDescent="0.25">
      <c r="A415" s="104"/>
      <c r="B415" s="104"/>
    </row>
    <row r="416" spans="1:2" x14ac:dyDescent="0.25">
      <c r="A416" s="104"/>
      <c r="B416" s="104"/>
    </row>
    <row r="417" spans="1:2" x14ac:dyDescent="0.25">
      <c r="A417" s="104"/>
      <c r="B417" s="104"/>
    </row>
    <row r="418" spans="1:2" x14ac:dyDescent="0.25">
      <c r="A418" s="104"/>
      <c r="B418" s="104"/>
    </row>
    <row r="419" spans="1:2" x14ac:dyDescent="0.25">
      <c r="A419" s="104"/>
      <c r="B419" s="104"/>
    </row>
    <row r="420" spans="1:2" x14ac:dyDescent="0.25">
      <c r="A420" s="104"/>
      <c r="B420" s="104"/>
    </row>
    <row r="421" spans="1:2" x14ac:dyDescent="0.25">
      <c r="A421" s="104"/>
      <c r="B421" s="104"/>
    </row>
    <row r="422" spans="1:2" x14ac:dyDescent="0.25">
      <c r="A422" s="104"/>
      <c r="B422" s="104"/>
    </row>
    <row r="423" spans="1:2" x14ac:dyDescent="0.25">
      <c r="A423" s="104"/>
      <c r="B423" s="104"/>
    </row>
    <row r="424" spans="1:2" x14ac:dyDescent="0.25">
      <c r="A424" s="104"/>
      <c r="B424" s="104"/>
    </row>
    <row r="425" spans="1:2" x14ac:dyDescent="0.25">
      <c r="A425" s="104"/>
      <c r="B425" s="104"/>
    </row>
    <row r="426" spans="1:2" x14ac:dyDescent="0.25">
      <c r="A426" s="104"/>
      <c r="B426" s="104"/>
    </row>
    <row r="427" spans="1:2" x14ac:dyDescent="0.25">
      <c r="A427" s="104"/>
      <c r="B427" s="104"/>
    </row>
    <row r="428" spans="1:2" x14ac:dyDescent="0.25">
      <c r="A428" s="104"/>
      <c r="B428" s="104"/>
    </row>
    <row r="429" spans="1:2" x14ac:dyDescent="0.25">
      <c r="A429" s="104"/>
      <c r="B429" s="104"/>
    </row>
    <row r="430" spans="1:2" x14ac:dyDescent="0.25">
      <c r="A430" s="104"/>
      <c r="B430" s="104"/>
    </row>
    <row r="431" spans="1:2" x14ac:dyDescent="0.25">
      <c r="A431" s="104"/>
      <c r="B431" s="104"/>
    </row>
    <row r="432" spans="1:2" x14ac:dyDescent="0.25">
      <c r="A432" s="104"/>
      <c r="B432" s="104"/>
    </row>
    <row r="433" spans="1:2" x14ac:dyDescent="0.25">
      <c r="A433" s="104"/>
      <c r="B433" s="104"/>
    </row>
    <row r="434" spans="1:2" x14ac:dyDescent="0.25">
      <c r="A434" s="104"/>
      <c r="B434" s="104"/>
    </row>
    <row r="435" spans="1:2" x14ac:dyDescent="0.25">
      <c r="A435" s="104"/>
      <c r="B435" s="104"/>
    </row>
    <row r="436" spans="1:2" x14ac:dyDescent="0.25">
      <c r="A436" s="104"/>
      <c r="B436" s="104"/>
    </row>
    <row r="437" spans="1:2" x14ac:dyDescent="0.25">
      <c r="A437" s="104"/>
      <c r="B437" s="104"/>
    </row>
    <row r="438" spans="1:2" x14ac:dyDescent="0.25">
      <c r="A438" s="104"/>
      <c r="B438" s="104"/>
    </row>
    <row r="439" spans="1:2" x14ac:dyDescent="0.25">
      <c r="A439" s="104"/>
      <c r="B439" s="104"/>
    </row>
    <row r="440" spans="1:2" x14ac:dyDescent="0.25">
      <c r="A440" s="104"/>
      <c r="B440" s="104"/>
    </row>
    <row r="441" spans="1:2" x14ac:dyDescent="0.25">
      <c r="A441" s="104"/>
      <c r="B441" s="104"/>
    </row>
    <row r="442" spans="1:2" x14ac:dyDescent="0.25">
      <c r="A442" s="104"/>
      <c r="B442" s="104"/>
    </row>
    <row r="443" spans="1:2" x14ac:dyDescent="0.25">
      <c r="A443" s="104"/>
      <c r="B443" s="104"/>
    </row>
    <row r="444" spans="1:2" x14ac:dyDescent="0.25">
      <c r="A444" s="104"/>
      <c r="B444" s="104"/>
    </row>
    <row r="445" spans="1:2" x14ac:dyDescent="0.25">
      <c r="A445" s="104"/>
      <c r="B445" s="104"/>
    </row>
    <row r="446" spans="1:2" x14ac:dyDescent="0.25">
      <c r="A446" s="104"/>
      <c r="B446" s="104"/>
    </row>
    <row r="447" spans="1:2" x14ac:dyDescent="0.25">
      <c r="A447" s="104"/>
      <c r="B447" s="104"/>
    </row>
    <row r="448" spans="1:2" x14ac:dyDescent="0.25">
      <c r="A448" s="104"/>
      <c r="B448" s="104"/>
    </row>
    <row r="449" spans="1:2" x14ac:dyDescent="0.25">
      <c r="A449" s="104"/>
      <c r="B449" s="104"/>
    </row>
    <row r="450" spans="1:2" x14ac:dyDescent="0.25">
      <c r="A450" s="104"/>
      <c r="B450" s="104"/>
    </row>
    <row r="451" spans="1:2" x14ac:dyDescent="0.25">
      <c r="A451" s="104"/>
      <c r="B451" s="104"/>
    </row>
    <row r="452" spans="1:2" x14ac:dyDescent="0.25">
      <c r="A452" s="104"/>
      <c r="B452" s="104"/>
    </row>
    <row r="453" spans="1:2" x14ac:dyDescent="0.25">
      <c r="A453" s="104"/>
      <c r="B453" s="104"/>
    </row>
    <row r="454" spans="1:2" x14ac:dyDescent="0.25">
      <c r="A454" s="104"/>
      <c r="B454" s="104"/>
    </row>
    <row r="455" spans="1:2" x14ac:dyDescent="0.25">
      <c r="A455" s="104"/>
      <c r="B455" s="104"/>
    </row>
    <row r="456" spans="1:2" x14ac:dyDescent="0.25">
      <c r="A456" s="104"/>
      <c r="B456" s="104"/>
    </row>
    <row r="457" spans="1:2" x14ac:dyDescent="0.25">
      <c r="A457" s="104"/>
      <c r="B457" s="104"/>
    </row>
    <row r="458" spans="1:2" x14ac:dyDescent="0.25">
      <c r="A458" s="104"/>
      <c r="B458" s="104"/>
    </row>
    <row r="459" spans="1:2" x14ac:dyDescent="0.25">
      <c r="A459" s="104"/>
      <c r="B459" s="104"/>
    </row>
    <row r="460" spans="1:2" x14ac:dyDescent="0.25">
      <c r="A460" s="104"/>
      <c r="B460" s="104"/>
    </row>
    <row r="461" spans="1:2" x14ac:dyDescent="0.25">
      <c r="A461" s="104"/>
      <c r="B461" s="104"/>
    </row>
    <row r="462" spans="1:2" x14ac:dyDescent="0.25">
      <c r="A462" s="104"/>
      <c r="B462" s="104"/>
    </row>
    <row r="463" spans="1:2" x14ac:dyDescent="0.25">
      <c r="A463" s="104"/>
      <c r="B463" s="104"/>
    </row>
    <row r="464" spans="1:2" x14ac:dyDescent="0.25">
      <c r="A464" s="104"/>
      <c r="B464" s="104"/>
    </row>
    <row r="465" spans="1:2" x14ac:dyDescent="0.25">
      <c r="A465" s="104"/>
      <c r="B465" s="104"/>
    </row>
    <row r="466" spans="1:2" x14ac:dyDescent="0.25">
      <c r="A466" s="104"/>
      <c r="B466" s="104"/>
    </row>
    <row r="467" spans="1:2" x14ac:dyDescent="0.25">
      <c r="A467" s="104"/>
      <c r="B467" s="104"/>
    </row>
    <row r="468" spans="1:2" x14ac:dyDescent="0.25">
      <c r="A468" s="104"/>
      <c r="B468" s="104"/>
    </row>
    <row r="469" spans="1:2" x14ac:dyDescent="0.25">
      <c r="A469" s="104"/>
      <c r="B469" s="104"/>
    </row>
    <row r="470" spans="1:2" x14ac:dyDescent="0.25">
      <c r="A470" s="104"/>
      <c r="B470" s="104"/>
    </row>
    <row r="471" spans="1:2" x14ac:dyDescent="0.25">
      <c r="A471" s="104"/>
      <c r="B471" s="104"/>
    </row>
    <row r="472" spans="1:2" x14ac:dyDescent="0.25">
      <c r="A472" s="104"/>
      <c r="B472" s="104"/>
    </row>
    <row r="473" spans="1:2" x14ac:dyDescent="0.25">
      <c r="A473" s="104"/>
      <c r="B473" s="104"/>
    </row>
    <row r="474" spans="1:2" x14ac:dyDescent="0.25">
      <c r="A474" s="104"/>
      <c r="B474" s="104"/>
    </row>
    <row r="475" spans="1:2" x14ac:dyDescent="0.25">
      <c r="A475" s="104"/>
      <c r="B475" s="104"/>
    </row>
    <row r="476" spans="1:2" x14ac:dyDescent="0.25">
      <c r="A476" s="104"/>
      <c r="B476" s="104"/>
    </row>
    <row r="477" spans="1:2" x14ac:dyDescent="0.25">
      <c r="A477" s="104"/>
      <c r="B477" s="104"/>
    </row>
    <row r="478" spans="1:2" x14ac:dyDescent="0.25">
      <c r="A478" s="104"/>
      <c r="B478" s="104"/>
    </row>
    <row r="479" spans="1:2" x14ac:dyDescent="0.25">
      <c r="A479" s="104"/>
      <c r="B479" s="104"/>
    </row>
    <row r="480" spans="1:2" x14ac:dyDescent="0.25">
      <c r="A480" s="104"/>
      <c r="B480" s="104"/>
    </row>
    <row r="481" spans="1:2" x14ac:dyDescent="0.25">
      <c r="A481" s="104"/>
      <c r="B481" s="104"/>
    </row>
    <row r="482" spans="1:2" x14ac:dyDescent="0.25">
      <c r="A482" s="104"/>
      <c r="B482" s="104"/>
    </row>
    <row r="483" spans="1:2" x14ac:dyDescent="0.25">
      <c r="A483" s="104"/>
      <c r="B483" s="104"/>
    </row>
    <row r="484" spans="1:2" x14ac:dyDescent="0.25">
      <c r="A484" s="104"/>
      <c r="B484" s="104"/>
    </row>
    <row r="485" spans="1:2" x14ac:dyDescent="0.25">
      <c r="A485" s="104"/>
      <c r="B485" s="104"/>
    </row>
    <row r="486" spans="1:2" x14ac:dyDescent="0.25">
      <c r="A486" s="104"/>
      <c r="B486" s="104"/>
    </row>
    <row r="487" spans="1:2" x14ac:dyDescent="0.25">
      <c r="A487" s="104"/>
      <c r="B487" s="104"/>
    </row>
    <row r="488" spans="1:2" x14ac:dyDescent="0.25">
      <c r="A488" s="104"/>
      <c r="B488" s="104"/>
    </row>
    <row r="489" spans="1:2" x14ac:dyDescent="0.25">
      <c r="A489" s="104"/>
      <c r="B489" s="104"/>
    </row>
    <row r="490" spans="1:2" x14ac:dyDescent="0.25">
      <c r="A490" s="104"/>
      <c r="B490" s="104"/>
    </row>
    <row r="491" spans="1:2" x14ac:dyDescent="0.25">
      <c r="A491" s="104"/>
      <c r="B491" s="104"/>
    </row>
    <row r="492" spans="1:2" x14ac:dyDescent="0.25">
      <c r="A492" s="104"/>
      <c r="B492" s="104"/>
    </row>
    <row r="493" spans="1:2" x14ac:dyDescent="0.25">
      <c r="A493" s="104"/>
      <c r="B493" s="104"/>
    </row>
    <row r="494" spans="1:2" x14ac:dyDescent="0.25">
      <c r="A494" s="104"/>
      <c r="B494" s="104"/>
    </row>
    <row r="495" spans="1:2" x14ac:dyDescent="0.25">
      <c r="A495" s="104"/>
      <c r="B495" s="104"/>
    </row>
    <row r="496" spans="1:2" x14ac:dyDescent="0.25">
      <c r="A496" s="104"/>
      <c r="B496" s="104"/>
    </row>
    <row r="497" spans="1:2" x14ac:dyDescent="0.25">
      <c r="A497" s="104"/>
      <c r="B497" s="104"/>
    </row>
    <row r="498" spans="1:2" x14ac:dyDescent="0.25">
      <c r="A498" s="104"/>
      <c r="B498" s="104"/>
    </row>
    <row r="499" spans="1:2" x14ac:dyDescent="0.25">
      <c r="A499" s="104"/>
      <c r="B499" s="104"/>
    </row>
    <row r="500" spans="1:2" x14ac:dyDescent="0.25">
      <c r="A500" s="104"/>
      <c r="B500" s="104"/>
    </row>
    <row r="501" spans="1:2" x14ac:dyDescent="0.25">
      <c r="A501" s="104"/>
      <c r="B501" s="104"/>
    </row>
    <row r="502" spans="1:2" x14ac:dyDescent="0.25">
      <c r="A502" s="104"/>
      <c r="B502" s="104"/>
    </row>
    <row r="503" spans="1:2" x14ac:dyDescent="0.25">
      <c r="A503" s="104"/>
      <c r="B503" s="104"/>
    </row>
    <row r="504" spans="1:2" x14ac:dyDescent="0.25">
      <c r="A504" s="104"/>
      <c r="B504" s="104"/>
    </row>
    <row r="505" spans="1:2" x14ac:dyDescent="0.25">
      <c r="A505" s="104"/>
      <c r="B505" s="104"/>
    </row>
    <row r="506" spans="1:2" x14ac:dyDescent="0.25">
      <c r="A506" s="104"/>
      <c r="B506" s="104"/>
    </row>
    <row r="507" spans="1:2" x14ac:dyDescent="0.25">
      <c r="A507" s="104"/>
      <c r="B507" s="104"/>
    </row>
    <row r="508" spans="1:2" x14ac:dyDescent="0.25">
      <c r="A508" s="104"/>
      <c r="B508" s="104"/>
    </row>
    <row r="509" spans="1:2" x14ac:dyDescent="0.25">
      <c r="A509" s="104"/>
      <c r="B509" s="104"/>
    </row>
    <row r="510" spans="1:2" x14ac:dyDescent="0.25">
      <c r="A510" s="104"/>
      <c r="B510" s="104"/>
    </row>
    <row r="511" spans="1:2" x14ac:dyDescent="0.25">
      <c r="A511" s="104"/>
      <c r="B511" s="104"/>
    </row>
    <row r="512" spans="1:2" x14ac:dyDescent="0.25">
      <c r="A512" s="104"/>
      <c r="B512" s="104"/>
    </row>
    <row r="513" spans="1:2" x14ac:dyDescent="0.25">
      <c r="A513" s="104"/>
      <c r="B513" s="104"/>
    </row>
    <row r="514" spans="1:2" x14ac:dyDescent="0.25">
      <c r="A514" s="104"/>
      <c r="B514" s="104"/>
    </row>
    <row r="515" spans="1:2" x14ac:dyDescent="0.25">
      <c r="A515" s="104"/>
      <c r="B515" s="104"/>
    </row>
    <row r="516" spans="1:2" x14ac:dyDescent="0.25">
      <c r="A516" s="104"/>
      <c r="B516" s="104"/>
    </row>
    <row r="517" spans="1:2" x14ac:dyDescent="0.25">
      <c r="A517" s="104"/>
      <c r="B517" s="104"/>
    </row>
    <row r="518" spans="1:2" x14ac:dyDescent="0.25">
      <c r="A518" s="104"/>
      <c r="B518" s="104"/>
    </row>
    <row r="519" spans="1:2" x14ac:dyDescent="0.25">
      <c r="A519" s="104"/>
      <c r="B519" s="104"/>
    </row>
    <row r="520" spans="1:2" x14ac:dyDescent="0.25">
      <c r="A520" s="104"/>
      <c r="B520" s="104"/>
    </row>
    <row r="521" spans="1:2" x14ac:dyDescent="0.25">
      <c r="A521" s="104"/>
      <c r="B521" s="104"/>
    </row>
    <row r="522" spans="1:2" x14ac:dyDescent="0.25">
      <c r="A522" s="104"/>
      <c r="B522" s="104"/>
    </row>
    <row r="523" spans="1:2" x14ac:dyDescent="0.25">
      <c r="A523" s="104"/>
      <c r="B523" s="104"/>
    </row>
    <row r="524" spans="1:2" x14ac:dyDescent="0.25">
      <c r="A524" s="104"/>
      <c r="B524" s="104"/>
    </row>
    <row r="525" spans="1:2" x14ac:dyDescent="0.25">
      <c r="A525" s="104"/>
      <c r="B525" s="104"/>
    </row>
    <row r="526" spans="1:2" x14ac:dyDescent="0.25">
      <c r="A526" s="104"/>
      <c r="B526" s="104"/>
    </row>
    <row r="527" spans="1:2" x14ac:dyDescent="0.25">
      <c r="A527" s="104"/>
      <c r="B527" s="104"/>
    </row>
    <row r="528" spans="1:2" x14ac:dyDescent="0.25">
      <c r="A528" s="104"/>
      <c r="B528" s="104"/>
    </row>
    <row r="529" spans="1:2" x14ac:dyDescent="0.25">
      <c r="A529" s="104"/>
      <c r="B529" s="104"/>
    </row>
    <row r="530" spans="1:2" x14ac:dyDescent="0.25">
      <c r="A530" s="104"/>
      <c r="B530" s="104"/>
    </row>
    <row r="531" spans="1:2" x14ac:dyDescent="0.25">
      <c r="A531" s="104"/>
      <c r="B531" s="104"/>
    </row>
    <row r="532" spans="1:2" x14ac:dyDescent="0.25">
      <c r="A532" s="104"/>
      <c r="B532" s="104"/>
    </row>
    <row r="533" spans="1:2" x14ac:dyDescent="0.25">
      <c r="A533" s="104"/>
      <c r="B533" s="104"/>
    </row>
    <row r="534" spans="1:2" x14ac:dyDescent="0.25">
      <c r="A534" s="104"/>
      <c r="B534" s="104"/>
    </row>
    <row r="535" spans="1:2" x14ac:dyDescent="0.25">
      <c r="A535" s="104"/>
      <c r="B535" s="104"/>
    </row>
    <row r="536" spans="1:2" x14ac:dyDescent="0.25">
      <c r="A536" s="104"/>
      <c r="B536" s="104"/>
    </row>
    <row r="537" spans="1:2" x14ac:dyDescent="0.25">
      <c r="A537" s="104"/>
      <c r="B537" s="104"/>
    </row>
    <row r="538" spans="1:2" x14ac:dyDescent="0.25">
      <c r="A538" s="104"/>
      <c r="B538" s="104"/>
    </row>
    <row r="539" spans="1:2" x14ac:dyDescent="0.25">
      <c r="A539" s="104"/>
      <c r="B539" s="104"/>
    </row>
    <row r="540" spans="1:2" x14ac:dyDescent="0.25">
      <c r="A540" s="104"/>
      <c r="B540" s="104"/>
    </row>
    <row r="541" spans="1:2" x14ac:dyDescent="0.25">
      <c r="A541" s="104"/>
      <c r="B541" s="104"/>
    </row>
    <row r="542" spans="1:2" x14ac:dyDescent="0.25">
      <c r="A542" s="104"/>
      <c r="B542" s="104"/>
    </row>
    <row r="543" spans="1:2" x14ac:dyDescent="0.25">
      <c r="A543" s="104"/>
      <c r="B543" s="104"/>
    </row>
    <row r="544" spans="1:2" x14ac:dyDescent="0.25">
      <c r="A544" s="104"/>
      <c r="B544" s="104"/>
    </row>
    <row r="545" spans="1:2" x14ac:dyDescent="0.25">
      <c r="A545" s="104"/>
      <c r="B545" s="104"/>
    </row>
    <row r="546" spans="1:2" x14ac:dyDescent="0.25">
      <c r="A546" s="104"/>
      <c r="B546" s="104"/>
    </row>
    <row r="547" spans="1:2" x14ac:dyDescent="0.25">
      <c r="A547" s="104"/>
      <c r="B547" s="104"/>
    </row>
    <row r="548" spans="1:2" x14ac:dyDescent="0.25">
      <c r="A548" s="104"/>
      <c r="B548" s="104"/>
    </row>
    <row r="549" spans="1:2" x14ac:dyDescent="0.25">
      <c r="A549" s="104"/>
      <c r="B549" s="104"/>
    </row>
    <row r="550" spans="1:2" x14ac:dyDescent="0.25">
      <c r="A550" s="104"/>
      <c r="B550" s="104"/>
    </row>
    <row r="551" spans="1:2" x14ac:dyDescent="0.25">
      <c r="A551" s="104"/>
      <c r="B551" s="104"/>
    </row>
    <row r="552" spans="1:2" x14ac:dyDescent="0.25">
      <c r="A552" s="104"/>
      <c r="B552" s="104"/>
    </row>
    <row r="553" spans="1:2" x14ac:dyDescent="0.25">
      <c r="A553" s="104"/>
      <c r="B553" s="104"/>
    </row>
    <row r="554" spans="1:2" x14ac:dyDescent="0.25">
      <c r="A554" s="104"/>
      <c r="B554" s="104"/>
    </row>
    <row r="555" spans="1:2" x14ac:dyDescent="0.25">
      <c r="A555" s="104"/>
      <c r="B555" s="104"/>
    </row>
    <row r="556" spans="1:2" x14ac:dyDescent="0.25">
      <c r="A556" s="104"/>
      <c r="B556" s="104"/>
    </row>
    <row r="557" spans="1:2" x14ac:dyDescent="0.25">
      <c r="A557" s="104"/>
      <c r="B557" s="104"/>
    </row>
    <row r="558" spans="1:2" x14ac:dyDescent="0.25">
      <c r="A558" s="104"/>
      <c r="B558" s="104"/>
    </row>
    <row r="559" spans="1:2" x14ac:dyDescent="0.25">
      <c r="A559" s="104"/>
      <c r="B559" s="104"/>
    </row>
    <row r="560" spans="1:2" x14ac:dyDescent="0.25">
      <c r="A560" s="104"/>
      <c r="B560" s="104"/>
    </row>
    <row r="561" spans="1:2" x14ac:dyDescent="0.25">
      <c r="A561" s="104"/>
      <c r="B561" s="104"/>
    </row>
    <row r="562" spans="1:2" x14ac:dyDescent="0.25">
      <c r="A562" s="104"/>
      <c r="B562" s="104"/>
    </row>
    <row r="563" spans="1:2" x14ac:dyDescent="0.25">
      <c r="A563" s="104"/>
      <c r="B563" s="104"/>
    </row>
    <row r="564" spans="1:2" x14ac:dyDescent="0.25">
      <c r="A564" s="104"/>
      <c r="B564" s="104"/>
    </row>
    <row r="565" spans="1:2" x14ac:dyDescent="0.25">
      <c r="A565" s="104"/>
      <c r="B565" s="104"/>
    </row>
    <row r="566" spans="1:2" x14ac:dyDescent="0.25">
      <c r="A566" s="104"/>
      <c r="B566" s="104"/>
    </row>
    <row r="567" spans="1:2" x14ac:dyDescent="0.25">
      <c r="A567" s="104"/>
      <c r="B567" s="104"/>
    </row>
    <row r="568" spans="1:2" x14ac:dyDescent="0.25">
      <c r="A568" s="104"/>
      <c r="B568" s="104"/>
    </row>
    <row r="569" spans="1:2" x14ac:dyDescent="0.25">
      <c r="A569" s="104"/>
      <c r="B569" s="104"/>
    </row>
    <row r="570" spans="1:2" x14ac:dyDescent="0.25">
      <c r="A570" s="104"/>
      <c r="B570" s="104"/>
    </row>
    <row r="571" spans="1:2" x14ac:dyDescent="0.25">
      <c r="A571" s="104"/>
      <c r="B571" s="104"/>
    </row>
    <row r="572" spans="1:2" x14ac:dyDescent="0.25">
      <c r="A572" s="104"/>
      <c r="B572" s="104"/>
    </row>
    <row r="573" spans="1:2" x14ac:dyDescent="0.25">
      <c r="A573" s="104"/>
      <c r="B573" s="104"/>
    </row>
    <row r="574" spans="1:2" x14ac:dyDescent="0.25">
      <c r="A574" s="104"/>
      <c r="B574" s="104"/>
    </row>
    <row r="575" spans="1:2" x14ac:dyDescent="0.25">
      <c r="A575" s="104"/>
      <c r="B575" s="104"/>
    </row>
    <row r="576" spans="1:2" x14ac:dyDescent="0.25">
      <c r="A576" s="104"/>
      <c r="B576" s="104"/>
    </row>
    <row r="577" spans="1:2" x14ac:dyDescent="0.25">
      <c r="A577" s="104"/>
      <c r="B577" s="104"/>
    </row>
    <row r="578" spans="1:2" x14ac:dyDescent="0.25">
      <c r="A578" s="104"/>
      <c r="B578" s="104"/>
    </row>
    <row r="579" spans="1:2" x14ac:dyDescent="0.25">
      <c r="A579" s="104"/>
      <c r="B579" s="104"/>
    </row>
    <row r="580" spans="1:2" x14ac:dyDescent="0.25">
      <c r="A580" s="104"/>
      <c r="B580" s="104"/>
    </row>
    <row r="581" spans="1:2" x14ac:dyDescent="0.25">
      <c r="A581" s="104"/>
      <c r="B581" s="104"/>
    </row>
    <row r="582" spans="1:2" x14ac:dyDescent="0.25">
      <c r="A582" s="104"/>
      <c r="B582" s="104"/>
    </row>
    <row r="583" spans="1:2" x14ac:dyDescent="0.25">
      <c r="A583" s="104"/>
      <c r="B583" s="104"/>
    </row>
    <row r="584" spans="1:2" x14ac:dyDescent="0.25">
      <c r="A584" s="104"/>
      <c r="B584" s="104"/>
    </row>
    <row r="585" spans="1:2" x14ac:dyDescent="0.25">
      <c r="A585" s="104"/>
      <c r="B585" s="104"/>
    </row>
    <row r="586" spans="1:2" x14ac:dyDescent="0.25">
      <c r="A586" s="104"/>
      <c r="B586" s="104"/>
    </row>
    <row r="587" spans="1:2" x14ac:dyDescent="0.25">
      <c r="A587" s="104"/>
      <c r="B587" s="104"/>
    </row>
    <row r="588" spans="1:2" x14ac:dyDescent="0.25">
      <c r="A588" s="104"/>
      <c r="B588" s="104"/>
    </row>
    <row r="589" spans="1:2" x14ac:dyDescent="0.25">
      <c r="A589" s="104"/>
      <c r="B589" s="104"/>
    </row>
    <row r="590" spans="1:2" x14ac:dyDescent="0.25">
      <c r="A590" s="104"/>
      <c r="B590" s="104"/>
    </row>
    <row r="591" spans="1:2" x14ac:dyDescent="0.25">
      <c r="A591" s="104"/>
      <c r="B591" s="104"/>
    </row>
    <row r="592" spans="1:2" x14ac:dyDescent="0.25">
      <c r="A592" s="104"/>
      <c r="B592" s="104"/>
    </row>
    <row r="593" spans="1:2" x14ac:dyDescent="0.25">
      <c r="A593" s="104"/>
      <c r="B593" s="104"/>
    </row>
    <row r="594" spans="1:2" x14ac:dyDescent="0.25">
      <c r="A594" s="104"/>
      <c r="B594" s="104"/>
    </row>
    <row r="595" spans="1:2" x14ac:dyDescent="0.25">
      <c r="A595" s="104"/>
      <c r="B595" s="104"/>
    </row>
    <row r="596" spans="1:2" x14ac:dyDescent="0.25">
      <c r="A596" s="104"/>
      <c r="B596" s="104"/>
    </row>
    <row r="597" spans="1:2" x14ac:dyDescent="0.25">
      <c r="A597" s="104"/>
      <c r="B597" s="104"/>
    </row>
    <row r="598" spans="1:2" x14ac:dyDescent="0.25">
      <c r="A598" s="104"/>
      <c r="B598" s="104"/>
    </row>
    <row r="599" spans="1:2" x14ac:dyDescent="0.25">
      <c r="A599" s="104"/>
      <c r="B599" s="104"/>
    </row>
    <row r="600" spans="1:2" x14ac:dyDescent="0.25">
      <c r="A600" s="104"/>
      <c r="B600" s="104"/>
    </row>
    <row r="601" spans="1:2" x14ac:dyDescent="0.25">
      <c r="A601" s="104"/>
      <c r="B601" s="104"/>
    </row>
    <row r="602" spans="1:2" x14ac:dyDescent="0.25">
      <c r="A602" s="104"/>
      <c r="B602" s="104"/>
    </row>
    <row r="603" spans="1:2" x14ac:dyDescent="0.25">
      <c r="A603" s="104"/>
      <c r="B603" s="104"/>
    </row>
    <row r="604" spans="1:2" x14ac:dyDescent="0.25">
      <c r="A604" s="104"/>
      <c r="B604" s="104"/>
    </row>
    <row r="605" spans="1:2" x14ac:dyDescent="0.25">
      <c r="A605" s="104"/>
      <c r="B605" s="104"/>
    </row>
    <row r="606" spans="1:2" x14ac:dyDescent="0.25">
      <c r="A606" s="104"/>
      <c r="B606" s="104"/>
    </row>
    <row r="607" spans="1:2" x14ac:dyDescent="0.25">
      <c r="A607" s="104"/>
      <c r="B607" s="104"/>
    </row>
    <row r="608" spans="1:2" x14ac:dyDescent="0.25">
      <c r="A608" s="104"/>
      <c r="B608" s="104"/>
    </row>
    <row r="609" spans="1:2" x14ac:dyDescent="0.25">
      <c r="A609" s="104"/>
      <c r="B609" s="104"/>
    </row>
    <row r="610" spans="1:2" x14ac:dyDescent="0.25">
      <c r="A610" s="104"/>
      <c r="B610" s="104"/>
    </row>
    <row r="611" spans="1:2" x14ac:dyDescent="0.25">
      <c r="A611" s="104"/>
      <c r="B611" s="104"/>
    </row>
    <row r="612" spans="1:2" x14ac:dyDescent="0.25">
      <c r="A612" s="104"/>
      <c r="B612" s="104"/>
    </row>
    <row r="613" spans="1:2" x14ac:dyDescent="0.25">
      <c r="A613" s="104"/>
      <c r="B613" s="104"/>
    </row>
    <row r="614" spans="1:2" x14ac:dyDescent="0.25">
      <c r="A614" s="104"/>
      <c r="B614" s="104"/>
    </row>
    <row r="615" spans="1:2" x14ac:dyDescent="0.25">
      <c r="A615" s="104"/>
      <c r="B615" s="104"/>
    </row>
    <row r="616" spans="1:2" x14ac:dyDescent="0.25">
      <c r="A616" s="104"/>
      <c r="B616" s="104"/>
    </row>
    <row r="617" spans="1:2" x14ac:dyDescent="0.25">
      <c r="A617" s="104"/>
      <c r="B617" s="104"/>
    </row>
    <row r="618" spans="1:2" x14ac:dyDescent="0.25">
      <c r="A618" s="104"/>
      <c r="B618" s="104"/>
    </row>
    <row r="619" spans="1:2" x14ac:dyDescent="0.25">
      <c r="A619" s="104"/>
      <c r="B619" s="104"/>
    </row>
    <row r="620" spans="1:2" x14ac:dyDescent="0.25">
      <c r="A620" s="104"/>
      <c r="B620" s="104"/>
    </row>
    <row r="621" spans="1:2" x14ac:dyDescent="0.25">
      <c r="A621" s="104"/>
      <c r="B621" s="104"/>
    </row>
    <row r="622" spans="1:2" x14ac:dyDescent="0.25">
      <c r="A622" s="104"/>
      <c r="B622" s="104"/>
    </row>
    <row r="623" spans="1:2" x14ac:dyDescent="0.25">
      <c r="A623" s="104"/>
      <c r="B623" s="104"/>
    </row>
    <row r="624" spans="1:2" x14ac:dyDescent="0.25">
      <c r="A624" s="104"/>
      <c r="B624" s="104"/>
    </row>
    <row r="625" spans="1:2" x14ac:dyDescent="0.25">
      <c r="A625" s="104"/>
      <c r="B625" s="104"/>
    </row>
    <row r="626" spans="1:2" x14ac:dyDescent="0.25">
      <c r="A626" s="104"/>
      <c r="B626" s="104"/>
    </row>
    <row r="627" spans="1:2" x14ac:dyDescent="0.25">
      <c r="A627" s="104"/>
      <c r="B627" s="104"/>
    </row>
    <row r="628" spans="1:2" x14ac:dyDescent="0.25">
      <c r="A628" s="104"/>
      <c r="B628" s="104"/>
    </row>
    <row r="629" spans="1:2" x14ac:dyDescent="0.25">
      <c r="A629" s="104"/>
      <c r="B629" s="104"/>
    </row>
    <row r="630" spans="1:2" x14ac:dyDescent="0.25">
      <c r="A630" s="104"/>
      <c r="B630" s="104"/>
    </row>
    <row r="631" spans="1:2" x14ac:dyDescent="0.25">
      <c r="A631" s="104"/>
      <c r="B631" s="104"/>
    </row>
    <row r="632" spans="1:2" x14ac:dyDescent="0.25">
      <c r="A632" s="104"/>
      <c r="B632" s="104"/>
    </row>
    <row r="633" spans="1:2" x14ac:dyDescent="0.25">
      <c r="A633" s="104"/>
      <c r="B633" s="104"/>
    </row>
    <row r="634" spans="1:2" x14ac:dyDescent="0.25">
      <c r="A634" s="104"/>
      <c r="B634" s="104"/>
    </row>
    <row r="635" spans="1:2" x14ac:dyDescent="0.25">
      <c r="A635" s="104"/>
      <c r="B635" s="104"/>
    </row>
    <row r="636" spans="1:2" x14ac:dyDescent="0.25">
      <c r="A636" s="104"/>
      <c r="B636" s="104"/>
    </row>
    <row r="637" spans="1:2" x14ac:dyDescent="0.25">
      <c r="A637" s="104"/>
      <c r="B637" s="104"/>
    </row>
    <row r="638" spans="1:2" x14ac:dyDescent="0.25">
      <c r="A638" s="104"/>
      <c r="B638" s="104"/>
    </row>
    <row r="639" spans="1:2" x14ac:dyDescent="0.25">
      <c r="A639" s="104"/>
      <c r="B639" s="104"/>
    </row>
    <row r="640" spans="1:2" x14ac:dyDescent="0.25">
      <c r="A640" s="104"/>
      <c r="B640" s="104"/>
    </row>
    <row r="641" spans="1:2" x14ac:dyDescent="0.25">
      <c r="A641" s="104"/>
      <c r="B641" s="104"/>
    </row>
    <row r="642" spans="1:2" x14ac:dyDescent="0.25">
      <c r="A642" s="104"/>
      <c r="B642" s="104"/>
    </row>
    <row r="643" spans="1:2" x14ac:dyDescent="0.25">
      <c r="A643" s="104"/>
      <c r="B643" s="104"/>
    </row>
    <row r="644" spans="1:2" x14ac:dyDescent="0.25">
      <c r="A644" s="104"/>
      <c r="B644" s="104"/>
    </row>
    <row r="645" spans="1:2" x14ac:dyDescent="0.25">
      <c r="A645" s="104"/>
      <c r="B645" s="104"/>
    </row>
    <row r="646" spans="1:2" x14ac:dyDescent="0.25">
      <c r="A646" s="104"/>
      <c r="B646" s="104"/>
    </row>
    <row r="647" spans="1:2" x14ac:dyDescent="0.25">
      <c r="A647" s="104"/>
      <c r="B647" s="104"/>
    </row>
    <row r="648" spans="1:2" x14ac:dyDescent="0.25">
      <c r="A648" s="104"/>
      <c r="B648" s="104"/>
    </row>
    <row r="649" spans="1:2" x14ac:dyDescent="0.25">
      <c r="A649" s="104"/>
      <c r="B649" s="104"/>
    </row>
    <row r="650" spans="1:2" x14ac:dyDescent="0.25">
      <c r="A650" s="104"/>
      <c r="B650" s="104"/>
    </row>
    <row r="651" spans="1:2" x14ac:dyDescent="0.25">
      <c r="A651" s="104"/>
      <c r="B651" s="104"/>
    </row>
    <row r="652" spans="1:2" x14ac:dyDescent="0.25">
      <c r="A652" s="104"/>
      <c r="B652" s="104"/>
    </row>
    <row r="653" spans="1:2" x14ac:dyDescent="0.25">
      <c r="A653" s="104"/>
      <c r="B653" s="104"/>
    </row>
    <row r="654" spans="1:2" x14ac:dyDescent="0.25">
      <c r="A654" s="104"/>
      <c r="B654" s="104"/>
    </row>
    <row r="655" spans="1:2" x14ac:dyDescent="0.25">
      <c r="A655" s="104"/>
      <c r="B655" s="104"/>
    </row>
    <row r="656" spans="1:2" x14ac:dyDescent="0.25">
      <c r="A656" s="104"/>
      <c r="B656" s="104"/>
    </row>
    <row r="657" spans="1:2" x14ac:dyDescent="0.25">
      <c r="A657" s="104"/>
      <c r="B657" s="104"/>
    </row>
    <row r="658" spans="1:2" x14ac:dyDescent="0.25">
      <c r="A658" s="104"/>
      <c r="B658" s="104"/>
    </row>
    <row r="659" spans="1:2" x14ac:dyDescent="0.25">
      <c r="A659" s="104"/>
      <c r="B659" s="104"/>
    </row>
    <row r="660" spans="1:2" x14ac:dyDescent="0.25">
      <c r="A660" s="104"/>
      <c r="B660" s="104"/>
    </row>
    <row r="661" spans="1:2" x14ac:dyDescent="0.25">
      <c r="A661" s="104"/>
      <c r="B661" s="104"/>
    </row>
    <row r="662" spans="1:2" x14ac:dyDescent="0.25">
      <c r="A662" s="104"/>
      <c r="B662" s="104"/>
    </row>
    <row r="663" spans="1:2" x14ac:dyDescent="0.25">
      <c r="A663" s="104"/>
      <c r="B663" s="104"/>
    </row>
    <row r="664" spans="1:2" x14ac:dyDescent="0.25">
      <c r="A664" s="104"/>
      <c r="B664" s="104"/>
    </row>
    <row r="665" spans="1:2" x14ac:dyDescent="0.25">
      <c r="A665" s="104"/>
      <c r="B665" s="104"/>
    </row>
    <row r="666" spans="1:2" x14ac:dyDescent="0.25">
      <c r="A666" s="104"/>
      <c r="B666" s="104"/>
    </row>
    <row r="667" spans="1:2" x14ac:dyDescent="0.25">
      <c r="A667" s="104"/>
      <c r="B667" s="104"/>
    </row>
    <row r="668" spans="1:2" x14ac:dyDescent="0.25">
      <c r="A668" s="104"/>
      <c r="B668" s="104"/>
    </row>
    <row r="669" spans="1:2" x14ac:dyDescent="0.25">
      <c r="A669" s="104"/>
      <c r="B669" s="104"/>
    </row>
    <row r="670" spans="1:2" x14ac:dyDescent="0.25">
      <c r="A670" s="104"/>
      <c r="B670" s="104"/>
    </row>
    <row r="671" spans="1:2" x14ac:dyDescent="0.25">
      <c r="A671" s="104"/>
      <c r="B671" s="104"/>
    </row>
    <row r="672" spans="1:2" x14ac:dyDescent="0.25">
      <c r="A672" s="104"/>
      <c r="B672" s="104"/>
    </row>
    <row r="673" spans="1:2" x14ac:dyDescent="0.25">
      <c r="A673" s="104"/>
      <c r="B673" s="104"/>
    </row>
    <row r="674" spans="1:2" x14ac:dyDescent="0.25">
      <c r="A674" s="104"/>
      <c r="B674" s="104"/>
    </row>
    <row r="675" spans="1:2" x14ac:dyDescent="0.25">
      <c r="A675" s="104"/>
      <c r="B675" s="104"/>
    </row>
    <row r="676" spans="1:2" x14ac:dyDescent="0.25">
      <c r="A676" s="104"/>
      <c r="B676" s="104"/>
    </row>
    <row r="677" spans="1:2" x14ac:dyDescent="0.25">
      <c r="A677" s="104"/>
      <c r="B677" s="104"/>
    </row>
    <row r="678" spans="1:2" x14ac:dyDescent="0.25">
      <c r="A678" s="104"/>
      <c r="B678" s="104"/>
    </row>
    <row r="679" spans="1:2" x14ac:dyDescent="0.25">
      <c r="A679" s="104"/>
      <c r="B679" s="104"/>
    </row>
    <row r="680" spans="1:2" x14ac:dyDescent="0.25">
      <c r="A680" s="104"/>
      <c r="B680" s="104"/>
    </row>
    <row r="681" spans="1:2" x14ac:dyDescent="0.25">
      <c r="A681" s="104"/>
      <c r="B681" s="104"/>
    </row>
    <row r="682" spans="1:2" x14ac:dyDescent="0.25">
      <c r="A682" s="104"/>
      <c r="B682" s="104"/>
    </row>
    <row r="683" spans="1:2" x14ac:dyDescent="0.25">
      <c r="A683" s="104"/>
      <c r="B683" s="104"/>
    </row>
    <row r="684" spans="1:2" x14ac:dyDescent="0.25">
      <c r="A684" s="104"/>
      <c r="B684" s="104"/>
    </row>
    <row r="685" spans="1:2" x14ac:dyDescent="0.25">
      <c r="A685" s="104"/>
      <c r="B685" s="104"/>
    </row>
    <row r="686" spans="1:2" x14ac:dyDescent="0.25">
      <c r="A686" s="104"/>
      <c r="B686" s="104"/>
    </row>
    <row r="687" spans="1:2" x14ac:dyDescent="0.25">
      <c r="A687" s="104"/>
      <c r="B687" s="104"/>
    </row>
    <row r="688" spans="1:2" x14ac:dyDescent="0.25">
      <c r="A688" s="104"/>
      <c r="B688" s="104"/>
    </row>
    <row r="689" spans="1:2" x14ac:dyDescent="0.25">
      <c r="A689" s="104"/>
      <c r="B689" s="104"/>
    </row>
    <row r="690" spans="1:2" x14ac:dyDescent="0.25">
      <c r="A690" s="104"/>
      <c r="B690" s="104"/>
    </row>
    <row r="691" spans="1:2" x14ac:dyDescent="0.25">
      <c r="A691" s="104"/>
      <c r="B691" s="104"/>
    </row>
    <row r="692" spans="1:2" x14ac:dyDescent="0.25">
      <c r="A692" s="104"/>
      <c r="B692" s="104"/>
    </row>
    <row r="693" spans="1:2" x14ac:dyDescent="0.25">
      <c r="A693" s="104"/>
      <c r="B693" s="104"/>
    </row>
    <row r="694" spans="1:2" x14ac:dyDescent="0.25">
      <c r="A694" s="104"/>
      <c r="B694" s="104"/>
    </row>
    <row r="695" spans="1:2" x14ac:dyDescent="0.25">
      <c r="A695" s="104"/>
      <c r="B695" s="104"/>
    </row>
    <row r="696" spans="1:2" x14ac:dyDescent="0.25">
      <c r="A696" s="104"/>
      <c r="B696" s="104"/>
    </row>
    <row r="697" spans="1:2" x14ac:dyDescent="0.25">
      <c r="A697" s="104"/>
      <c r="B697" s="104"/>
    </row>
    <row r="698" spans="1:2" x14ac:dyDescent="0.25">
      <c r="A698" s="104"/>
      <c r="B698" s="104"/>
    </row>
    <row r="699" spans="1:2" x14ac:dyDescent="0.25">
      <c r="A699" s="104"/>
      <c r="B699" s="104"/>
    </row>
    <row r="700" spans="1:2" x14ac:dyDescent="0.25">
      <c r="A700" s="104"/>
      <c r="B700" s="104"/>
    </row>
    <row r="701" spans="1:2" x14ac:dyDescent="0.25">
      <c r="A701" s="104"/>
      <c r="B701" s="104"/>
    </row>
    <row r="702" spans="1:2" x14ac:dyDescent="0.25">
      <c r="A702" s="104"/>
      <c r="B702" s="104"/>
    </row>
    <row r="703" spans="1:2" x14ac:dyDescent="0.25">
      <c r="A703" s="104"/>
      <c r="B703" s="104"/>
    </row>
    <row r="704" spans="1:2" x14ac:dyDescent="0.25">
      <c r="A704" s="104"/>
      <c r="B704" s="104"/>
    </row>
    <row r="705" spans="1:2" x14ac:dyDescent="0.25">
      <c r="A705" s="104"/>
      <c r="B705" s="104"/>
    </row>
    <row r="706" spans="1:2" x14ac:dyDescent="0.25">
      <c r="A706" s="104"/>
      <c r="B706" s="104"/>
    </row>
    <row r="707" spans="1:2" x14ac:dyDescent="0.25">
      <c r="A707" s="104"/>
      <c r="B707" s="104"/>
    </row>
    <row r="708" spans="1:2" x14ac:dyDescent="0.25">
      <c r="A708" s="104"/>
      <c r="B708" s="104"/>
    </row>
    <row r="709" spans="1:2" x14ac:dyDescent="0.25">
      <c r="A709" s="104"/>
      <c r="B709" s="104"/>
    </row>
    <row r="710" spans="1:2" x14ac:dyDescent="0.25">
      <c r="A710" s="104"/>
      <c r="B710" s="104"/>
    </row>
    <row r="711" spans="1:2" x14ac:dyDescent="0.25">
      <c r="A711" s="104"/>
      <c r="B711" s="104"/>
    </row>
    <row r="712" spans="1:2" x14ac:dyDescent="0.25">
      <c r="A712" s="104"/>
      <c r="B712" s="104"/>
    </row>
    <row r="713" spans="1:2" x14ac:dyDescent="0.25">
      <c r="A713" s="104"/>
      <c r="B713" s="104"/>
    </row>
    <row r="714" spans="1:2" x14ac:dyDescent="0.25">
      <c r="A714" s="104"/>
      <c r="B714" s="104"/>
    </row>
    <row r="715" spans="1:2" x14ac:dyDescent="0.25">
      <c r="A715" s="104"/>
      <c r="B715" s="104"/>
    </row>
    <row r="716" spans="1:2" x14ac:dyDescent="0.25">
      <c r="A716" s="104"/>
      <c r="B716" s="104"/>
    </row>
    <row r="717" spans="1:2" x14ac:dyDescent="0.25">
      <c r="A717" s="104"/>
      <c r="B717" s="104"/>
    </row>
    <row r="718" spans="1:2" x14ac:dyDescent="0.25">
      <c r="A718" s="104"/>
      <c r="B718" s="104"/>
    </row>
    <row r="719" spans="1:2" x14ac:dyDescent="0.25">
      <c r="A719" s="104"/>
      <c r="B719" s="104"/>
    </row>
    <row r="720" spans="1:2" x14ac:dyDescent="0.25">
      <c r="A720" s="104"/>
      <c r="B720" s="104"/>
    </row>
    <row r="721" spans="1:2" x14ac:dyDescent="0.25">
      <c r="A721" s="104"/>
      <c r="B721" s="104"/>
    </row>
    <row r="722" spans="1:2" x14ac:dyDescent="0.25">
      <c r="A722" s="104"/>
      <c r="B722" s="104"/>
    </row>
    <row r="723" spans="1:2" x14ac:dyDescent="0.25">
      <c r="A723" s="104"/>
      <c r="B723" s="104"/>
    </row>
    <row r="724" spans="1:2" x14ac:dyDescent="0.25">
      <c r="A724" s="104"/>
      <c r="B724" s="104"/>
    </row>
    <row r="725" spans="1:2" x14ac:dyDescent="0.25">
      <c r="A725" s="104"/>
      <c r="B725" s="104"/>
    </row>
    <row r="726" spans="1:2" x14ac:dyDescent="0.25">
      <c r="A726" s="104"/>
      <c r="B726" s="104"/>
    </row>
    <row r="727" spans="1:2" x14ac:dyDescent="0.25">
      <c r="A727" s="104"/>
      <c r="B727" s="104"/>
    </row>
    <row r="728" spans="1:2" x14ac:dyDescent="0.25">
      <c r="A728" s="104"/>
      <c r="B728" s="104"/>
    </row>
    <row r="729" spans="1:2" x14ac:dyDescent="0.25">
      <c r="A729" s="104"/>
      <c r="B729" s="104"/>
    </row>
    <row r="730" spans="1:2" x14ac:dyDescent="0.25">
      <c r="A730" s="104"/>
      <c r="B730" s="104"/>
    </row>
    <row r="731" spans="1:2" x14ac:dyDescent="0.25">
      <c r="A731" s="104"/>
      <c r="B731" s="104"/>
    </row>
    <row r="732" spans="1:2" x14ac:dyDescent="0.25">
      <c r="A732" s="104"/>
      <c r="B732" s="104"/>
    </row>
    <row r="733" spans="1:2" x14ac:dyDescent="0.25">
      <c r="A733" s="104"/>
      <c r="B733" s="104"/>
    </row>
    <row r="734" spans="1:2" x14ac:dyDescent="0.25">
      <c r="A734" s="104"/>
      <c r="B734" s="104"/>
    </row>
    <row r="735" spans="1:2" x14ac:dyDescent="0.25">
      <c r="A735" s="104"/>
      <c r="B735" s="104"/>
    </row>
    <row r="736" spans="1:2" x14ac:dyDescent="0.25">
      <c r="A736" s="104"/>
      <c r="B736" s="104"/>
    </row>
    <row r="737" spans="1:2" x14ac:dyDescent="0.25">
      <c r="A737" s="104"/>
      <c r="B737" s="104"/>
    </row>
    <row r="738" spans="1:2" x14ac:dyDescent="0.25">
      <c r="A738" s="104"/>
      <c r="B738" s="104"/>
    </row>
    <row r="739" spans="1:2" x14ac:dyDescent="0.25">
      <c r="A739" s="104"/>
      <c r="B739" s="104"/>
    </row>
    <row r="740" spans="1:2" x14ac:dyDescent="0.25">
      <c r="A740" s="104"/>
      <c r="B740" s="104"/>
    </row>
    <row r="741" spans="1:2" x14ac:dyDescent="0.25">
      <c r="A741" s="104"/>
      <c r="B741" s="104"/>
    </row>
    <row r="742" spans="1:2" x14ac:dyDescent="0.25">
      <c r="A742" s="104"/>
      <c r="B742" s="104"/>
    </row>
    <row r="743" spans="1:2" x14ac:dyDescent="0.25">
      <c r="A743" s="104"/>
      <c r="B743" s="104"/>
    </row>
    <row r="744" spans="1:2" x14ac:dyDescent="0.25">
      <c r="A744" s="104"/>
      <c r="B744" s="104"/>
    </row>
    <row r="745" spans="1:2" x14ac:dyDescent="0.25">
      <c r="A745" s="104"/>
      <c r="B745" s="104"/>
    </row>
    <row r="746" spans="1:2" x14ac:dyDescent="0.25">
      <c r="A746" s="104"/>
      <c r="B746" s="104"/>
    </row>
    <row r="747" spans="1:2" x14ac:dyDescent="0.25">
      <c r="A747" s="104"/>
      <c r="B747" s="104"/>
    </row>
    <row r="748" spans="1:2" x14ac:dyDescent="0.25">
      <c r="A748" s="104"/>
      <c r="B748" s="104"/>
    </row>
    <row r="749" spans="1:2" x14ac:dyDescent="0.25">
      <c r="A749" s="104"/>
      <c r="B749" s="104"/>
    </row>
    <row r="750" spans="1:2" x14ac:dyDescent="0.25">
      <c r="A750" s="104"/>
      <c r="B750" s="104"/>
    </row>
    <row r="751" spans="1:2" x14ac:dyDescent="0.25">
      <c r="A751" s="104"/>
      <c r="B751" s="104"/>
    </row>
    <row r="752" spans="1:2" x14ac:dyDescent="0.25">
      <c r="A752" s="104"/>
      <c r="B752" s="104"/>
    </row>
    <row r="753" spans="1:2" x14ac:dyDescent="0.25">
      <c r="A753" s="104"/>
      <c r="B753" s="104"/>
    </row>
    <row r="754" spans="1:2" x14ac:dyDescent="0.25">
      <c r="A754" s="104"/>
      <c r="B754" s="104"/>
    </row>
    <row r="755" spans="1:2" x14ac:dyDescent="0.25">
      <c r="A755" s="104"/>
      <c r="B755" s="104"/>
    </row>
    <row r="756" spans="1:2" x14ac:dyDescent="0.25">
      <c r="A756" s="104"/>
      <c r="B756" s="104"/>
    </row>
    <row r="757" spans="1:2" x14ac:dyDescent="0.25">
      <c r="A757" s="104"/>
      <c r="B757" s="104"/>
    </row>
    <row r="758" spans="1:2" x14ac:dyDescent="0.25">
      <c r="A758" s="104"/>
      <c r="B758" s="104"/>
    </row>
    <row r="759" spans="1:2" x14ac:dyDescent="0.25">
      <c r="A759" s="104"/>
      <c r="B759" s="104"/>
    </row>
    <row r="760" spans="1:2" x14ac:dyDescent="0.25">
      <c r="A760" s="104"/>
      <c r="B760" s="104"/>
    </row>
    <row r="761" spans="1:2" x14ac:dyDescent="0.25">
      <c r="A761" s="104"/>
      <c r="B761" s="104"/>
    </row>
    <row r="762" spans="1:2" x14ac:dyDescent="0.25">
      <c r="A762" s="104"/>
      <c r="B762" s="104"/>
    </row>
    <row r="763" spans="1:2" x14ac:dyDescent="0.25">
      <c r="A763" s="104"/>
      <c r="B763" s="104"/>
    </row>
    <row r="764" spans="1:2" x14ac:dyDescent="0.25">
      <c r="A764" s="104"/>
      <c r="B764" s="104"/>
    </row>
    <row r="765" spans="1:2" x14ac:dyDescent="0.25">
      <c r="A765" s="104"/>
      <c r="B765" s="104"/>
    </row>
    <row r="766" spans="1:2" x14ac:dyDescent="0.25">
      <c r="A766" s="104"/>
      <c r="B766" s="104"/>
    </row>
    <row r="767" spans="1:2" x14ac:dyDescent="0.25">
      <c r="A767" s="104"/>
      <c r="B767" s="104"/>
    </row>
    <row r="768" spans="1:2" x14ac:dyDescent="0.25">
      <c r="A768" s="104"/>
      <c r="B768" s="104"/>
    </row>
    <row r="769" spans="1:2" x14ac:dyDescent="0.25">
      <c r="A769" s="104"/>
      <c r="B769" s="104"/>
    </row>
    <row r="770" spans="1:2" x14ac:dyDescent="0.25">
      <c r="A770" s="104"/>
      <c r="B770" s="104"/>
    </row>
    <row r="771" spans="1:2" x14ac:dyDescent="0.25">
      <c r="A771" s="104"/>
      <c r="B771" s="104"/>
    </row>
    <row r="772" spans="1:2" x14ac:dyDescent="0.25">
      <c r="A772" s="104"/>
      <c r="B772" s="104"/>
    </row>
    <row r="773" spans="1:2" x14ac:dyDescent="0.25">
      <c r="A773" s="104"/>
      <c r="B773" s="104"/>
    </row>
    <row r="774" spans="1:2" x14ac:dyDescent="0.25">
      <c r="A774" s="104"/>
      <c r="B774" s="104"/>
    </row>
    <row r="775" spans="1:2" x14ac:dyDescent="0.25">
      <c r="A775" s="104"/>
      <c r="B775" s="104"/>
    </row>
    <row r="776" spans="1:2" x14ac:dyDescent="0.25">
      <c r="A776" s="104"/>
      <c r="B776" s="104"/>
    </row>
    <row r="777" spans="1:2" x14ac:dyDescent="0.25">
      <c r="A777" s="104"/>
      <c r="B777" s="104"/>
    </row>
    <row r="778" spans="1:2" x14ac:dyDescent="0.25">
      <c r="A778" s="104"/>
      <c r="B778" s="104"/>
    </row>
    <row r="779" spans="1:2" x14ac:dyDescent="0.25">
      <c r="A779" s="104"/>
      <c r="B779" s="104"/>
    </row>
    <row r="780" spans="1:2" x14ac:dyDescent="0.25">
      <c r="A780" s="104"/>
      <c r="B780" s="104"/>
    </row>
    <row r="781" spans="1:2" x14ac:dyDescent="0.25">
      <c r="A781" s="104"/>
      <c r="B781" s="104"/>
    </row>
    <row r="782" spans="1:2" x14ac:dyDescent="0.25">
      <c r="A782" s="104"/>
      <c r="B782" s="104"/>
    </row>
    <row r="783" spans="1:2" x14ac:dyDescent="0.25">
      <c r="A783" s="104"/>
      <c r="B783" s="104"/>
    </row>
    <row r="784" spans="1:2" x14ac:dyDescent="0.25">
      <c r="A784" s="104"/>
      <c r="B784" s="104"/>
    </row>
    <row r="785" spans="1:2" x14ac:dyDescent="0.25">
      <c r="A785" s="104"/>
      <c r="B785" s="104"/>
    </row>
    <row r="786" spans="1:2" x14ac:dyDescent="0.25">
      <c r="A786" s="104"/>
      <c r="B786" s="104"/>
    </row>
    <row r="787" spans="1:2" x14ac:dyDescent="0.25">
      <c r="A787" s="104"/>
      <c r="B787" s="104"/>
    </row>
    <row r="788" spans="1:2" x14ac:dyDescent="0.25">
      <c r="A788" s="104"/>
      <c r="B788" s="104"/>
    </row>
    <row r="789" spans="1:2" x14ac:dyDescent="0.25">
      <c r="A789" s="104"/>
      <c r="B789" s="104"/>
    </row>
    <row r="790" spans="1:2" x14ac:dyDescent="0.25">
      <c r="A790" s="104"/>
      <c r="B790" s="104"/>
    </row>
    <row r="791" spans="1:2" x14ac:dyDescent="0.25">
      <c r="A791" s="104"/>
      <c r="B791" s="104"/>
    </row>
    <row r="792" spans="1:2" x14ac:dyDescent="0.25">
      <c r="A792" s="104"/>
      <c r="B792" s="104"/>
    </row>
    <row r="793" spans="1:2" x14ac:dyDescent="0.25">
      <c r="A793" s="104"/>
      <c r="B793" s="104"/>
    </row>
    <row r="794" spans="1:2" x14ac:dyDescent="0.25">
      <c r="A794" s="104"/>
      <c r="B794" s="104"/>
    </row>
    <row r="795" spans="1:2" x14ac:dyDescent="0.25">
      <c r="A795" s="104"/>
      <c r="B795" s="104"/>
    </row>
    <row r="796" spans="1:2" x14ac:dyDescent="0.25">
      <c r="A796" s="104"/>
      <c r="B796" s="104"/>
    </row>
    <row r="797" spans="1:2" x14ac:dyDescent="0.25">
      <c r="A797" s="104"/>
      <c r="B797" s="104"/>
    </row>
    <row r="798" spans="1:2" x14ac:dyDescent="0.25">
      <c r="A798" s="104"/>
      <c r="B798" s="104"/>
    </row>
    <row r="799" spans="1:2" x14ac:dyDescent="0.25">
      <c r="A799" s="104"/>
      <c r="B799" s="104"/>
    </row>
    <row r="800" spans="1:2" x14ac:dyDescent="0.25">
      <c r="A800" s="104"/>
      <c r="B800" s="104"/>
    </row>
    <row r="801" spans="1:2" x14ac:dyDescent="0.25">
      <c r="A801" s="104"/>
      <c r="B801" s="104"/>
    </row>
    <row r="802" spans="1:2" x14ac:dyDescent="0.25">
      <c r="A802" s="104"/>
      <c r="B802" s="104"/>
    </row>
    <row r="803" spans="1:2" x14ac:dyDescent="0.25">
      <c r="A803" s="104"/>
      <c r="B803" s="104"/>
    </row>
    <row r="804" spans="1:2" x14ac:dyDescent="0.25">
      <c r="A804" s="104"/>
      <c r="B804" s="104"/>
    </row>
    <row r="805" spans="1:2" x14ac:dyDescent="0.25">
      <c r="A805" s="104"/>
      <c r="B805" s="104"/>
    </row>
    <row r="806" spans="1:2" x14ac:dyDescent="0.25">
      <c r="A806" s="104"/>
      <c r="B806" s="104"/>
    </row>
    <row r="807" spans="1:2" x14ac:dyDescent="0.25">
      <c r="A807" s="104"/>
      <c r="B807" s="104"/>
    </row>
    <row r="808" spans="1:2" x14ac:dyDescent="0.25">
      <c r="A808" s="104"/>
      <c r="B808" s="104"/>
    </row>
    <row r="809" spans="1:2" x14ac:dyDescent="0.25">
      <c r="A809" s="104"/>
      <c r="B809" s="104"/>
    </row>
    <row r="810" spans="1:2" x14ac:dyDescent="0.25">
      <c r="A810" s="104"/>
      <c r="B810" s="104"/>
    </row>
    <row r="811" spans="1:2" x14ac:dyDescent="0.25">
      <c r="A811" s="104"/>
      <c r="B811" s="104"/>
    </row>
    <row r="812" spans="1:2" x14ac:dyDescent="0.25">
      <c r="A812" s="104"/>
      <c r="B812" s="104"/>
    </row>
    <row r="813" spans="1:2" x14ac:dyDescent="0.25">
      <c r="A813" s="104"/>
      <c r="B813" s="104"/>
    </row>
    <row r="814" spans="1:2" x14ac:dyDescent="0.25">
      <c r="A814" s="104"/>
      <c r="B814" s="104"/>
    </row>
    <row r="815" spans="1:2" x14ac:dyDescent="0.25">
      <c r="A815" s="104"/>
      <c r="B815" s="104"/>
    </row>
    <row r="816" spans="1:2" x14ac:dyDescent="0.25">
      <c r="A816" s="104"/>
      <c r="B816" s="104"/>
    </row>
    <row r="817" spans="1:2" x14ac:dyDescent="0.25">
      <c r="A817" s="104"/>
      <c r="B817" s="104"/>
    </row>
    <row r="818" spans="1:2" x14ac:dyDescent="0.25">
      <c r="A818" s="104"/>
      <c r="B818" s="104"/>
    </row>
    <row r="819" spans="1:2" x14ac:dyDescent="0.25">
      <c r="A819" s="104"/>
      <c r="B819" s="104"/>
    </row>
    <row r="820" spans="1:2" x14ac:dyDescent="0.25">
      <c r="A820" s="104"/>
      <c r="B820" s="104"/>
    </row>
    <row r="821" spans="1:2" x14ac:dyDescent="0.25">
      <c r="A821" s="104"/>
      <c r="B821" s="104"/>
    </row>
    <row r="822" spans="1:2" x14ac:dyDescent="0.25">
      <c r="A822" s="104"/>
      <c r="B822" s="104"/>
    </row>
    <row r="823" spans="1:2" x14ac:dyDescent="0.25">
      <c r="A823" s="104"/>
      <c r="B823" s="104"/>
    </row>
    <row r="824" spans="1:2" x14ac:dyDescent="0.25">
      <c r="A824" s="104"/>
      <c r="B824" s="104"/>
    </row>
    <row r="825" spans="1:2" x14ac:dyDescent="0.25">
      <c r="A825" s="104"/>
      <c r="B825" s="104"/>
    </row>
    <row r="826" spans="1:2" x14ac:dyDescent="0.25">
      <c r="A826" s="104"/>
      <c r="B826" s="104"/>
    </row>
    <row r="827" spans="1:2" x14ac:dyDescent="0.25">
      <c r="A827" s="104"/>
      <c r="B827" s="104"/>
    </row>
    <row r="828" spans="1:2" x14ac:dyDescent="0.25">
      <c r="A828" s="104"/>
      <c r="B828" s="104"/>
    </row>
    <row r="829" spans="1:2" x14ac:dyDescent="0.25">
      <c r="A829" s="104"/>
      <c r="B829" s="104"/>
    </row>
    <row r="830" spans="1:2" x14ac:dyDescent="0.25">
      <c r="A830" s="104"/>
      <c r="B830" s="104"/>
    </row>
    <row r="831" spans="1:2" x14ac:dyDescent="0.25">
      <c r="A831" s="104"/>
      <c r="B831" s="104"/>
    </row>
    <row r="832" spans="1:2" x14ac:dyDescent="0.25">
      <c r="A832" s="104"/>
      <c r="B832" s="104"/>
    </row>
    <row r="833" spans="1:2" x14ac:dyDescent="0.25">
      <c r="A833" s="104"/>
      <c r="B833" s="104"/>
    </row>
    <row r="834" spans="1:2" x14ac:dyDescent="0.25">
      <c r="A834" s="104"/>
      <c r="B834" s="104"/>
    </row>
    <row r="835" spans="1:2" x14ac:dyDescent="0.25">
      <c r="A835" s="104"/>
      <c r="B835" s="104"/>
    </row>
    <row r="836" spans="1:2" x14ac:dyDescent="0.25">
      <c r="A836" s="104"/>
      <c r="B836" s="104"/>
    </row>
    <row r="837" spans="1:2" x14ac:dyDescent="0.25">
      <c r="A837" s="104"/>
      <c r="B837" s="104"/>
    </row>
    <row r="838" spans="1:2" x14ac:dyDescent="0.25">
      <c r="A838" s="104"/>
      <c r="B838" s="104"/>
    </row>
    <row r="839" spans="1:2" x14ac:dyDescent="0.25">
      <c r="A839" s="104"/>
      <c r="B839" s="104"/>
    </row>
    <row r="840" spans="1:2" x14ac:dyDescent="0.25">
      <c r="A840" s="104"/>
      <c r="B840" s="104"/>
    </row>
    <row r="841" spans="1:2" x14ac:dyDescent="0.25">
      <c r="A841" s="104"/>
      <c r="B841" s="104"/>
    </row>
    <row r="842" spans="1:2" x14ac:dyDescent="0.25">
      <c r="A842" s="104"/>
      <c r="B842" s="104"/>
    </row>
    <row r="843" spans="1:2" x14ac:dyDescent="0.25">
      <c r="A843" s="104"/>
      <c r="B843" s="104"/>
    </row>
    <row r="844" spans="1:2" x14ac:dyDescent="0.25">
      <c r="A844" s="104"/>
      <c r="B844" s="104"/>
    </row>
    <row r="845" spans="1:2" x14ac:dyDescent="0.25">
      <c r="A845" s="104"/>
      <c r="B845" s="104"/>
    </row>
    <row r="846" spans="1:2" x14ac:dyDescent="0.25">
      <c r="A846" s="104"/>
      <c r="B846" s="104"/>
    </row>
    <row r="847" spans="1:2" x14ac:dyDescent="0.25">
      <c r="A847" s="104"/>
      <c r="B847" s="104"/>
    </row>
    <row r="848" spans="1:2" x14ac:dyDescent="0.25">
      <c r="A848" s="104"/>
      <c r="B848" s="104"/>
    </row>
    <row r="849" spans="1:2" x14ac:dyDescent="0.25">
      <c r="A849" s="104"/>
      <c r="B849" s="104"/>
    </row>
    <row r="850" spans="1:2" x14ac:dyDescent="0.25">
      <c r="A850" s="104"/>
      <c r="B850" s="104"/>
    </row>
    <row r="851" spans="1:2" x14ac:dyDescent="0.25">
      <c r="A851" s="104"/>
      <c r="B851" s="104"/>
    </row>
    <row r="852" spans="1:2" x14ac:dyDescent="0.25">
      <c r="A852" s="104"/>
      <c r="B852" s="104"/>
    </row>
    <row r="853" spans="1:2" x14ac:dyDescent="0.25">
      <c r="A853" s="104"/>
      <c r="B853" s="104"/>
    </row>
    <row r="854" spans="1:2" x14ac:dyDescent="0.25">
      <c r="A854" s="104"/>
      <c r="B854" s="104"/>
    </row>
    <row r="855" spans="1:2" x14ac:dyDescent="0.25">
      <c r="A855" s="104"/>
      <c r="B855" s="104"/>
    </row>
    <row r="856" spans="1:2" x14ac:dyDescent="0.25">
      <c r="A856" s="104"/>
      <c r="B856" s="104"/>
    </row>
    <row r="857" spans="1:2" x14ac:dyDescent="0.25">
      <c r="A857" s="104"/>
      <c r="B857" s="104"/>
    </row>
    <row r="858" spans="1:2" x14ac:dyDescent="0.25">
      <c r="A858" s="104"/>
      <c r="B858" s="104"/>
    </row>
    <row r="859" spans="1:2" x14ac:dyDescent="0.25">
      <c r="A859" s="104"/>
      <c r="B859" s="104"/>
    </row>
    <row r="860" spans="1:2" x14ac:dyDescent="0.25">
      <c r="A860" s="104"/>
      <c r="B860" s="104"/>
    </row>
    <row r="861" spans="1:2" x14ac:dyDescent="0.25">
      <c r="A861" s="104"/>
      <c r="B861" s="104"/>
    </row>
    <row r="862" spans="1:2" x14ac:dyDescent="0.25">
      <c r="A862" s="104"/>
      <c r="B862" s="104"/>
    </row>
    <row r="863" spans="1:2" x14ac:dyDescent="0.25">
      <c r="A863" s="104"/>
      <c r="B863" s="104"/>
    </row>
    <row r="864" spans="1:2" x14ac:dyDescent="0.25">
      <c r="A864" s="104"/>
      <c r="B864" s="104"/>
    </row>
    <row r="865" spans="1:2" x14ac:dyDescent="0.25">
      <c r="A865" s="104"/>
      <c r="B865" s="104"/>
    </row>
    <row r="866" spans="1:2" x14ac:dyDescent="0.25">
      <c r="A866" s="104"/>
      <c r="B866" s="104"/>
    </row>
    <row r="867" spans="1:2" x14ac:dyDescent="0.25">
      <c r="A867" s="104"/>
      <c r="B867" s="104"/>
    </row>
    <row r="868" spans="1:2" x14ac:dyDescent="0.25">
      <c r="A868" s="104"/>
      <c r="B868" s="104"/>
    </row>
    <row r="869" spans="1:2" x14ac:dyDescent="0.25">
      <c r="A869" s="104"/>
      <c r="B869" s="104"/>
    </row>
    <row r="870" spans="1:2" x14ac:dyDescent="0.25">
      <c r="A870" s="104"/>
      <c r="B870" s="104"/>
    </row>
    <row r="871" spans="1:2" x14ac:dyDescent="0.25">
      <c r="A871" s="104"/>
      <c r="B871" s="104"/>
    </row>
    <row r="872" spans="1:2" x14ac:dyDescent="0.25">
      <c r="A872" s="104"/>
      <c r="B872" s="104"/>
    </row>
    <row r="873" spans="1:2" x14ac:dyDescent="0.25">
      <c r="A873" s="104"/>
      <c r="B873" s="104"/>
    </row>
    <row r="874" spans="1:2" x14ac:dyDescent="0.25">
      <c r="A874" s="104"/>
      <c r="B874" s="104"/>
    </row>
    <row r="875" spans="1:2" x14ac:dyDescent="0.25">
      <c r="A875" s="104"/>
      <c r="B875" s="104"/>
    </row>
    <row r="876" spans="1:2" x14ac:dyDescent="0.25">
      <c r="A876" s="104"/>
      <c r="B876" s="104"/>
    </row>
    <row r="877" spans="1:2" x14ac:dyDescent="0.25">
      <c r="A877" s="104"/>
      <c r="B877" s="104"/>
    </row>
    <row r="878" spans="1:2" x14ac:dyDescent="0.25">
      <c r="A878" s="104"/>
      <c r="B878" s="104"/>
    </row>
    <row r="879" spans="1:2" x14ac:dyDescent="0.25">
      <c r="A879" s="104"/>
      <c r="B879" s="104"/>
    </row>
    <row r="880" spans="1:2" x14ac:dyDescent="0.25">
      <c r="A880" s="104"/>
      <c r="B880" s="104"/>
    </row>
    <row r="881" spans="1:2" x14ac:dyDescent="0.25">
      <c r="A881" s="104"/>
      <c r="B881" s="104"/>
    </row>
    <row r="882" spans="1:2" x14ac:dyDescent="0.25">
      <c r="A882" s="104"/>
      <c r="B882" s="104"/>
    </row>
    <row r="883" spans="1:2" x14ac:dyDescent="0.25">
      <c r="A883" s="104"/>
      <c r="B883" s="104"/>
    </row>
    <row r="884" spans="1:2" x14ac:dyDescent="0.25">
      <c r="A884" s="104"/>
      <c r="B884" s="104"/>
    </row>
    <row r="885" spans="1:2" x14ac:dyDescent="0.25">
      <c r="A885" s="104"/>
      <c r="B885" s="104"/>
    </row>
    <row r="886" spans="1:2" x14ac:dyDescent="0.25">
      <c r="A886" s="104"/>
      <c r="B886" s="104"/>
    </row>
    <row r="887" spans="1:2" x14ac:dyDescent="0.25">
      <c r="A887" s="104"/>
      <c r="B887" s="104"/>
    </row>
    <row r="888" spans="1:2" x14ac:dyDescent="0.25">
      <c r="A888" s="104"/>
      <c r="B888" s="104"/>
    </row>
    <row r="889" spans="1:2" x14ac:dyDescent="0.25">
      <c r="A889" s="104"/>
      <c r="B889" s="104"/>
    </row>
    <row r="890" spans="1:2" x14ac:dyDescent="0.25">
      <c r="A890" s="104"/>
      <c r="B890" s="104"/>
    </row>
    <row r="891" spans="1:2" x14ac:dyDescent="0.25">
      <c r="A891" s="104"/>
      <c r="B891" s="104"/>
    </row>
    <row r="892" spans="1:2" x14ac:dyDescent="0.25">
      <c r="A892" s="104"/>
      <c r="B892" s="104"/>
    </row>
    <row r="893" spans="1:2" x14ac:dyDescent="0.25">
      <c r="A893" s="104"/>
      <c r="B893" s="104"/>
    </row>
    <row r="894" spans="1:2" x14ac:dyDescent="0.25">
      <c r="A894" s="104"/>
      <c r="B894" s="104"/>
    </row>
    <row r="895" spans="1:2" x14ac:dyDescent="0.25">
      <c r="A895" s="104"/>
      <c r="B895" s="104"/>
    </row>
    <row r="896" spans="1:2" x14ac:dyDescent="0.25">
      <c r="A896" s="104"/>
      <c r="B896" s="104"/>
    </row>
    <row r="897" spans="1:2" x14ac:dyDescent="0.25">
      <c r="A897" s="104"/>
      <c r="B897" s="104"/>
    </row>
    <row r="898" spans="1:2" x14ac:dyDescent="0.25">
      <c r="A898" s="104"/>
      <c r="B898" s="104"/>
    </row>
    <row r="899" spans="1:2" x14ac:dyDescent="0.25">
      <c r="A899" s="104"/>
      <c r="B899" s="104"/>
    </row>
    <row r="900" spans="1:2" x14ac:dyDescent="0.25">
      <c r="A900" s="104"/>
      <c r="B900" s="104"/>
    </row>
    <row r="901" spans="1:2" x14ac:dyDescent="0.25">
      <c r="A901" s="104"/>
      <c r="B901" s="104"/>
    </row>
    <row r="902" spans="1:2" x14ac:dyDescent="0.25">
      <c r="A902" s="104"/>
      <c r="B902" s="104"/>
    </row>
    <row r="903" spans="1:2" x14ac:dyDescent="0.25">
      <c r="A903" s="104"/>
      <c r="B903" s="104"/>
    </row>
    <row r="904" spans="1:2" x14ac:dyDescent="0.25">
      <c r="A904" s="104"/>
      <c r="B904" s="104"/>
    </row>
    <row r="905" spans="1:2" x14ac:dyDescent="0.25">
      <c r="A905" s="104"/>
      <c r="B905" s="104"/>
    </row>
    <row r="906" spans="1:2" x14ac:dyDescent="0.25">
      <c r="A906" s="104"/>
      <c r="B906" s="104"/>
    </row>
    <row r="907" spans="1:2" x14ac:dyDescent="0.25">
      <c r="A907" s="104"/>
      <c r="B907" s="104"/>
    </row>
    <row r="908" spans="1:2" x14ac:dyDescent="0.25">
      <c r="A908" s="104"/>
      <c r="B908" s="104"/>
    </row>
    <row r="909" spans="1:2" x14ac:dyDescent="0.25">
      <c r="A909" s="104"/>
      <c r="B909" s="104"/>
    </row>
    <row r="910" spans="1:2" x14ac:dyDescent="0.25">
      <c r="A910" s="104"/>
      <c r="B910" s="104"/>
    </row>
    <row r="911" spans="1:2" x14ac:dyDescent="0.25">
      <c r="A911" s="104"/>
      <c r="B911" s="104"/>
    </row>
    <row r="912" spans="1:2" x14ac:dyDescent="0.25">
      <c r="A912" s="104"/>
      <c r="B912" s="104"/>
    </row>
    <row r="913" spans="1:2" x14ac:dyDescent="0.25">
      <c r="A913" s="104"/>
      <c r="B913" s="104"/>
    </row>
    <row r="914" spans="1:2" x14ac:dyDescent="0.25">
      <c r="A914" s="104"/>
      <c r="B914" s="104"/>
    </row>
    <row r="915" spans="1:2" x14ac:dyDescent="0.25">
      <c r="A915" s="104"/>
      <c r="B915" s="104"/>
    </row>
    <row r="916" spans="1:2" x14ac:dyDescent="0.25">
      <c r="A916" s="104"/>
      <c r="B916" s="104"/>
    </row>
    <row r="917" spans="1:2" x14ac:dyDescent="0.25">
      <c r="A917" s="104"/>
      <c r="B917" s="104"/>
    </row>
    <row r="918" spans="1:2" x14ac:dyDescent="0.25">
      <c r="A918" s="104"/>
      <c r="B918" s="104"/>
    </row>
    <row r="919" spans="1:2" x14ac:dyDescent="0.25">
      <c r="A919" s="104"/>
      <c r="B919" s="104"/>
    </row>
    <row r="920" spans="1:2" x14ac:dyDescent="0.25">
      <c r="A920" s="104"/>
      <c r="B920" s="104"/>
    </row>
    <row r="921" spans="1:2" x14ac:dyDescent="0.25">
      <c r="A921" s="104"/>
      <c r="B921" s="104"/>
    </row>
    <row r="922" spans="1:2" x14ac:dyDescent="0.25">
      <c r="A922" s="104"/>
      <c r="B922" s="104"/>
    </row>
    <row r="923" spans="1:2" x14ac:dyDescent="0.25">
      <c r="A923" s="104"/>
      <c r="B923" s="104"/>
    </row>
    <row r="924" spans="1:2" x14ac:dyDescent="0.25">
      <c r="A924" s="104"/>
      <c r="B924" s="104"/>
    </row>
    <row r="925" spans="1:2" x14ac:dyDescent="0.25">
      <c r="A925" s="104"/>
      <c r="B925" s="104"/>
    </row>
    <row r="926" spans="1:2" x14ac:dyDescent="0.25">
      <c r="A926" s="104"/>
      <c r="B926" s="104"/>
    </row>
    <row r="927" spans="1:2" x14ac:dyDescent="0.25">
      <c r="A927" s="104"/>
      <c r="B927" s="104"/>
    </row>
    <row r="928" spans="1:2" x14ac:dyDescent="0.25">
      <c r="A928" s="104"/>
      <c r="B928" s="104"/>
    </row>
    <row r="929" spans="1:2" x14ac:dyDescent="0.25">
      <c r="A929" s="104"/>
      <c r="B929" s="104"/>
    </row>
    <row r="930" spans="1:2" x14ac:dyDescent="0.25">
      <c r="A930" s="104"/>
      <c r="B930" s="104"/>
    </row>
    <row r="931" spans="1:2" x14ac:dyDescent="0.25">
      <c r="A931" s="104"/>
      <c r="B931" s="104"/>
    </row>
    <row r="932" spans="1:2" x14ac:dyDescent="0.25">
      <c r="A932" s="104"/>
      <c r="B932" s="104"/>
    </row>
    <row r="933" spans="1:2" x14ac:dyDescent="0.25">
      <c r="A933" s="104"/>
      <c r="B933" s="104"/>
    </row>
    <row r="934" spans="1:2" x14ac:dyDescent="0.25">
      <c r="A934" s="104"/>
      <c r="B934" s="104"/>
    </row>
    <row r="935" spans="1:2" x14ac:dyDescent="0.25">
      <c r="A935" s="104"/>
      <c r="B935" s="104"/>
    </row>
    <row r="936" spans="1:2" x14ac:dyDescent="0.25">
      <c r="A936" s="104"/>
      <c r="B936" s="104"/>
    </row>
    <row r="937" spans="1:2" x14ac:dyDescent="0.25">
      <c r="A937" s="104"/>
      <c r="B937" s="104"/>
    </row>
    <row r="938" spans="1:2" x14ac:dyDescent="0.25">
      <c r="A938" s="104"/>
      <c r="B938" s="104"/>
    </row>
    <row r="939" spans="1:2" x14ac:dyDescent="0.25">
      <c r="A939" s="104"/>
      <c r="B939" s="104"/>
    </row>
    <row r="940" spans="1:2" x14ac:dyDescent="0.25">
      <c r="A940" s="104"/>
      <c r="B940" s="104"/>
    </row>
    <row r="941" spans="1:2" x14ac:dyDescent="0.25">
      <c r="A941" s="104"/>
      <c r="B941" s="104"/>
    </row>
    <row r="942" spans="1:2" x14ac:dyDescent="0.25">
      <c r="A942" s="104"/>
      <c r="B942" s="104"/>
    </row>
    <row r="943" spans="1:2" x14ac:dyDescent="0.25">
      <c r="A943" s="104"/>
      <c r="B943" s="104"/>
    </row>
    <row r="944" spans="1:2" x14ac:dyDescent="0.25">
      <c r="A944" s="104"/>
      <c r="B944" s="104"/>
    </row>
    <row r="945" spans="1:2" x14ac:dyDescent="0.25">
      <c r="A945" s="104"/>
      <c r="B945" s="104"/>
    </row>
    <row r="946" spans="1:2" x14ac:dyDescent="0.25">
      <c r="A946" s="104"/>
      <c r="B946" s="104"/>
    </row>
    <row r="947" spans="1:2" x14ac:dyDescent="0.25">
      <c r="A947" s="104"/>
      <c r="B947" s="104"/>
    </row>
    <row r="948" spans="1:2" x14ac:dyDescent="0.25">
      <c r="A948" s="104"/>
      <c r="B948" s="104"/>
    </row>
    <row r="949" spans="1:2" x14ac:dyDescent="0.25">
      <c r="A949" s="104"/>
      <c r="B949" s="104"/>
    </row>
    <row r="950" spans="1:2" x14ac:dyDescent="0.25">
      <c r="A950" s="104"/>
      <c r="B950" s="104"/>
    </row>
    <row r="951" spans="1:2" x14ac:dyDescent="0.25">
      <c r="A951" s="104"/>
      <c r="B951" s="104"/>
    </row>
    <row r="952" spans="1:2" x14ac:dyDescent="0.25">
      <c r="A952" s="104"/>
      <c r="B952" s="104"/>
    </row>
    <row r="953" spans="1:2" x14ac:dyDescent="0.25">
      <c r="A953" s="104"/>
      <c r="B953" s="104"/>
    </row>
    <row r="954" spans="1:2" x14ac:dyDescent="0.25">
      <c r="A954" s="104"/>
      <c r="B954" s="104"/>
    </row>
    <row r="955" spans="1:2" x14ac:dyDescent="0.25">
      <c r="A955" s="104"/>
      <c r="B955" s="104"/>
    </row>
    <row r="956" spans="1:2" x14ac:dyDescent="0.25">
      <c r="A956" s="104"/>
      <c r="B956" s="104"/>
    </row>
    <row r="957" spans="1:2" x14ac:dyDescent="0.25">
      <c r="A957" s="104"/>
      <c r="B957" s="104"/>
    </row>
    <row r="958" spans="1:2" x14ac:dyDescent="0.25">
      <c r="A958" s="104"/>
      <c r="B958" s="104"/>
    </row>
    <row r="959" spans="1:2" x14ac:dyDescent="0.25">
      <c r="A959" s="104"/>
      <c r="B959" s="104"/>
    </row>
    <row r="960" spans="1:2" x14ac:dyDescent="0.25">
      <c r="A960" s="104"/>
      <c r="B960" s="104"/>
    </row>
    <row r="961" spans="1:2" x14ac:dyDescent="0.25">
      <c r="A961" s="104"/>
      <c r="B961" s="104"/>
    </row>
    <row r="962" spans="1:2" x14ac:dyDescent="0.25">
      <c r="A962" s="104"/>
      <c r="B962" s="104"/>
    </row>
    <row r="963" spans="1:2" x14ac:dyDescent="0.25">
      <c r="A963" s="104"/>
      <c r="B963" s="104"/>
    </row>
    <row r="964" spans="1:2" x14ac:dyDescent="0.25">
      <c r="A964" s="104"/>
      <c r="B964" s="104"/>
    </row>
    <row r="965" spans="1:2" x14ac:dyDescent="0.25">
      <c r="A965" s="104"/>
      <c r="B965" s="104"/>
    </row>
    <row r="966" spans="1:2" x14ac:dyDescent="0.25">
      <c r="A966" s="104"/>
      <c r="B966" s="104"/>
    </row>
    <row r="967" spans="1:2" x14ac:dyDescent="0.25">
      <c r="A967" s="104"/>
      <c r="B967" s="104"/>
    </row>
    <row r="968" spans="1:2" x14ac:dyDescent="0.25">
      <c r="A968" s="104"/>
      <c r="B968" s="104"/>
    </row>
    <row r="969" spans="1:2" x14ac:dyDescent="0.25">
      <c r="A969" s="104"/>
      <c r="B969" s="104"/>
    </row>
    <row r="970" spans="1:2" x14ac:dyDescent="0.25">
      <c r="A970" s="104"/>
      <c r="B970" s="104"/>
    </row>
    <row r="971" spans="1:2" x14ac:dyDescent="0.25">
      <c r="A971" s="104"/>
      <c r="B971" s="104"/>
    </row>
    <row r="972" spans="1:2" x14ac:dyDescent="0.25">
      <c r="A972" s="104"/>
      <c r="B972" s="104"/>
    </row>
    <row r="973" spans="1:2" x14ac:dyDescent="0.25">
      <c r="A973" s="104"/>
      <c r="B973" s="104"/>
    </row>
    <row r="974" spans="1:2" x14ac:dyDescent="0.25">
      <c r="A974" s="104"/>
      <c r="B974" s="104"/>
    </row>
    <row r="975" spans="1:2" x14ac:dyDescent="0.25">
      <c r="A975" s="104"/>
      <c r="B975" s="104"/>
    </row>
    <row r="976" spans="1:2" x14ac:dyDescent="0.25">
      <c r="A976" s="104"/>
      <c r="B976" s="104"/>
    </row>
    <row r="977" spans="1:2" x14ac:dyDescent="0.25">
      <c r="A977" s="104"/>
      <c r="B977" s="104"/>
    </row>
    <row r="978" spans="1:2" x14ac:dyDescent="0.25">
      <c r="A978" s="104"/>
      <c r="B978" s="104"/>
    </row>
    <row r="979" spans="1:2" x14ac:dyDescent="0.25">
      <c r="A979" s="104"/>
      <c r="B979" s="104"/>
    </row>
    <row r="980" spans="1:2" x14ac:dyDescent="0.25">
      <c r="A980" s="104"/>
      <c r="B980" s="104"/>
    </row>
    <row r="981" spans="1:2" x14ac:dyDescent="0.25">
      <c r="A981" s="104"/>
      <c r="B981" s="104"/>
    </row>
    <row r="982" spans="1:2" x14ac:dyDescent="0.25">
      <c r="A982" s="104"/>
      <c r="B982" s="104"/>
    </row>
    <row r="983" spans="1:2" x14ac:dyDescent="0.25">
      <c r="A983" s="104"/>
      <c r="B983" s="104"/>
    </row>
    <row r="984" spans="1:2" x14ac:dyDescent="0.25">
      <c r="A984" s="104"/>
      <c r="B984" s="104"/>
    </row>
    <row r="985" spans="1:2" x14ac:dyDescent="0.25">
      <c r="A985" s="104"/>
      <c r="B985" s="104"/>
    </row>
    <row r="986" spans="1:2" x14ac:dyDescent="0.25">
      <c r="A986" s="104"/>
      <c r="B986" s="104"/>
    </row>
    <row r="987" spans="1:2" x14ac:dyDescent="0.25">
      <c r="A987" s="104"/>
      <c r="B987" s="104"/>
    </row>
    <row r="988" spans="1:2" x14ac:dyDescent="0.25">
      <c r="A988" s="104"/>
      <c r="B988" s="104"/>
    </row>
    <row r="989" spans="1:2" x14ac:dyDescent="0.25">
      <c r="A989" s="104"/>
      <c r="B989" s="104"/>
    </row>
    <row r="990" spans="1:2" x14ac:dyDescent="0.25">
      <c r="A990" s="104"/>
      <c r="B990" s="104"/>
    </row>
    <row r="991" spans="1:2" x14ac:dyDescent="0.25">
      <c r="A991" s="104"/>
      <c r="B991" s="104"/>
    </row>
    <row r="992" spans="1:2" x14ac:dyDescent="0.25">
      <c r="A992" s="104"/>
      <c r="B992" s="104"/>
    </row>
    <row r="993" spans="1:2" x14ac:dyDescent="0.25">
      <c r="A993" s="104"/>
      <c r="B993" s="104"/>
    </row>
    <row r="994" spans="1:2" x14ac:dyDescent="0.25">
      <c r="A994" s="104"/>
      <c r="B994" s="104"/>
    </row>
    <row r="995" spans="1:2" x14ac:dyDescent="0.25">
      <c r="A995" s="104"/>
      <c r="B995" s="104"/>
    </row>
    <row r="996" spans="1:2" x14ac:dyDescent="0.25">
      <c r="A996" s="104"/>
      <c r="B996" s="104"/>
    </row>
    <row r="997" spans="1:2" x14ac:dyDescent="0.25">
      <c r="A997" s="104"/>
      <c r="B997" s="104"/>
    </row>
    <row r="998" spans="1:2" x14ac:dyDescent="0.25">
      <c r="A998" s="104"/>
      <c r="B998" s="104"/>
    </row>
    <row r="999" spans="1:2" x14ac:dyDescent="0.25">
      <c r="A999" s="104"/>
      <c r="B999" s="104"/>
    </row>
    <row r="1000" spans="1:2" x14ac:dyDescent="0.25">
      <c r="A1000" s="104"/>
      <c r="B1000" s="104"/>
    </row>
    <row r="1001" spans="1:2" x14ac:dyDescent="0.25">
      <c r="A1001" s="104"/>
      <c r="B1001" s="104"/>
    </row>
    <row r="1002" spans="1:2" x14ac:dyDescent="0.25">
      <c r="A1002" s="104"/>
      <c r="B1002" s="104"/>
    </row>
    <row r="1003" spans="1:2" x14ac:dyDescent="0.25">
      <c r="A1003" s="104"/>
      <c r="B1003" s="104"/>
    </row>
    <row r="1004" spans="1:2" x14ac:dyDescent="0.25">
      <c r="A1004" s="104"/>
      <c r="B1004" s="104"/>
    </row>
    <row r="1005" spans="1:2" x14ac:dyDescent="0.25">
      <c r="A1005" s="104"/>
      <c r="B1005" s="104"/>
    </row>
    <row r="1006" spans="1:2" x14ac:dyDescent="0.25">
      <c r="A1006" s="104"/>
      <c r="B1006" s="104"/>
    </row>
    <row r="1007" spans="1:2" x14ac:dyDescent="0.25">
      <c r="A1007" s="104"/>
      <c r="B1007" s="104"/>
    </row>
    <row r="1008" spans="1:2" x14ac:dyDescent="0.25">
      <c r="A1008" s="104"/>
      <c r="B1008" s="104"/>
    </row>
    <row r="1009" spans="1:2" x14ac:dyDescent="0.25">
      <c r="A1009" s="104"/>
      <c r="B1009" s="104"/>
    </row>
    <row r="1010" spans="1:2" x14ac:dyDescent="0.25">
      <c r="A1010" s="104"/>
      <c r="B1010" s="104"/>
    </row>
    <row r="1011" spans="1:2" x14ac:dyDescent="0.25">
      <c r="A1011" s="104"/>
      <c r="B1011" s="104"/>
    </row>
    <row r="1012" spans="1:2" x14ac:dyDescent="0.25">
      <c r="A1012" s="104"/>
      <c r="B1012" s="104"/>
    </row>
    <row r="1013" spans="1:2" x14ac:dyDescent="0.25">
      <c r="A1013" s="104"/>
      <c r="B1013" s="104"/>
    </row>
    <row r="1014" spans="1:2" x14ac:dyDescent="0.25">
      <c r="A1014" s="104"/>
      <c r="B1014" s="104"/>
    </row>
    <row r="1015" spans="1:2" x14ac:dyDescent="0.25">
      <c r="A1015" s="104"/>
      <c r="B1015" s="104"/>
    </row>
    <row r="1016" spans="1:2" x14ac:dyDescent="0.25">
      <c r="A1016" s="104"/>
      <c r="B1016" s="104"/>
    </row>
    <row r="1017" spans="1:2" x14ac:dyDescent="0.25">
      <c r="A1017" s="104"/>
      <c r="B1017" s="104"/>
    </row>
    <row r="1018" spans="1:2" x14ac:dyDescent="0.25">
      <c r="A1018" s="104"/>
      <c r="B1018" s="104"/>
    </row>
    <row r="1019" spans="1:2" x14ac:dyDescent="0.25">
      <c r="A1019" s="104"/>
      <c r="B1019" s="104"/>
    </row>
    <row r="1020" spans="1:2" x14ac:dyDescent="0.25">
      <c r="A1020" s="104"/>
      <c r="B1020" s="104"/>
    </row>
    <row r="1021" spans="1:2" x14ac:dyDescent="0.25">
      <c r="A1021" s="104"/>
      <c r="B1021" s="104"/>
    </row>
    <row r="1022" spans="1:2" x14ac:dyDescent="0.25">
      <c r="A1022" s="104"/>
      <c r="B1022" s="104"/>
    </row>
    <row r="1023" spans="1:2" x14ac:dyDescent="0.25">
      <c r="A1023" s="104"/>
      <c r="B1023" s="104"/>
    </row>
    <row r="1024" spans="1:2" x14ac:dyDescent="0.25">
      <c r="A1024" s="104"/>
      <c r="B1024" s="104"/>
    </row>
    <row r="1025" spans="1:2" x14ac:dyDescent="0.25">
      <c r="A1025" s="104"/>
      <c r="B1025" s="104"/>
    </row>
    <row r="1026" spans="1:2" x14ac:dyDescent="0.25">
      <c r="A1026" s="104"/>
      <c r="B1026" s="104"/>
    </row>
    <row r="1027" spans="1:2" x14ac:dyDescent="0.25">
      <c r="A1027" s="104"/>
      <c r="B1027" s="104"/>
    </row>
    <row r="1028" spans="1:2" x14ac:dyDescent="0.25">
      <c r="A1028" s="104"/>
      <c r="B1028" s="104"/>
    </row>
    <row r="1029" spans="1:2" x14ac:dyDescent="0.25">
      <c r="A1029" s="104"/>
      <c r="B1029" s="104"/>
    </row>
    <row r="1030" spans="1:2" x14ac:dyDescent="0.25">
      <c r="A1030" s="104"/>
      <c r="B1030" s="104"/>
    </row>
    <row r="1031" spans="1:2" x14ac:dyDescent="0.25">
      <c r="A1031" s="104"/>
      <c r="B1031" s="104"/>
    </row>
    <row r="1032" spans="1:2" x14ac:dyDescent="0.25">
      <c r="A1032" s="104"/>
      <c r="B1032" s="104"/>
    </row>
    <row r="1033" spans="1:2" x14ac:dyDescent="0.25">
      <c r="A1033" s="104"/>
      <c r="B1033" s="104"/>
    </row>
    <row r="1034" spans="1:2" x14ac:dyDescent="0.25">
      <c r="A1034" s="104"/>
      <c r="B1034" s="104"/>
    </row>
    <row r="1035" spans="1:2" x14ac:dyDescent="0.25">
      <c r="A1035" s="104"/>
      <c r="B1035" s="104"/>
    </row>
    <row r="1036" spans="1:2" x14ac:dyDescent="0.25">
      <c r="A1036" s="104"/>
      <c r="B1036" s="104"/>
    </row>
    <row r="1037" spans="1:2" x14ac:dyDescent="0.25">
      <c r="A1037" s="104"/>
      <c r="B1037" s="104"/>
    </row>
    <row r="1038" spans="1:2" x14ac:dyDescent="0.25">
      <c r="A1038" s="104"/>
      <c r="B1038" s="104"/>
    </row>
    <row r="1039" spans="1:2" x14ac:dyDescent="0.25">
      <c r="A1039" s="104"/>
      <c r="B1039" s="104"/>
    </row>
    <row r="1040" spans="1:2" x14ac:dyDescent="0.25">
      <c r="A1040" s="104"/>
      <c r="B1040" s="104"/>
    </row>
    <row r="1041" spans="1:2" x14ac:dyDescent="0.25">
      <c r="A1041" s="104"/>
      <c r="B1041" s="104"/>
    </row>
    <row r="1042" spans="1:2" x14ac:dyDescent="0.25">
      <c r="A1042" s="104"/>
      <c r="B1042" s="104"/>
    </row>
    <row r="1043" spans="1:2" x14ac:dyDescent="0.25">
      <c r="A1043" s="104"/>
      <c r="B1043" s="104"/>
    </row>
    <row r="1044" spans="1:2" x14ac:dyDescent="0.25">
      <c r="A1044" s="104"/>
      <c r="B1044" s="104"/>
    </row>
    <row r="1045" spans="1:2" x14ac:dyDescent="0.25">
      <c r="A1045" s="104"/>
      <c r="B1045" s="104"/>
    </row>
    <row r="1046" spans="1:2" x14ac:dyDescent="0.25">
      <c r="A1046" s="104"/>
      <c r="B1046" s="104"/>
    </row>
    <row r="1047" spans="1:2" x14ac:dyDescent="0.25">
      <c r="A1047" s="104"/>
      <c r="B1047" s="104"/>
    </row>
    <row r="1048" spans="1:2" x14ac:dyDescent="0.25">
      <c r="A1048" s="104"/>
      <c r="B1048" s="104"/>
    </row>
    <row r="1049" spans="1:2" x14ac:dyDescent="0.25">
      <c r="A1049" s="104"/>
      <c r="B1049" s="104"/>
    </row>
    <row r="1050" spans="1:2" x14ac:dyDescent="0.25">
      <c r="A1050" s="104"/>
      <c r="B1050" s="104"/>
    </row>
    <row r="1051" spans="1:2" x14ac:dyDescent="0.25">
      <c r="A1051" s="104"/>
      <c r="B1051" s="104"/>
    </row>
    <row r="1052" spans="1:2" x14ac:dyDescent="0.25">
      <c r="A1052" s="104"/>
      <c r="B1052" s="104"/>
    </row>
    <row r="1053" spans="1:2" x14ac:dyDescent="0.25">
      <c r="A1053" s="104"/>
      <c r="B1053" s="104"/>
    </row>
    <row r="1054" spans="1:2" x14ac:dyDescent="0.25">
      <c r="A1054" s="104"/>
      <c r="B1054" s="104"/>
    </row>
    <row r="1055" spans="1:2" x14ac:dyDescent="0.25">
      <c r="A1055" s="104"/>
      <c r="B1055" s="104"/>
    </row>
    <row r="1056" spans="1:2" x14ac:dyDescent="0.25">
      <c r="A1056" s="104"/>
      <c r="B1056" s="104"/>
    </row>
    <row r="1057" spans="1:2" x14ac:dyDescent="0.25">
      <c r="A1057" s="104"/>
      <c r="B1057" s="104"/>
    </row>
    <row r="1058" spans="1:2" x14ac:dyDescent="0.25">
      <c r="A1058" s="104"/>
      <c r="B1058" s="104"/>
    </row>
    <row r="1059" spans="1:2" x14ac:dyDescent="0.25">
      <c r="A1059" s="104"/>
      <c r="B1059" s="104"/>
    </row>
    <row r="1060" spans="1:2" x14ac:dyDescent="0.25">
      <c r="A1060" s="104"/>
      <c r="B1060" s="104"/>
    </row>
    <row r="1061" spans="1:2" x14ac:dyDescent="0.25">
      <c r="A1061" s="104"/>
      <c r="B1061" s="104"/>
    </row>
    <row r="1062" spans="1:2" x14ac:dyDescent="0.25">
      <c r="A1062" s="104"/>
      <c r="B1062" s="104"/>
    </row>
    <row r="1063" spans="1:2" x14ac:dyDescent="0.25">
      <c r="A1063" s="104"/>
      <c r="B1063" s="104"/>
    </row>
    <row r="1064" spans="1:2" x14ac:dyDescent="0.25">
      <c r="A1064" s="104"/>
      <c r="B1064" s="104"/>
    </row>
    <row r="1065" spans="1:2" x14ac:dyDescent="0.25">
      <c r="A1065" s="104"/>
      <c r="B1065" s="104"/>
    </row>
    <row r="1066" spans="1:2" x14ac:dyDescent="0.25">
      <c r="A1066" s="104"/>
      <c r="B1066" s="104"/>
    </row>
    <row r="1067" spans="1:2" x14ac:dyDescent="0.25">
      <c r="A1067" s="104"/>
      <c r="B1067" s="104"/>
    </row>
    <row r="1068" spans="1:2" x14ac:dyDescent="0.25">
      <c r="A1068" s="104"/>
      <c r="B1068" s="104"/>
    </row>
    <row r="1069" spans="1:2" x14ac:dyDescent="0.25">
      <c r="A1069" s="104"/>
      <c r="B1069" s="104"/>
    </row>
    <row r="1070" spans="1:2" x14ac:dyDescent="0.25">
      <c r="A1070" s="104"/>
      <c r="B1070" s="104"/>
    </row>
    <row r="1071" spans="1:2" x14ac:dyDescent="0.25">
      <c r="A1071" s="104"/>
      <c r="B1071" s="104"/>
    </row>
    <row r="1072" spans="1:2" x14ac:dyDescent="0.25">
      <c r="A1072" s="104"/>
      <c r="B1072" s="104"/>
    </row>
    <row r="1073" spans="1:2" x14ac:dyDescent="0.25">
      <c r="A1073" s="104"/>
      <c r="B1073" s="104"/>
    </row>
    <row r="1074" spans="1:2" x14ac:dyDescent="0.25">
      <c r="A1074" s="104"/>
      <c r="B1074" s="104"/>
    </row>
    <row r="1075" spans="1:2" x14ac:dyDescent="0.25">
      <c r="A1075" s="104"/>
      <c r="B1075" s="104"/>
    </row>
    <row r="1076" spans="1:2" x14ac:dyDescent="0.25">
      <c r="A1076" s="104"/>
      <c r="B1076" s="104"/>
    </row>
    <row r="1077" spans="1:2" x14ac:dyDescent="0.25">
      <c r="A1077" s="104"/>
      <c r="B1077" s="104"/>
    </row>
    <row r="1078" spans="1:2" x14ac:dyDescent="0.25">
      <c r="A1078" s="104"/>
      <c r="B1078" s="104"/>
    </row>
    <row r="1079" spans="1:2" x14ac:dyDescent="0.25">
      <c r="A1079" s="104"/>
      <c r="B1079" s="104"/>
    </row>
    <row r="1080" spans="1:2" x14ac:dyDescent="0.25">
      <c r="A1080" s="104"/>
      <c r="B1080" s="104"/>
    </row>
    <row r="1081" spans="1:2" x14ac:dyDescent="0.25">
      <c r="A1081" s="104"/>
      <c r="B1081" s="104"/>
    </row>
    <row r="1082" spans="1:2" x14ac:dyDescent="0.25">
      <c r="A1082" s="104"/>
      <c r="B1082" s="104"/>
    </row>
    <row r="1083" spans="1:2" x14ac:dyDescent="0.25">
      <c r="A1083" s="104"/>
      <c r="B1083" s="104"/>
    </row>
    <row r="1084" spans="1:2" x14ac:dyDescent="0.25">
      <c r="A1084" s="104"/>
      <c r="B1084" s="104"/>
    </row>
    <row r="1085" spans="1:2" x14ac:dyDescent="0.25">
      <c r="A1085" s="104"/>
      <c r="B1085" s="104"/>
    </row>
    <row r="1086" spans="1:2" x14ac:dyDescent="0.25">
      <c r="A1086" s="104"/>
      <c r="B1086" s="104"/>
    </row>
    <row r="1087" spans="1:2" x14ac:dyDescent="0.25">
      <c r="A1087" s="104"/>
      <c r="B1087" s="104"/>
    </row>
    <row r="1088" spans="1:2" x14ac:dyDescent="0.25">
      <c r="A1088" s="104"/>
      <c r="B1088" s="104"/>
    </row>
    <row r="1089" spans="1:2" x14ac:dyDescent="0.25">
      <c r="A1089" s="104"/>
      <c r="B1089" s="104"/>
    </row>
    <row r="1090" spans="1:2" x14ac:dyDescent="0.25">
      <c r="A1090" s="104"/>
      <c r="B1090" s="104"/>
    </row>
    <row r="1091" spans="1:2" x14ac:dyDescent="0.25">
      <c r="A1091" s="104"/>
      <c r="B1091" s="104"/>
    </row>
    <row r="1092" spans="1:2" x14ac:dyDescent="0.25">
      <c r="A1092" s="104"/>
      <c r="B1092" s="104"/>
    </row>
    <row r="1093" spans="1:2" x14ac:dyDescent="0.25">
      <c r="A1093" s="104"/>
      <c r="B1093" s="104"/>
    </row>
    <row r="1094" spans="1:2" x14ac:dyDescent="0.25">
      <c r="A1094" s="104"/>
      <c r="B1094" s="104"/>
    </row>
    <row r="1095" spans="1:2" x14ac:dyDescent="0.25">
      <c r="A1095" s="104"/>
      <c r="B1095" s="104"/>
    </row>
    <row r="1096" spans="1:2" x14ac:dyDescent="0.25">
      <c r="A1096" s="104"/>
      <c r="B1096" s="104"/>
    </row>
    <row r="1097" spans="1:2" x14ac:dyDescent="0.25">
      <c r="A1097" s="104"/>
      <c r="B1097" s="104"/>
    </row>
    <row r="1098" spans="1:2" x14ac:dyDescent="0.25">
      <c r="A1098" s="104"/>
      <c r="B1098" s="104"/>
    </row>
    <row r="1099" spans="1:2" x14ac:dyDescent="0.25">
      <c r="A1099" s="104"/>
      <c r="B1099" s="104"/>
    </row>
    <row r="1100" spans="1:2" x14ac:dyDescent="0.25">
      <c r="A1100" s="104"/>
      <c r="B1100" s="104"/>
    </row>
    <row r="1101" spans="1:2" x14ac:dyDescent="0.25">
      <c r="A1101" s="104"/>
      <c r="B1101" s="104"/>
    </row>
    <row r="1102" spans="1:2" x14ac:dyDescent="0.25">
      <c r="A1102" s="104"/>
      <c r="B1102" s="104"/>
    </row>
    <row r="1103" spans="1:2" x14ac:dyDescent="0.25">
      <c r="A1103" s="104"/>
      <c r="B1103" s="104"/>
    </row>
    <row r="1104" spans="1:2" x14ac:dyDescent="0.25">
      <c r="A1104" s="104"/>
      <c r="B1104" s="104"/>
    </row>
    <row r="1105" spans="1:2" x14ac:dyDescent="0.25">
      <c r="A1105" s="104"/>
      <c r="B1105" s="104"/>
    </row>
    <row r="1106" spans="1:2" x14ac:dyDescent="0.25">
      <c r="A1106" s="104"/>
      <c r="B1106" s="104"/>
    </row>
    <row r="1107" spans="1:2" x14ac:dyDescent="0.25">
      <c r="A1107" s="104"/>
      <c r="B1107" s="104"/>
    </row>
    <row r="1108" spans="1:2" x14ac:dyDescent="0.25">
      <c r="A1108" s="104"/>
      <c r="B1108" s="104"/>
    </row>
    <row r="1109" spans="1:2" x14ac:dyDescent="0.25">
      <c r="A1109" s="104"/>
      <c r="B1109" s="104"/>
    </row>
    <row r="1110" spans="1:2" x14ac:dyDescent="0.25">
      <c r="A1110" s="104"/>
      <c r="B1110" s="104"/>
    </row>
    <row r="1111" spans="1:2" x14ac:dyDescent="0.25">
      <c r="A1111" s="104"/>
      <c r="B1111" s="104"/>
    </row>
    <row r="1112" spans="1:2" x14ac:dyDescent="0.25">
      <c r="A1112" s="104"/>
      <c r="B1112" s="104"/>
    </row>
    <row r="1113" spans="1:2" x14ac:dyDescent="0.25">
      <c r="A1113" s="104"/>
      <c r="B1113" s="104"/>
    </row>
    <row r="1114" spans="1:2" x14ac:dyDescent="0.25">
      <c r="A1114" s="104"/>
      <c r="B1114" s="104"/>
    </row>
    <row r="1115" spans="1:2" x14ac:dyDescent="0.25">
      <c r="A1115" s="104"/>
      <c r="B1115" s="104"/>
    </row>
    <row r="1116" spans="1:2" x14ac:dyDescent="0.25">
      <c r="A1116" s="104"/>
      <c r="B1116" s="104"/>
    </row>
    <row r="1117" spans="1:2" x14ac:dyDescent="0.25">
      <c r="A1117" s="104"/>
      <c r="B1117" s="104"/>
    </row>
    <row r="1118" spans="1:2" x14ac:dyDescent="0.25">
      <c r="A1118" s="104"/>
      <c r="B1118" s="104"/>
    </row>
    <row r="1119" spans="1:2" x14ac:dyDescent="0.25">
      <c r="A1119" s="104"/>
      <c r="B1119" s="104"/>
    </row>
    <row r="1120" spans="1:2" x14ac:dyDescent="0.25">
      <c r="A1120" s="104"/>
      <c r="B1120" s="104"/>
    </row>
    <row r="1121" spans="1:2" x14ac:dyDescent="0.25">
      <c r="A1121" s="104"/>
      <c r="B1121" s="104"/>
    </row>
    <row r="1122" spans="1:2" x14ac:dyDescent="0.25">
      <c r="A1122" s="104"/>
      <c r="B1122" s="104"/>
    </row>
    <row r="1123" spans="1:2" x14ac:dyDescent="0.25">
      <c r="A1123" s="104"/>
      <c r="B1123" s="104"/>
    </row>
    <row r="1124" spans="1:2" x14ac:dyDescent="0.25">
      <c r="A1124" s="104"/>
      <c r="B1124" s="104"/>
    </row>
    <row r="1125" spans="1:2" x14ac:dyDescent="0.25">
      <c r="A1125" s="104"/>
      <c r="B1125" s="104"/>
    </row>
    <row r="1126" spans="1:2" x14ac:dyDescent="0.25">
      <c r="A1126" s="104"/>
      <c r="B1126" s="104"/>
    </row>
    <row r="1127" spans="1:2" x14ac:dyDescent="0.25">
      <c r="A1127" s="104"/>
      <c r="B1127" s="104"/>
    </row>
    <row r="1128" spans="1:2" x14ac:dyDescent="0.25">
      <c r="A1128" s="104"/>
      <c r="B1128" s="104"/>
    </row>
    <row r="1129" spans="1:2" x14ac:dyDescent="0.25">
      <c r="A1129" s="104"/>
      <c r="B1129" s="104"/>
    </row>
    <row r="1130" spans="1:2" x14ac:dyDescent="0.25">
      <c r="A1130" s="104"/>
      <c r="B1130" s="104"/>
    </row>
    <row r="1131" spans="1:2" x14ac:dyDescent="0.25">
      <c r="A1131" s="104"/>
      <c r="B1131" s="104"/>
    </row>
    <row r="1132" spans="1:2" x14ac:dyDescent="0.25">
      <c r="A1132" s="104"/>
      <c r="B1132" s="104"/>
    </row>
    <row r="1133" spans="1:2" x14ac:dyDescent="0.25">
      <c r="A1133" s="104"/>
      <c r="B1133" s="104"/>
    </row>
    <row r="1134" spans="1:2" x14ac:dyDescent="0.25">
      <c r="A1134" s="104"/>
      <c r="B1134" s="104"/>
    </row>
    <row r="1135" spans="1:2" x14ac:dyDescent="0.25">
      <c r="A1135" s="104"/>
      <c r="B1135" s="104"/>
    </row>
    <row r="1136" spans="1:2" x14ac:dyDescent="0.25">
      <c r="A1136" s="104"/>
      <c r="B1136" s="104"/>
    </row>
    <row r="1137" spans="1:2" x14ac:dyDescent="0.25">
      <c r="A1137" s="104"/>
      <c r="B1137" s="104"/>
    </row>
    <row r="1138" spans="1:2" x14ac:dyDescent="0.25">
      <c r="A1138" s="104"/>
      <c r="B1138" s="104"/>
    </row>
    <row r="1139" spans="1:2" x14ac:dyDescent="0.25">
      <c r="A1139" s="104"/>
      <c r="B1139" s="104"/>
    </row>
    <row r="1140" spans="1:2" x14ac:dyDescent="0.25">
      <c r="A1140" s="104"/>
      <c r="B1140" s="104"/>
    </row>
    <row r="1141" spans="1:2" x14ac:dyDescent="0.25">
      <c r="A1141" s="104"/>
      <c r="B1141" s="104"/>
    </row>
    <row r="1142" spans="1:2" x14ac:dyDescent="0.25">
      <c r="A1142" s="104"/>
      <c r="B1142" s="104"/>
    </row>
    <row r="1143" spans="1:2" x14ac:dyDescent="0.25">
      <c r="A1143" s="104"/>
      <c r="B1143" s="104"/>
    </row>
    <row r="1144" spans="1:2" x14ac:dyDescent="0.25">
      <c r="A1144" s="104"/>
      <c r="B1144" s="104"/>
    </row>
    <row r="1145" spans="1:2" x14ac:dyDescent="0.25">
      <c r="A1145" s="104"/>
      <c r="B1145" s="104"/>
    </row>
    <row r="1146" spans="1:2" x14ac:dyDescent="0.25">
      <c r="A1146" s="104"/>
      <c r="B1146" s="104"/>
    </row>
    <row r="1147" spans="1:2" x14ac:dyDescent="0.25">
      <c r="A1147" s="104"/>
      <c r="B1147" s="104"/>
    </row>
    <row r="1148" spans="1:2" x14ac:dyDescent="0.25">
      <c r="A1148" s="104"/>
      <c r="B1148" s="104"/>
    </row>
    <row r="1149" spans="1:2" x14ac:dyDescent="0.25">
      <c r="A1149" s="104"/>
      <c r="B1149" s="104"/>
    </row>
    <row r="1150" spans="1:2" x14ac:dyDescent="0.25">
      <c r="A1150" s="104"/>
      <c r="B1150" s="104"/>
    </row>
    <row r="1151" spans="1:2" x14ac:dyDescent="0.25">
      <c r="A1151" s="104"/>
      <c r="B1151" s="104"/>
    </row>
    <row r="1152" spans="1:2" x14ac:dyDescent="0.25">
      <c r="A1152" s="104"/>
      <c r="B1152" s="104"/>
    </row>
    <row r="1153" spans="1:2" x14ac:dyDescent="0.25">
      <c r="A1153" s="104"/>
      <c r="B1153" s="104"/>
    </row>
    <row r="1154" spans="1:2" x14ac:dyDescent="0.25">
      <c r="A1154" s="104"/>
      <c r="B1154" s="104"/>
    </row>
    <row r="1155" spans="1:2" x14ac:dyDescent="0.25">
      <c r="A1155" s="104"/>
      <c r="B1155" s="104"/>
    </row>
    <row r="1156" spans="1:2" x14ac:dyDescent="0.25">
      <c r="A1156" s="104"/>
      <c r="B1156" s="104"/>
    </row>
    <row r="1157" spans="1:2" x14ac:dyDescent="0.25">
      <c r="A1157" s="104"/>
      <c r="B1157" s="104"/>
    </row>
    <row r="1158" spans="1:2" x14ac:dyDescent="0.25">
      <c r="A1158" s="104"/>
      <c r="B1158" s="104"/>
    </row>
    <row r="1159" spans="1:2" x14ac:dyDescent="0.25">
      <c r="A1159" s="104"/>
      <c r="B1159" s="104"/>
    </row>
    <row r="1160" spans="1:2" x14ac:dyDescent="0.25">
      <c r="A1160" s="104"/>
      <c r="B1160" s="104"/>
    </row>
    <row r="1161" spans="1:2" x14ac:dyDescent="0.25">
      <c r="A1161" s="104"/>
      <c r="B1161" s="104"/>
    </row>
    <row r="1162" spans="1:2" x14ac:dyDescent="0.25">
      <c r="A1162" s="104"/>
      <c r="B1162" s="104"/>
    </row>
    <row r="1163" spans="1:2" x14ac:dyDescent="0.25">
      <c r="A1163" s="104"/>
      <c r="B1163" s="104"/>
    </row>
    <row r="1164" spans="1:2" x14ac:dyDescent="0.25">
      <c r="A1164" s="104"/>
      <c r="B1164" s="104"/>
    </row>
    <row r="1165" spans="1:2" x14ac:dyDescent="0.25">
      <c r="A1165" s="104"/>
      <c r="B1165" s="104"/>
    </row>
    <row r="1166" spans="1:2" x14ac:dyDescent="0.25">
      <c r="A1166" s="104"/>
      <c r="B1166" s="104"/>
    </row>
    <row r="1167" spans="1:2" x14ac:dyDescent="0.25">
      <c r="A1167" s="104"/>
      <c r="B1167" s="104"/>
    </row>
    <row r="1168" spans="1:2" x14ac:dyDescent="0.25">
      <c r="A1168" s="104"/>
      <c r="B1168" s="104"/>
    </row>
    <row r="1169" spans="1:2" x14ac:dyDescent="0.25">
      <c r="A1169" s="104"/>
      <c r="B1169" s="104"/>
    </row>
    <row r="1170" spans="1:2" x14ac:dyDescent="0.25">
      <c r="A1170" s="104"/>
      <c r="B1170" s="104"/>
    </row>
    <row r="1171" spans="1:2" x14ac:dyDescent="0.25">
      <c r="A1171" s="104"/>
      <c r="B1171" s="104"/>
    </row>
    <row r="1172" spans="1:2" x14ac:dyDescent="0.25">
      <c r="A1172" s="104"/>
      <c r="B1172" s="104"/>
    </row>
    <row r="1173" spans="1:2" x14ac:dyDescent="0.25">
      <c r="A1173" s="104"/>
      <c r="B1173" s="104"/>
    </row>
    <row r="1174" spans="1:2" x14ac:dyDescent="0.25">
      <c r="A1174" s="104"/>
      <c r="B1174" s="104"/>
    </row>
    <row r="1175" spans="1:2" x14ac:dyDescent="0.25">
      <c r="A1175" s="104"/>
      <c r="B1175" s="104"/>
    </row>
    <row r="1176" spans="1:2" x14ac:dyDescent="0.25">
      <c r="A1176" s="104"/>
      <c r="B1176" s="104"/>
    </row>
    <row r="1177" spans="1:2" x14ac:dyDescent="0.25">
      <c r="A1177" s="104"/>
      <c r="B1177" s="104"/>
    </row>
    <row r="1178" spans="1:2" x14ac:dyDescent="0.25">
      <c r="A1178" s="104"/>
      <c r="B1178" s="104"/>
    </row>
    <row r="1179" spans="1:2" x14ac:dyDescent="0.25">
      <c r="A1179" s="104"/>
      <c r="B1179" s="104"/>
    </row>
    <row r="1180" spans="1:2" x14ac:dyDescent="0.25">
      <c r="A1180" s="104"/>
      <c r="B1180" s="104"/>
    </row>
    <row r="1181" spans="1:2" x14ac:dyDescent="0.25">
      <c r="A1181" s="104"/>
      <c r="B1181" s="104"/>
    </row>
    <row r="1182" spans="1:2" x14ac:dyDescent="0.25">
      <c r="A1182" s="104"/>
      <c r="B1182" s="104"/>
    </row>
    <row r="1183" spans="1:2" x14ac:dyDescent="0.25">
      <c r="A1183" s="104"/>
      <c r="B1183" s="104"/>
    </row>
    <row r="1184" spans="1:2" x14ac:dyDescent="0.25">
      <c r="A1184" s="104"/>
      <c r="B1184" s="104"/>
    </row>
    <row r="1185" spans="1:2" x14ac:dyDescent="0.25">
      <c r="A1185" s="104"/>
      <c r="B1185" s="104"/>
    </row>
    <row r="1186" spans="1:2" x14ac:dyDescent="0.25">
      <c r="A1186" s="104"/>
      <c r="B1186" s="104"/>
    </row>
    <row r="1187" spans="1:2" x14ac:dyDescent="0.25">
      <c r="A1187" s="104"/>
      <c r="B1187" s="104"/>
    </row>
    <row r="1188" spans="1:2" x14ac:dyDescent="0.25">
      <c r="A1188" s="104"/>
      <c r="B1188" s="104"/>
    </row>
    <row r="1189" spans="1:2" x14ac:dyDescent="0.25">
      <c r="A1189" s="104"/>
      <c r="B1189" s="104"/>
    </row>
    <row r="1190" spans="1:2" x14ac:dyDescent="0.25">
      <c r="A1190" s="104"/>
      <c r="B1190" s="104"/>
    </row>
    <row r="1191" spans="1:2" x14ac:dyDescent="0.25">
      <c r="A1191" s="104"/>
      <c r="B1191" s="104"/>
    </row>
    <row r="1192" spans="1:2" x14ac:dyDescent="0.25">
      <c r="A1192" s="104"/>
      <c r="B1192" s="104"/>
    </row>
    <row r="1193" spans="1:2" x14ac:dyDescent="0.25">
      <c r="A1193" s="104"/>
      <c r="B1193" s="104"/>
    </row>
    <row r="1194" spans="1:2" x14ac:dyDescent="0.25">
      <c r="A1194" s="104"/>
      <c r="B1194" s="104"/>
    </row>
    <row r="1195" spans="1:2" x14ac:dyDescent="0.25">
      <c r="A1195" s="104"/>
      <c r="B1195" s="104"/>
    </row>
    <row r="1196" spans="1:2" x14ac:dyDescent="0.25">
      <c r="A1196" s="104"/>
      <c r="B1196" s="104"/>
    </row>
    <row r="1197" spans="1:2" x14ac:dyDescent="0.25">
      <c r="A1197" s="104"/>
      <c r="B1197" s="104"/>
    </row>
    <row r="1198" spans="1:2" x14ac:dyDescent="0.25">
      <c r="A1198" s="104"/>
      <c r="B1198" s="104"/>
    </row>
    <row r="1199" spans="1:2" x14ac:dyDescent="0.25">
      <c r="A1199" s="104"/>
      <c r="B1199" s="104"/>
    </row>
    <row r="1200" spans="1:2" x14ac:dyDescent="0.25">
      <c r="A1200" s="104"/>
      <c r="B1200" s="104"/>
    </row>
    <row r="1201" spans="1:2" x14ac:dyDescent="0.25">
      <c r="A1201" s="104"/>
      <c r="B1201" s="104"/>
    </row>
    <row r="1202" spans="1:2" x14ac:dyDescent="0.25">
      <c r="A1202" s="104"/>
      <c r="B1202" s="104"/>
    </row>
    <row r="1203" spans="1:2" x14ac:dyDescent="0.25">
      <c r="A1203" s="104"/>
      <c r="B1203" s="104"/>
    </row>
    <row r="1204" spans="1:2" x14ac:dyDescent="0.25">
      <c r="A1204" s="104"/>
      <c r="B1204" s="104"/>
    </row>
    <row r="1205" spans="1:2" x14ac:dyDescent="0.25">
      <c r="A1205" s="104"/>
      <c r="B1205" s="104"/>
    </row>
    <row r="1206" spans="1:2" x14ac:dyDescent="0.25">
      <c r="A1206" s="104"/>
      <c r="B1206" s="104"/>
    </row>
    <row r="1207" spans="1:2" x14ac:dyDescent="0.25">
      <c r="A1207" s="104"/>
      <c r="B1207" s="104"/>
    </row>
    <row r="1208" spans="1:2" x14ac:dyDescent="0.25">
      <c r="A1208" s="104"/>
      <c r="B1208" s="104"/>
    </row>
    <row r="1209" spans="1:2" x14ac:dyDescent="0.25">
      <c r="A1209" s="104"/>
      <c r="B1209" s="104"/>
    </row>
    <row r="1210" spans="1:2" x14ac:dyDescent="0.25">
      <c r="A1210" s="104"/>
      <c r="B1210" s="104"/>
    </row>
    <row r="1211" spans="1:2" x14ac:dyDescent="0.25">
      <c r="A1211" s="104"/>
      <c r="B1211" s="104"/>
    </row>
    <row r="1212" spans="1:2" x14ac:dyDescent="0.25">
      <c r="A1212" s="104"/>
      <c r="B1212" s="104"/>
    </row>
    <row r="1213" spans="1:2" x14ac:dyDescent="0.25">
      <c r="A1213" s="104"/>
      <c r="B1213" s="104"/>
    </row>
    <row r="1214" spans="1:2" x14ac:dyDescent="0.25">
      <c r="A1214" s="104"/>
      <c r="B1214" s="104"/>
    </row>
    <row r="1215" spans="1:2" x14ac:dyDescent="0.25">
      <c r="A1215" s="104"/>
      <c r="B1215" s="104"/>
    </row>
    <row r="1216" spans="1:2" x14ac:dyDescent="0.25">
      <c r="A1216" s="104"/>
      <c r="B1216" s="104"/>
    </row>
    <row r="1217" spans="1:2" x14ac:dyDescent="0.25">
      <c r="A1217" s="104"/>
      <c r="B1217" s="104"/>
    </row>
    <row r="1218" spans="1:2" x14ac:dyDescent="0.25">
      <c r="A1218" s="104"/>
      <c r="B1218" s="104"/>
    </row>
    <row r="1219" spans="1:2" x14ac:dyDescent="0.25">
      <c r="A1219" s="104"/>
      <c r="B1219" s="104"/>
    </row>
    <row r="1220" spans="1:2" x14ac:dyDescent="0.25">
      <c r="A1220" s="104"/>
      <c r="B1220" s="104"/>
    </row>
    <row r="1221" spans="1:2" x14ac:dyDescent="0.25">
      <c r="A1221" s="104"/>
      <c r="B1221" s="104"/>
    </row>
    <row r="1222" spans="1:2" x14ac:dyDescent="0.25">
      <c r="A1222" s="104"/>
      <c r="B1222" s="104"/>
    </row>
    <row r="1223" spans="1:2" x14ac:dyDescent="0.25">
      <c r="A1223" s="104"/>
      <c r="B1223" s="104"/>
    </row>
    <row r="1224" spans="1:2" x14ac:dyDescent="0.25">
      <c r="A1224" s="104"/>
      <c r="B1224" s="104"/>
    </row>
    <row r="1225" spans="1:2" x14ac:dyDescent="0.25">
      <c r="A1225" s="104"/>
      <c r="B1225" s="104"/>
    </row>
    <row r="1226" spans="1:2" x14ac:dyDescent="0.25">
      <c r="A1226" s="104"/>
      <c r="B1226" s="104"/>
    </row>
    <row r="1227" spans="1:2" x14ac:dyDescent="0.25">
      <c r="A1227" s="104"/>
      <c r="B1227" s="104"/>
    </row>
    <row r="1228" spans="1:2" x14ac:dyDescent="0.25">
      <c r="A1228" s="104"/>
      <c r="B1228" s="104"/>
    </row>
    <row r="1229" spans="1:2" x14ac:dyDescent="0.25">
      <c r="A1229" s="104"/>
      <c r="B1229" s="104"/>
    </row>
    <row r="1230" spans="1:2" x14ac:dyDescent="0.25">
      <c r="A1230" s="104"/>
      <c r="B1230" s="104"/>
    </row>
    <row r="1231" spans="1:2" x14ac:dyDescent="0.25">
      <c r="A1231" s="104"/>
      <c r="B1231" s="104"/>
    </row>
    <row r="1232" spans="1:2" x14ac:dyDescent="0.25">
      <c r="A1232" s="104"/>
      <c r="B1232" s="104"/>
    </row>
    <row r="1233" spans="1:2" x14ac:dyDescent="0.25">
      <c r="A1233" s="104"/>
      <c r="B1233" s="104"/>
    </row>
    <row r="1234" spans="1:2" x14ac:dyDescent="0.25">
      <c r="A1234" s="104"/>
      <c r="B1234" s="104"/>
    </row>
    <row r="1235" spans="1:2" x14ac:dyDescent="0.25">
      <c r="A1235" s="104"/>
      <c r="B1235" s="104"/>
    </row>
    <row r="1236" spans="1:2" x14ac:dyDescent="0.25">
      <c r="A1236" s="104"/>
      <c r="B1236" s="104"/>
    </row>
    <row r="1237" spans="1:2" x14ac:dyDescent="0.25">
      <c r="A1237" s="104"/>
      <c r="B1237" s="104"/>
    </row>
    <row r="1238" spans="1:2" x14ac:dyDescent="0.25">
      <c r="A1238" s="104"/>
      <c r="B1238" s="104"/>
    </row>
    <row r="1239" spans="1:2" x14ac:dyDescent="0.25">
      <c r="A1239" s="104"/>
      <c r="B1239" s="104"/>
    </row>
    <row r="1240" spans="1:2" x14ac:dyDescent="0.25">
      <c r="A1240" s="104"/>
      <c r="B1240" s="104"/>
    </row>
    <row r="1241" spans="1:2" x14ac:dyDescent="0.25">
      <c r="A1241" s="104"/>
      <c r="B1241" s="104"/>
    </row>
    <row r="1242" spans="1:2" x14ac:dyDescent="0.25">
      <c r="A1242" s="104"/>
      <c r="B1242" s="104"/>
    </row>
    <row r="1243" spans="1:2" x14ac:dyDescent="0.25">
      <c r="A1243" s="104"/>
      <c r="B1243" s="104"/>
    </row>
    <row r="1244" spans="1:2" x14ac:dyDescent="0.25">
      <c r="A1244" s="104"/>
      <c r="B1244" s="104"/>
    </row>
    <row r="1245" spans="1:2" x14ac:dyDescent="0.25">
      <c r="A1245" s="104"/>
      <c r="B1245" s="104"/>
    </row>
    <row r="1246" spans="1:2" x14ac:dyDescent="0.25">
      <c r="A1246" s="104"/>
      <c r="B1246" s="104"/>
    </row>
    <row r="1247" spans="1:2" x14ac:dyDescent="0.25">
      <c r="A1247" s="104"/>
      <c r="B1247" s="104"/>
    </row>
    <row r="1248" spans="1:2" x14ac:dyDescent="0.25">
      <c r="A1248" s="104"/>
      <c r="B1248" s="104"/>
    </row>
    <row r="1249" spans="1:2" x14ac:dyDescent="0.25">
      <c r="A1249" s="104"/>
      <c r="B1249" s="104"/>
    </row>
    <row r="1250" spans="1:2" x14ac:dyDescent="0.25">
      <c r="A1250" s="104"/>
      <c r="B1250" s="104"/>
    </row>
    <row r="1251" spans="1:2" x14ac:dyDescent="0.25">
      <c r="A1251" s="104"/>
      <c r="B1251" s="104"/>
    </row>
    <row r="1252" spans="1:2" x14ac:dyDescent="0.25">
      <c r="A1252" s="104"/>
      <c r="B1252" s="104"/>
    </row>
    <row r="1253" spans="1:2" x14ac:dyDescent="0.25">
      <c r="A1253" s="104"/>
      <c r="B1253" s="104"/>
    </row>
    <row r="1254" spans="1:2" x14ac:dyDescent="0.25">
      <c r="A1254" s="104"/>
      <c r="B1254" s="104"/>
    </row>
    <row r="1255" spans="1:2" x14ac:dyDescent="0.25">
      <c r="A1255" s="104"/>
      <c r="B1255" s="104"/>
    </row>
    <row r="1256" spans="1:2" x14ac:dyDescent="0.25">
      <c r="A1256" s="104"/>
      <c r="B1256" s="104"/>
    </row>
    <row r="1257" spans="1:2" x14ac:dyDescent="0.25">
      <c r="A1257" s="104"/>
      <c r="B1257" s="104"/>
    </row>
    <row r="1258" spans="1:2" x14ac:dyDescent="0.25">
      <c r="A1258" s="104"/>
      <c r="B1258" s="104"/>
    </row>
    <row r="1259" spans="1:2" x14ac:dyDescent="0.25">
      <c r="A1259" s="104"/>
      <c r="B1259" s="104"/>
    </row>
    <row r="1260" spans="1:2" x14ac:dyDescent="0.25">
      <c r="A1260" s="104"/>
      <c r="B1260" s="104"/>
    </row>
    <row r="1261" spans="1:2" x14ac:dyDescent="0.25">
      <c r="A1261" s="104"/>
      <c r="B1261" s="104"/>
    </row>
    <row r="1262" spans="1:2" x14ac:dyDescent="0.25">
      <c r="A1262" s="104"/>
      <c r="B1262" s="104"/>
    </row>
    <row r="1263" spans="1:2" x14ac:dyDescent="0.25">
      <c r="A1263" s="104"/>
      <c r="B1263" s="104"/>
    </row>
    <row r="1264" spans="1:2" x14ac:dyDescent="0.25">
      <c r="A1264" s="104"/>
      <c r="B1264" s="104"/>
    </row>
    <row r="1265" spans="1:2" x14ac:dyDescent="0.25">
      <c r="A1265" s="104"/>
      <c r="B1265" s="104"/>
    </row>
    <row r="1266" spans="1:2" x14ac:dyDescent="0.25">
      <c r="A1266" s="104"/>
      <c r="B1266" s="104"/>
    </row>
    <row r="1267" spans="1:2" x14ac:dyDescent="0.25">
      <c r="A1267" s="104"/>
      <c r="B1267" s="104"/>
    </row>
    <row r="1268" spans="1:2" x14ac:dyDescent="0.25">
      <c r="A1268" s="104"/>
      <c r="B1268" s="104"/>
    </row>
    <row r="1269" spans="1:2" x14ac:dyDescent="0.25">
      <c r="A1269" s="104"/>
      <c r="B1269" s="104"/>
    </row>
    <row r="1270" spans="1:2" x14ac:dyDescent="0.25">
      <c r="A1270" s="104"/>
      <c r="B1270" s="104"/>
    </row>
    <row r="1271" spans="1:2" x14ac:dyDescent="0.25">
      <c r="A1271" s="104"/>
      <c r="B1271" s="104"/>
    </row>
    <row r="1272" spans="1:2" x14ac:dyDescent="0.25">
      <c r="A1272" s="104"/>
      <c r="B1272" s="104"/>
    </row>
    <row r="1273" spans="1:2" x14ac:dyDescent="0.25">
      <c r="A1273" s="104"/>
      <c r="B1273" s="104"/>
    </row>
    <row r="1274" spans="1:2" x14ac:dyDescent="0.25">
      <c r="A1274" s="104"/>
      <c r="B1274" s="104"/>
    </row>
    <row r="1275" spans="1:2" x14ac:dyDescent="0.25">
      <c r="A1275" s="104"/>
      <c r="B1275" s="104"/>
    </row>
    <row r="1276" spans="1:2" x14ac:dyDescent="0.25">
      <c r="A1276" s="104"/>
      <c r="B1276" s="104"/>
    </row>
    <row r="1277" spans="1:2" x14ac:dyDescent="0.25">
      <c r="A1277" s="104"/>
      <c r="B1277" s="104"/>
    </row>
    <row r="1278" spans="1:2" x14ac:dyDescent="0.25">
      <c r="A1278" s="104"/>
      <c r="B1278" s="104"/>
    </row>
    <row r="1279" spans="1:2" x14ac:dyDescent="0.25">
      <c r="A1279" s="104"/>
      <c r="B1279" s="104"/>
    </row>
    <row r="1280" spans="1:2" x14ac:dyDescent="0.25">
      <c r="A1280" s="104"/>
      <c r="B1280" s="104"/>
    </row>
    <row r="1281" spans="1:2" x14ac:dyDescent="0.25">
      <c r="A1281" s="104"/>
      <c r="B1281" s="104"/>
    </row>
    <row r="1282" spans="1:2" x14ac:dyDescent="0.25">
      <c r="A1282" s="104"/>
      <c r="B1282" s="104"/>
    </row>
    <row r="1283" spans="1:2" x14ac:dyDescent="0.25">
      <c r="A1283" s="104"/>
      <c r="B1283" s="104"/>
    </row>
    <row r="1284" spans="1:2" x14ac:dyDescent="0.25">
      <c r="A1284" s="104"/>
      <c r="B1284" s="104"/>
    </row>
    <row r="1285" spans="1:2" x14ac:dyDescent="0.25">
      <c r="A1285" s="104"/>
      <c r="B1285" s="104"/>
    </row>
    <row r="1286" spans="1:2" x14ac:dyDescent="0.25">
      <c r="A1286" s="104"/>
      <c r="B1286" s="104"/>
    </row>
    <row r="1287" spans="1:2" x14ac:dyDescent="0.25">
      <c r="A1287" s="104"/>
      <c r="B1287" s="104"/>
    </row>
    <row r="1288" spans="1:2" x14ac:dyDescent="0.25">
      <c r="A1288" s="104"/>
      <c r="B1288" s="104"/>
    </row>
    <row r="1289" spans="1:2" x14ac:dyDescent="0.25">
      <c r="A1289" s="104"/>
      <c r="B1289" s="104"/>
    </row>
    <row r="1290" spans="1:2" x14ac:dyDescent="0.25">
      <c r="A1290" s="104"/>
      <c r="B1290" s="104"/>
    </row>
    <row r="1291" spans="1:2" x14ac:dyDescent="0.25">
      <c r="A1291" s="104"/>
      <c r="B1291" s="104"/>
    </row>
    <row r="1292" spans="1:2" x14ac:dyDescent="0.25">
      <c r="A1292" s="104"/>
      <c r="B1292" s="104"/>
    </row>
    <row r="1293" spans="1:2" x14ac:dyDescent="0.25">
      <c r="A1293" s="104"/>
      <c r="B1293" s="104"/>
    </row>
    <row r="1294" spans="1:2" x14ac:dyDescent="0.25">
      <c r="A1294" s="104"/>
      <c r="B1294" s="104"/>
    </row>
    <row r="1295" spans="1:2" x14ac:dyDescent="0.25">
      <c r="A1295" s="104"/>
      <c r="B1295" s="104"/>
    </row>
    <row r="1296" spans="1:2" x14ac:dyDescent="0.25">
      <c r="A1296" s="104"/>
      <c r="B1296" s="104"/>
    </row>
    <row r="1297" spans="1:2" x14ac:dyDescent="0.25">
      <c r="A1297" s="104"/>
      <c r="B1297" s="104"/>
    </row>
    <row r="1298" spans="1:2" x14ac:dyDescent="0.25">
      <c r="A1298" s="104"/>
      <c r="B1298" s="104"/>
    </row>
    <row r="1299" spans="1:2" x14ac:dyDescent="0.25">
      <c r="A1299" s="104"/>
      <c r="B1299" s="104"/>
    </row>
    <row r="1300" spans="1:2" x14ac:dyDescent="0.25">
      <c r="A1300" s="104"/>
      <c r="B1300" s="104"/>
    </row>
    <row r="1301" spans="1:2" x14ac:dyDescent="0.25">
      <c r="A1301" s="104"/>
      <c r="B1301" s="104"/>
    </row>
    <row r="1302" spans="1:2" x14ac:dyDescent="0.25">
      <c r="A1302" s="104"/>
      <c r="B1302" s="104"/>
    </row>
    <row r="1303" spans="1:2" x14ac:dyDescent="0.25">
      <c r="A1303" s="104"/>
      <c r="B1303" s="104"/>
    </row>
    <row r="1304" spans="1:2" x14ac:dyDescent="0.25">
      <c r="A1304" s="104"/>
      <c r="B1304" s="104"/>
    </row>
    <row r="1305" spans="1:2" x14ac:dyDescent="0.25">
      <c r="A1305" s="104"/>
      <c r="B1305" s="104"/>
    </row>
    <row r="1306" spans="1:2" x14ac:dyDescent="0.25">
      <c r="A1306" s="104"/>
      <c r="B1306" s="104"/>
    </row>
    <row r="1307" spans="1:2" x14ac:dyDescent="0.25">
      <c r="A1307" s="104"/>
      <c r="B1307" s="104"/>
    </row>
    <row r="1308" spans="1:2" x14ac:dyDescent="0.25">
      <c r="A1308" s="104"/>
      <c r="B1308" s="104"/>
    </row>
    <row r="1309" spans="1:2" x14ac:dyDescent="0.25">
      <c r="A1309" s="104"/>
      <c r="B1309" s="104"/>
    </row>
    <row r="1310" spans="1:2" x14ac:dyDescent="0.25">
      <c r="A1310" s="104"/>
      <c r="B1310" s="104"/>
    </row>
    <row r="1311" spans="1:2" x14ac:dyDescent="0.25">
      <c r="A1311" s="104"/>
      <c r="B1311" s="104"/>
    </row>
    <row r="1312" spans="1:2" x14ac:dyDescent="0.25">
      <c r="A1312" s="104"/>
      <c r="B1312" s="104"/>
    </row>
    <row r="1313" spans="1:2" x14ac:dyDescent="0.25">
      <c r="A1313" s="104"/>
      <c r="B1313" s="104"/>
    </row>
    <row r="1314" spans="1:2" x14ac:dyDescent="0.25">
      <c r="A1314" s="104"/>
      <c r="B1314" s="104"/>
    </row>
    <row r="1315" spans="1:2" x14ac:dyDescent="0.25">
      <c r="A1315" s="104"/>
      <c r="B1315" s="104"/>
    </row>
    <row r="1316" spans="1:2" x14ac:dyDescent="0.25">
      <c r="A1316" s="104"/>
      <c r="B1316" s="104"/>
    </row>
    <row r="1317" spans="1:2" x14ac:dyDescent="0.25">
      <c r="A1317" s="104"/>
      <c r="B1317" s="104"/>
    </row>
    <row r="1318" spans="1:2" x14ac:dyDescent="0.25">
      <c r="A1318" s="104"/>
      <c r="B1318" s="104"/>
    </row>
    <row r="1319" spans="1:2" x14ac:dyDescent="0.25">
      <c r="A1319" s="104"/>
      <c r="B1319" s="104"/>
    </row>
    <row r="1320" spans="1:2" x14ac:dyDescent="0.25">
      <c r="A1320" s="104"/>
      <c r="B1320" s="104"/>
    </row>
    <row r="1321" spans="1:2" x14ac:dyDescent="0.25">
      <c r="A1321" s="104"/>
      <c r="B1321" s="104"/>
    </row>
    <row r="1322" spans="1:2" x14ac:dyDescent="0.25">
      <c r="A1322" s="104"/>
      <c r="B1322" s="104"/>
    </row>
    <row r="1323" spans="1:2" x14ac:dyDescent="0.25">
      <c r="A1323" s="104"/>
      <c r="B1323" s="104"/>
    </row>
    <row r="1324" spans="1:2" x14ac:dyDescent="0.25">
      <c r="A1324" s="104"/>
      <c r="B1324" s="104"/>
    </row>
    <row r="1325" spans="1:2" x14ac:dyDescent="0.25">
      <c r="A1325" s="104"/>
      <c r="B1325" s="104"/>
    </row>
    <row r="1326" spans="1:2" x14ac:dyDescent="0.25">
      <c r="A1326" s="104"/>
      <c r="B1326" s="104"/>
    </row>
    <row r="1327" spans="1:2" x14ac:dyDescent="0.25">
      <c r="A1327" s="104"/>
      <c r="B1327" s="104"/>
    </row>
    <row r="1328" spans="1:2" x14ac:dyDescent="0.25">
      <c r="A1328" s="104"/>
      <c r="B1328" s="104"/>
    </row>
    <row r="1329" spans="1:2" x14ac:dyDescent="0.25">
      <c r="A1329" s="104"/>
      <c r="B1329" s="104"/>
    </row>
    <row r="1330" spans="1:2" x14ac:dyDescent="0.25">
      <c r="A1330" s="104"/>
      <c r="B1330" s="104"/>
    </row>
    <row r="1331" spans="1:2" x14ac:dyDescent="0.25">
      <c r="A1331" s="104"/>
      <c r="B1331" s="104"/>
    </row>
    <row r="1332" spans="1:2" x14ac:dyDescent="0.25">
      <c r="A1332" s="104"/>
      <c r="B1332" s="104"/>
    </row>
    <row r="1333" spans="1:2" x14ac:dyDescent="0.25">
      <c r="A1333" s="104"/>
      <c r="B1333" s="104"/>
    </row>
    <row r="1334" spans="1:2" x14ac:dyDescent="0.25">
      <c r="A1334" s="104"/>
      <c r="B1334" s="104"/>
    </row>
    <row r="1335" spans="1:2" x14ac:dyDescent="0.25">
      <c r="A1335" s="104"/>
      <c r="B1335" s="104"/>
    </row>
    <row r="1336" spans="1:2" x14ac:dyDescent="0.25">
      <c r="A1336" s="104"/>
      <c r="B1336" s="104"/>
    </row>
    <row r="1337" spans="1:2" x14ac:dyDescent="0.25">
      <c r="A1337" s="104"/>
      <c r="B1337" s="104"/>
    </row>
    <row r="1338" spans="1:2" x14ac:dyDescent="0.25">
      <c r="A1338" s="104"/>
      <c r="B1338" s="104"/>
    </row>
    <row r="1339" spans="1:2" x14ac:dyDescent="0.25">
      <c r="A1339" s="104"/>
      <c r="B1339" s="104"/>
    </row>
    <row r="1340" spans="1:2" x14ac:dyDescent="0.25">
      <c r="A1340" s="104"/>
      <c r="B1340" s="104"/>
    </row>
    <row r="1341" spans="1:2" x14ac:dyDescent="0.25">
      <c r="A1341" s="104"/>
      <c r="B1341" s="104"/>
    </row>
    <row r="1342" spans="1:2" x14ac:dyDescent="0.25">
      <c r="A1342" s="104"/>
      <c r="B1342" s="104"/>
    </row>
    <row r="1343" spans="1:2" x14ac:dyDescent="0.25">
      <c r="A1343" s="104"/>
      <c r="B1343" s="104"/>
    </row>
    <row r="1344" spans="1:2" x14ac:dyDescent="0.25">
      <c r="A1344" s="104"/>
      <c r="B1344" s="104"/>
    </row>
    <row r="1345" spans="1:2" x14ac:dyDescent="0.25">
      <c r="A1345" s="104"/>
      <c r="B1345" s="104"/>
    </row>
    <row r="1346" spans="1:2" x14ac:dyDescent="0.25">
      <c r="A1346" s="104"/>
      <c r="B1346" s="104"/>
    </row>
    <row r="1347" spans="1:2" x14ac:dyDescent="0.25">
      <c r="A1347" s="104"/>
      <c r="B1347" s="104"/>
    </row>
    <row r="1348" spans="1:2" x14ac:dyDescent="0.25">
      <c r="A1348" s="104"/>
      <c r="B1348" s="104"/>
    </row>
    <row r="1349" spans="1:2" x14ac:dyDescent="0.25">
      <c r="A1349" s="104"/>
      <c r="B1349" s="104"/>
    </row>
    <row r="1350" spans="1:2" x14ac:dyDescent="0.25">
      <c r="A1350" s="104"/>
      <c r="B1350" s="104"/>
    </row>
    <row r="1351" spans="1:2" x14ac:dyDescent="0.25">
      <c r="A1351" s="104"/>
      <c r="B1351" s="104"/>
    </row>
    <row r="1352" spans="1:2" x14ac:dyDescent="0.25">
      <c r="A1352" s="104"/>
      <c r="B1352" s="104"/>
    </row>
    <row r="1353" spans="1:2" x14ac:dyDescent="0.25">
      <c r="A1353" s="104"/>
      <c r="B1353" s="104"/>
    </row>
    <row r="1354" spans="1:2" x14ac:dyDescent="0.25">
      <c r="A1354" s="104"/>
      <c r="B1354" s="104"/>
    </row>
    <row r="1355" spans="1:2" x14ac:dyDescent="0.25">
      <c r="A1355" s="104"/>
      <c r="B1355" s="104"/>
    </row>
    <row r="1356" spans="1:2" x14ac:dyDescent="0.25">
      <c r="A1356" s="104"/>
      <c r="B1356" s="104"/>
    </row>
    <row r="1357" spans="1:2" x14ac:dyDescent="0.25">
      <c r="A1357" s="104"/>
      <c r="B1357" s="104"/>
    </row>
    <row r="1358" spans="1:2" x14ac:dyDescent="0.25">
      <c r="A1358" s="104"/>
      <c r="B1358" s="104"/>
    </row>
    <row r="1359" spans="1:2" x14ac:dyDescent="0.25">
      <c r="A1359" s="104"/>
      <c r="B1359" s="104"/>
    </row>
    <row r="1360" spans="1:2" x14ac:dyDescent="0.25">
      <c r="A1360" s="104"/>
      <c r="B1360" s="104"/>
    </row>
    <row r="1361" spans="1:2" x14ac:dyDescent="0.25">
      <c r="A1361" s="104"/>
      <c r="B1361" s="104"/>
    </row>
    <row r="1362" spans="1:2" x14ac:dyDescent="0.25">
      <c r="A1362" s="104"/>
      <c r="B1362" s="104"/>
    </row>
    <row r="1363" spans="1:2" x14ac:dyDescent="0.25">
      <c r="A1363" s="104"/>
      <c r="B1363" s="104"/>
    </row>
    <row r="1364" spans="1:2" x14ac:dyDescent="0.25">
      <c r="A1364" s="104"/>
      <c r="B1364" s="104"/>
    </row>
    <row r="1365" spans="1:2" x14ac:dyDescent="0.25">
      <c r="A1365" s="104"/>
      <c r="B1365" s="104"/>
    </row>
    <row r="1366" spans="1:2" x14ac:dyDescent="0.25">
      <c r="A1366" s="104"/>
      <c r="B1366" s="104"/>
    </row>
    <row r="1367" spans="1:2" x14ac:dyDescent="0.25">
      <c r="A1367" s="104"/>
      <c r="B1367" s="104"/>
    </row>
    <row r="1368" spans="1:2" x14ac:dyDescent="0.25">
      <c r="A1368" s="104"/>
      <c r="B1368" s="104"/>
    </row>
    <row r="1369" spans="1:2" x14ac:dyDescent="0.25">
      <c r="A1369" s="104"/>
      <c r="B1369" s="104"/>
    </row>
    <row r="1370" spans="1:2" x14ac:dyDescent="0.25">
      <c r="A1370" s="104"/>
      <c r="B1370" s="104"/>
    </row>
    <row r="1371" spans="1:2" x14ac:dyDescent="0.25">
      <c r="A1371" s="104"/>
      <c r="B1371" s="104"/>
    </row>
    <row r="1372" spans="1:2" x14ac:dyDescent="0.25">
      <c r="A1372" s="104"/>
      <c r="B1372" s="104"/>
    </row>
    <row r="1373" spans="1:2" x14ac:dyDescent="0.25">
      <c r="A1373" s="104"/>
      <c r="B1373" s="104"/>
    </row>
    <row r="1374" spans="1:2" x14ac:dyDescent="0.25">
      <c r="A1374" s="104"/>
      <c r="B1374" s="104"/>
    </row>
    <row r="1375" spans="1:2" x14ac:dyDescent="0.25">
      <c r="A1375" s="104"/>
      <c r="B1375" s="104"/>
    </row>
    <row r="1376" spans="1:2" x14ac:dyDescent="0.25">
      <c r="A1376" s="104"/>
      <c r="B1376" s="104"/>
    </row>
    <row r="1377" spans="1:2" x14ac:dyDescent="0.25">
      <c r="A1377" s="104"/>
      <c r="B1377" s="104"/>
    </row>
    <row r="1378" spans="1:2" x14ac:dyDescent="0.25">
      <c r="A1378" s="104"/>
      <c r="B1378" s="104"/>
    </row>
    <row r="1379" spans="1:2" x14ac:dyDescent="0.25">
      <c r="A1379" s="104"/>
      <c r="B1379" s="104"/>
    </row>
    <row r="1380" spans="1:2" x14ac:dyDescent="0.25">
      <c r="A1380" s="104"/>
      <c r="B1380" s="104"/>
    </row>
    <row r="1381" spans="1:2" x14ac:dyDescent="0.25">
      <c r="A1381" s="104"/>
      <c r="B1381" s="104"/>
    </row>
    <row r="1382" spans="1:2" x14ac:dyDescent="0.25">
      <c r="A1382" s="104"/>
      <c r="B1382" s="104"/>
    </row>
    <row r="1383" spans="1:2" x14ac:dyDescent="0.25">
      <c r="A1383" s="104"/>
      <c r="B1383" s="104"/>
    </row>
    <row r="1384" spans="1:2" x14ac:dyDescent="0.25">
      <c r="A1384" s="104"/>
      <c r="B1384" s="104"/>
    </row>
    <row r="1385" spans="1:2" x14ac:dyDescent="0.25">
      <c r="A1385" s="104"/>
      <c r="B1385" s="104"/>
    </row>
    <row r="1386" spans="1:2" x14ac:dyDescent="0.25">
      <c r="A1386" s="104"/>
      <c r="B1386" s="104"/>
    </row>
    <row r="1387" spans="1:2" x14ac:dyDescent="0.25">
      <c r="A1387" s="104"/>
      <c r="B1387" s="104"/>
    </row>
    <row r="1388" spans="1:2" x14ac:dyDescent="0.25">
      <c r="A1388" s="104"/>
      <c r="B1388" s="104"/>
    </row>
    <row r="1389" spans="1:2" x14ac:dyDescent="0.25">
      <c r="A1389" s="104"/>
      <c r="B1389" s="104"/>
    </row>
    <row r="1390" spans="1:2" x14ac:dyDescent="0.25">
      <c r="A1390" s="104"/>
      <c r="B1390" s="104"/>
    </row>
    <row r="1391" spans="1:2" x14ac:dyDescent="0.25">
      <c r="A1391" s="104"/>
      <c r="B1391" s="104"/>
    </row>
    <row r="1392" spans="1:2" x14ac:dyDescent="0.25">
      <c r="A1392" s="104"/>
      <c r="B1392" s="104"/>
    </row>
    <row r="1393" spans="1:2" x14ac:dyDescent="0.25">
      <c r="A1393" s="104"/>
      <c r="B1393" s="104"/>
    </row>
    <row r="1394" spans="1:2" x14ac:dyDescent="0.25">
      <c r="A1394" s="104"/>
      <c r="B1394" s="104"/>
    </row>
    <row r="1395" spans="1:2" x14ac:dyDescent="0.25">
      <c r="A1395" s="104"/>
      <c r="B1395" s="104"/>
    </row>
    <row r="1396" spans="1:2" x14ac:dyDescent="0.25">
      <c r="A1396" s="104"/>
      <c r="B1396" s="104"/>
    </row>
    <row r="1397" spans="1:2" x14ac:dyDescent="0.25">
      <c r="A1397" s="104"/>
      <c r="B1397" s="104"/>
    </row>
    <row r="1398" spans="1:2" x14ac:dyDescent="0.25">
      <c r="A1398" s="104"/>
      <c r="B1398" s="104"/>
    </row>
    <row r="1399" spans="1:2" x14ac:dyDescent="0.25">
      <c r="A1399" s="104"/>
      <c r="B1399" s="104"/>
    </row>
    <row r="1400" spans="1:2" x14ac:dyDescent="0.25">
      <c r="A1400" s="104"/>
      <c r="B1400" s="104"/>
    </row>
    <row r="1401" spans="1:2" x14ac:dyDescent="0.25">
      <c r="A1401" s="104"/>
      <c r="B1401" s="104"/>
    </row>
    <row r="1402" spans="1:2" x14ac:dyDescent="0.25">
      <c r="A1402" s="104"/>
      <c r="B1402" s="104"/>
    </row>
    <row r="1403" spans="1:2" x14ac:dyDescent="0.25">
      <c r="A1403" s="104"/>
      <c r="B1403" s="104"/>
    </row>
    <row r="1404" spans="1:2" x14ac:dyDescent="0.25">
      <c r="A1404" s="104"/>
      <c r="B1404" s="104"/>
    </row>
    <row r="1405" spans="1:2" x14ac:dyDescent="0.25">
      <c r="A1405" s="104"/>
      <c r="B1405" s="104"/>
    </row>
    <row r="1406" spans="1:2" x14ac:dyDescent="0.25">
      <c r="A1406" s="104"/>
      <c r="B1406" s="104"/>
    </row>
    <row r="1407" spans="1:2" x14ac:dyDescent="0.25">
      <c r="A1407" s="104"/>
      <c r="B1407" s="104"/>
    </row>
    <row r="1408" spans="1:2" x14ac:dyDescent="0.25">
      <c r="A1408" s="104"/>
      <c r="B1408" s="104"/>
    </row>
    <row r="1409" spans="1:2" x14ac:dyDescent="0.25">
      <c r="A1409" s="104"/>
      <c r="B1409" s="104"/>
    </row>
    <row r="1410" spans="1:2" x14ac:dyDescent="0.25">
      <c r="A1410" s="104"/>
      <c r="B1410" s="104"/>
    </row>
    <row r="1411" spans="1:2" x14ac:dyDescent="0.25">
      <c r="A1411" s="104"/>
      <c r="B1411" s="104"/>
    </row>
    <row r="1412" spans="1:2" x14ac:dyDescent="0.25">
      <c r="A1412" s="104"/>
      <c r="B1412" s="104"/>
    </row>
    <row r="1413" spans="1:2" x14ac:dyDescent="0.25">
      <c r="A1413" s="104"/>
      <c r="B1413" s="104"/>
    </row>
    <row r="1414" spans="1:2" x14ac:dyDescent="0.25">
      <c r="A1414" s="104"/>
      <c r="B1414" s="104"/>
    </row>
    <row r="1415" spans="1:2" x14ac:dyDescent="0.25">
      <c r="A1415" s="104"/>
      <c r="B1415" s="104"/>
    </row>
    <row r="1416" spans="1:2" x14ac:dyDescent="0.25">
      <c r="A1416" s="104"/>
      <c r="B1416" s="104"/>
    </row>
    <row r="1417" spans="1:2" x14ac:dyDescent="0.25">
      <c r="A1417" s="104"/>
      <c r="B1417" s="104"/>
    </row>
    <row r="1418" spans="1:2" x14ac:dyDescent="0.25">
      <c r="A1418" s="104"/>
      <c r="B1418" s="104"/>
    </row>
    <row r="1419" spans="1:2" x14ac:dyDescent="0.25">
      <c r="A1419" s="104"/>
      <c r="B1419" s="104"/>
    </row>
    <row r="1420" spans="1:2" x14ac:dyDescent="0.25">
      <c r="A1420" s="104"/>
      <c r="B1420" s="104"/>
    </row>
    <row r="1421" spans="1:2" x14ac:dyDescent="0.25">
      <c r="A1421" s="104"/>
      <c r="B1421" s="104"/>
    </row>
    <row r="1422" spans="1:2" x14ac:dyDescent="0.25">
      <c r="A1422" s="104"/>
      <c r="B1422" s="104"/>
    </row>
    <row r="1423" spans="1:2" x14ac:dyDescent="0.25">
      <c r="A1423" s="104"/>
      <c r="B1423" s="104"/>
    </row>
    <row r="1424" spans="1:2" x14ac:dyDescent="0.25">
      <c r="A1424" s="104"/>
      <c r="B1424" s="104"/>
    </row>
    <row r="1425" spans="1:2" x14ac:dyDescent="0.25">
      <c r="A1425" s="104"/>
      <c r="B1425" s="104"/>
    </row>
    <row r="1426" spans="1:2" x14ac:dyDescent="0.25">
      <c r="A1426" s="104"/>
      <c r="B1426" s="104"/>
    </row>
    <row r="1427" spans="1:2" x14ac:dyDescent="0.25">
      <c r="A1427" s="104"/>
      <c r="B1427" s="104"/>
    </row>
    <row r="1428" spans="1:2" x14ac:dyDescent="0.25">
      <c r="A1428" s="104"/>
      <c r="B1428" s="104"/>
    </row>
    <row r="1429" spans="1:2" x14ac:dyDescent="0.25">
      <c r="A1429" s="104"/>
      <c r="B1429" s="104"/>
    </row>
    <row r="1430" spans="1:2" x14ac:dyDescent="0.25">
      <c r="A1430" s="104"/>
      <c r="B1430" s="104"/>
    </row>
    <row r="1431" spans="1:2" x14ac:dyDescent="0.25">
      <c r="A1431" s="104"/>
      <c r="B1431" s="104"/>
    </row>
    <row r="1432" spans="1:2" x14ac:dyDescent="0.25">
      <c r="A1432" s="104"/>
      <c r="B1432" s="104"/>
    </row>
    <row r="1433" spans="1:2" x14ac:dyDescent="0.25">
      <c r="A1433" s="104"/>
      <c r="B1433" s="104"/>
    </row>
    <row r="1434" spans="1:2" x14ac:dyDescent="0.25">
      <c r="A1434" s="104"/>
      <c r="B1434" s="104"/>
    </row>
    <row r="1435" spans="1:2" x14ac:dyDescent="0.25">
      <c r="A1435" s="104"/>
      <c r="B1435" s="104"/>
    </row>
    <row r="1436" spans="1:2" x14ac:dyDescent="0.25">
      <c r="A1436" s="104"/>
      <c r="B1436" s="104"/>
    </row>
    <row r="1437" spans="1:2" x14ac:dyDescent="0.25">
      <c r="A1437" s="104"/>
      <c r="B1437" s="104"/>
    </row>
    <row r="1438" spans="1:2" x14ac:dyDescent="0.25">
      <c r="A1438" s="104"/>
      <c r="B1438" s="104"/>
    </row>
    <row r="1439" spans="1:2" x14ac:dyDescent="0.25">
      <c r="A1439" s="104"/>
      <c r="B1439" s="104"/>
    </row>
    <row r="1440" spans="1:2" x14ac:dyDescent="0.25">
      <c r="A1440" s="104"/>
      <c r="B1440" s="104"/>
    </row>
    <row r="1441" spans="1:2" x14ac:dyDescent="0.25">
      <c r="A1441" s="104"/>
      <c r="B1441" s="104"/>
    </row>
    <row r="1442" spans="1:2" x14ac:dyDescent="0.25">
      <c r="A1442" s="104"/>
      <c r="B1442" s="104"/>
    </row>
    <row r="1443" spans="1:2" x14ac:dyDescent="0.25">
      <c r="A1443" s="104"/>
      <c r="B1443" s="104"/>
    </row>
    <row r="1444" spans="1:2" x14ac:dyDescent="0.25">
      <c r="A1444" s="104"/>
      <c r="B1444" s="104"/>
    </row>
    <row r="1445" spans="1:2" x14ac:dyDescent="0.25">
      <c r="A1445" s="104"/>
      <c r="B1445" s="104"/>
    </row>
    <row r="1446" spans="1:2" x14ac:dyDescent="0.25">
      <c r="A1446" s="104"/>
      <c r="B1446" s="104"/>
    </row>
    <row r="1447" spans="1:2" x14ac:dyDescent="0.25">
      <c r="A1447" s="104"/>
      <c r="B1447" s="104"/>
    </row>
    <row r="1448" spans="1:2" x14ac:dyDescent="0.25">
      <c r="A1448" s="104"/>
      <c r="B1448" s="104"/>
    </row>
    <row r="1449" spans="1:2" x14ac:dyDescent="0.25">
      <c r="A1449" s="104"/>
      <c r="B1449" s="104"/>
    </row>
    <row r="1450" spans="1:2" x14ac:dyDescent="0.25">
      <c r="A1450" s="104"/>
      <c r="B1450" s="104"/>
    </row>
    <row r="1451" spans="1:2" x14ac:dyDescent="0.25">
      <c r="A1451" s="104"/>
      <c r="B1451" s="104"/>
    </row>
    <row r="1452" spans="1:2" x14ac:dyDescent="0.25">
      <c r="A1452" s="104"/>
      <c r="B1452" s="104"/>
    </row>
    <row r="1453" spans="1:2" x14ac:dyDescent="0.25">
      <c r="A1453" s="104"/>
      <c r="B1453" s="104"/>
    </row>
    <row r="1454" spans="1:2" x14ac:dyDescent="0.25">
      <c r="A1454" s="104"/>
      <c r="B1454" s="104"/>
    </row>
    <row r="1455" spans="1:2" x14ac:dyDescent="0.25">
      <c r="A1455" s="104"/>
      <c r="B1455" s="104"/>
    </row>
    <row r="1456" spans="1:2" x14ac:dyDescent="0.25">
      <c r="A1456" s="104"/>
      <c r="B1456" s="104"/>
    </row>
    <row r="1457" spans="1:2" x14ac:dyDescent="0.25">
      <c r="A1457" s="104"/>
      <c r="B1457" s="104"/>
    </row>
    <row r="1458" spans="1:2" x14ac:dyDescent="0.25">
      <c r="A1458" s="104"/>
      <c r="B1458" s="104"/>
    </row>
    <row r="1459" spans="1:2" x14ac:dyDescent="0.25">
      <c r="A1459" s="104"/>
      <c r="B1459" s="104"/>
    </row>
    <row r="1460" spans="1:2" x14ac:dyDescent="0.25">
      <c r="A1460" s="104"/>
      <c r="B1460" s="104"/>
    </row>
    <row r="1461" spans="1:2" x14ac:dyDescent="0.25">
      <c r="A1461" s="104"/>
      <c r="B1461" s="104"/>
    </row>
    <row r="1462" spans="1:2" x14ac:dyDescent="0.25">
      <c r="A1462" s="104"/>
      <c r="B1462" s="104"/>
    </row>
    <row r="1463" spans="1:2" x14ac:dyDescent="0.25">
      <c r="A1463" s="104"/>
      <c r="B1463" s="104"/>
    </row>
    <row r="1464" spans="1:2" x14ac:dyDescent="0.25">
      <c r="A1464" s="104"/>
      <c r="B1464" s="104"/>
    </row>
    <row r="1465" spans="1:2" x14ac:dyDescent="0.25">
      <c r="A1465" s="104"/>
      <c r="B1465" s="104"/>
    </row>
    <row r="1466" spans="1:2" x14ac:dyDescent="0.25">
      <c r="A1466" s="104"/>
      <c r="B1466" s="104"/>
    </row>
    <row r="1467" spans="1:2" x14ac:dyDescent="0.25">
      <c r="A1467" s="104"/>
      <c r="B1467" s="104"/>
    </row>
    <row r="1468" spans="1:2" x14ac:dyDescent="0.25">
      <c r="A1468" s="104"/>
      <c r="B1468" s="104"/>
    </row>
    <row r="1469" spans="1:2" x14ac:dyDescent="0.25">
      <c r="A1469" s="104"/>
      <c r="B1469" s="104"/>
    </row>
    <row r="1470" spans="1:2" x14ac:dyDescent="0.25">
      <c r="A1470" s="104"/>
      <c r="B1470" s="104"/>
    </row>
    <row r="1471" spans="1:2" x14ac:dyDescent="0.25">
      <c r="A1471" s="104"/>
      <c r="B1471" s="104"/>
    </row>
    <row r="1472" spans="1:2" x14ac:dyDescent="0.25">
      <c r="A1472" s="104"/>
      <c r="B1472" s="104"/>
    </row>
    <row r="1473" spans="1:2" x14ac:dyDescent="0.25">
      <c r="A1473" s="104"/>
      <c r="B1473" s="104"/>
    </row>
    <row r="1474" spans="1:2" x14ac:dyDescent="0.25">
      <c r="A1474" s="104"/>
      <c r="B1474" s="104"/>
    </row>
    <row r="1475" spans="1:2" x14ac:dyDescent="0.25">
      <c r="A1475" s="104"/>
      <c r="B1475" s="104"/>
    </row>
    <row r="1476" spans="1:2" x14ac:dyDescent="0.25">
      <c r="A1476" s="104"/>
      <c r="B1476" s="104"/>
    </row>
    <row r="1477" spans="1:2" x14ac:dyDescent="0.25">
      <c r="A1477" s="104"/>
      <c r="B1477" s="104"/>
    </row>
    <row r="1478" spans="1:2" x14ac:dyDescent="0.25">
      <c r="A1478" s="104"/>
      <c r="B1478" s="104"/>
    </row>
    <row r="1479" spans="1:2" x14ac:dyDescent="0.25">
      <c r="A1479" s="104"/>
      <c r="B1479" s="104"/>
    </row>
    <row r="1480" spans="1:2" x14ac:dyDescent="0.25">
      <c r="A1480" s="104"/>
      <c r="B1480" s="104"/>
    </row>
    <row r="1481" spans="1:2" x14ac:dyDescent="0.25">
      <c r="A1481" s="104"/>
      <c r="B1481" s="104"/>
    </row>
    <row r="1482" spans="1:2" x14ac:dyDescent="0.25">
      <c r="A1482" s="104"/>
      <c r="B1482" s="104"/>
    </row>
    <row r="1483" spans="1:2" x14ac:dyDescent="0.25">
      <c r="A1483" s="104"/>
      <c r="B1483" s="104"/>
    </row>
    <row r="1484" spans="1:2" x14ac:dyDescent="0.25">
      <c r="A1484" s="104"/>
      <c r="B1484" s="104"/>
    </row>
    <row r="1485" spans="1:2" x14ac:dyDescent="0.25">
      <c r="A1485" s="104"/>
      <c r="B1485" s="104"/>
    </row>
    <row r="1486" spans="1:2" x14ac:dyDescent="0.25">
      <c r="A1486" s="104"/>
      <c r="B1486" s="104"/>
    </row>
    <row r="1487" spans="1:2" x14ac:dyDescent="0.25">
      <c r="A1487" s="104"/>
      <c r="B1487" s="104"/>
    </row>
    <row r="1488" spans="1:2" x14ac:dyDescent="0.25">
      <c r="A1488" s="104"/>
      <c r="B1488" s="104"/>
    </row>
    <row r="1489" spans="1:2" x14ac:dyDescent="0.25">
      <c r="A1489" s="104"/>
      <c r="B1489" s="104"/>
    </row>
    <row r="1490" spans="1:2" x14ac:dyDescent="0.25">
      <c r="A1490" s="104"/>
      <c r="B1490" s="104"/>
    </row>
    <row r="1491" spans="1:2" x14ac:dyDescent="0.25">
      <c r="A1491" s="104"/>
      <c r="B1491" s="104"/>
    </row>
    <row r="1492" spans="1:2" x14ac:dyDescent="0.25">
      <c r="A1492" s="104"/>
      <c r="B1492" s="104"/>
    </row>
    <row r="1493" spans="1:2" x14ac:dyDescent="0.25">
      <c r="A1493" s="104"/>
      <c r="B1493" s="104"/>
    </row>
    <row r="1494" spans="1:2" x14ac:dyDescent="0.25">
      <c r="A1494" s="104"/>
      <c r="B1494" s="104"/>
    </row>
    <row r="1495" spans="1:2" x14ac:dyDescent="0.25">
      <c r="A1495" s="104"/>
      <c r="B1495" s="104"/>
    </row>
    <row r="1496" spans="1:2" x14ac:dyDescent="0.25">
      <c r="A1496" s="104"/>
      <c r="B1496" s="104"/>
    </row>
    <row r="1497" spans="1:2" x14ac:dyDescent="0.25">
      <c r="A1497" s="104"/>
      <c r="B1497" s="104"/>
    </row>
    <row r="1498" spans="1:2" x14ac:dyDescent="0.25">
      <c r="A1498" s="104"/>
      <c r="B1498" s="104"/>
    </row>
    <row r="1499" spans="1:2" x14ac:dyDescent="0.25">
      <c r="A1499" s="104"/>
      <c r="B1499" s="104"/>
    </row>
    <row r="1500" spans="1:2" x14ac:dyDescent="0.25">
      <c r="A1500" s="104"/>
      <c r="B1500" s="104"/>
    </row>
    <row r="1501" spans="1:2" x14ac:dyDescent="0.25">
      <c r="A1501" s="104"/>
      <c r="B1501" s="104"/>
    </row>
    <row r="1502" spans="1:2" x14ac:dyDescent="0.25">
      <c r="A1502" s="104"/>
      <c r="B1502" s="104"/>
    </row>
    <row r="1503" spans="1:2" x14ac:dyDescent="0.25">
      <c r="A1503" s="104"/>
      <c r="B1503" s="104"/>
    </row>
    <row r="1504" spans="1:2" x14ac:dyDescent="0.25">
      <c r="A1504" s="104"/>
      <c r="B1504" s="104"/>
    </row>
    <row r="1505" spans="1:2" x14ac:dyDescent="0.25">
      <c r="A1505" s="104"/>
      <c r="B1505" s="104"/>
    </row>
    <row r="1506" spans="1:2" x14ac:dyDescent="0.25">
      <c r="A1506" s="104"/>
      <c r="B1506" s="104"/>
    </row>
    <row r="1507" spans="1:2" x14ac:dyDescent="0.25">
      <c r="A1507" s="104"/>
      <c r="B1507" s="104"/>
    </row>
    <row r="1508" spans="1:2" x14ac:dyDescent="0.25">
      <c r="A1508" s="104"/>
      <c r="B1508" s="104"/>
    </row>
    <row r="1509" spans="1:2" x14ac:dyDescent="0.25">
      <c r="A1509" s="104"/>
      <c r="B1509" s="104"/>
    </row>
    <row r="1510" spans="1:2" x14ac:dyDescent="0.25">
      <c r="A1510" s="104"/>
      <c r="B1510" s="104"/>
    </row>
    <row r="1511" spans="1:2" x14ac:dyDescent="0.25">
      <c r="A1511" s="104"/>
      <c r="B1511" s="104"/>
    </row>
    <row r="1512" spans="1:2" x14ac:dyDescent="0.25">
      <c r="A1512" s="104"/>
      <c r="B1512" s="104"/>
    </row>
    <row r="1513" spans="1:2" x14ac:dyDescent="0.25">
      <c r="A1513" s="104"/>
      <c r="B1513" s="104"/>
    </row>
    <row r="1514" spans="1:2" x14ac:dyDescent="0.25">
      <c r="A1514" s="104"/>
      <c r="B1514" s="104"/>
    </row>
    <row r="1515" spans="1:2" x14ac:dyDescent="0.25">
      <c r="A1515" s="104"/>
      <c r="B1515" s="104"/>
    </row>
    <row r="1516" spans="1:2" x14ac:dyDescent="0.25">
      <c r="A1516" s="104"/>
      <c r="B1516" s="104"/>
    </row>
    <row r="1517" spans="1:2" x14ac:dyDescent="0.25">
      <c r="A1517" s="104"/>
      <c r="B1517" s="104"/>
    </row>
    <row r="1518" spans="1:2" x14ac:dyDescent="0.25">
      <c r="A1518" s="104"/>
      <c r="B1518" s="104"/>
    </row>
    <row r="1519" spans="1:2" x14ac:dyDescent="0.25">
      <c r="A1519" s="104"/>
      <c r="B1519" s="104"/>
    </row>
    <row r="1520" spans="1:2" x14ac:dyDescent="0.25">
      <c r="A1520" s="104"/>
      <c r="B1520" s="104"/>
    </row>
    <row r="1521" spans="1:2" x14ac:dyDescent="0.25">
      <c r="A1521" s="104"/>
      <c r="B1521" s="104"/>
    </row>
    <row r="1522" spans="1:2" x14ac:dyDescent="0.25">
      <c r="A1522" s="104"/>
      <c r="B1522" s="104"/>
    </row>
    <row r="1523" spans="1:2" x14ac:dyDescent="0.25">
      <c r="A1523" s="104"/>
      <c r="B1523" s="104"/>
    </row>
    <row r="1524" spans="1:2" x14ac:dyDescent="0.25">
      <c r="A1524" s="104"/>
      <c r="B1524" s="104"/>
    </row>
    <row r="1525" spans="1:2" x14ac:dyDescent="0.25">
      <c r="A1525" s="104"/>
      <c r="B1525" s="104"/>
    </row>
    <row r="1526" spans="1:2" x14ac:dyDescent="0.25">
      <c r="A1526" s="104"/>
      <c r="B1526" s="104"/>
    </row>
    <row r="1527" spans="1:2" x14ac:dyDescent="0.25">
      <c r="A1527" s="104"/>
      <c r="B1527" s="104"/>
    </row>
    <row r="1528" spans="1:2" x14ac:dyDescent="0.25">
      <c r="A1528" s="104"/>
      <c r="B1528" s="104"/>
    </row>
    <row r="1529" spans="1:2" x14ac:dyDescent="0.25">
      <c r="A1529" s="104"/>
      <c r="B1529" s="104"/>
    </row>
    <row r="1530" spans="1:2" x14ac:dyDescent="0.25">
      <c r="A1530" s="104"/>
      <c r="B1530" s="104"/>
    </row>
    <row r="1531" spans="1:2" x14ac:dyDescent="0.25">
      <c r="A1531" s="104"/>
      <c r="B1531" s="104"/>
    </row>
    <row r="1532" spans="1:2" x14ac:dyDescent="0.25">
      <c r="A1532" s="104"/>
      <c r="B1532" s="104"/>
    </row>
    <row r="1533" spans="1:2" x14ac:dyDescent="0.25">
      <c r="A1533" s="104"/>
      <c r="B1533" s="104"/>
    </row>
    <row r="1534" spans="1:2" x14ac:dyDescent="0.25">
      <c r="A1534" s="104"/>
      <c r="B1534" s="104"/>
    </row>
    <row r="1535" spans="1:2" x14ac:dyDescent="0.25">
      <c r="A1535" s="104"/>
      <c r="B1535" s="104"/>
    </row>
    <row r="1536" spans="1:2" x14ac:dyDescent="0.25">
      <c r="A1536" s="104"/>
      <c r="B1536" s="104"/>
    </row>
    <row r="1537" spans="1:2" x14ac:dyDescent="0.25">
      <c r="A1537" s="104"/>
      <c r="B1537" s="104"/>
    </row>
    <row r="1538" spans="1:2" x14ac:dyDescent="0.25">
      <c r="A1538" s="104"/>
      <c r="B1538" s="104"/>
    </row>
    <row r="1539" spans="1:2" x14ac:dyDescent="0.25">
      <c r="A1539" s="104"/>
      <c r="B1539" s="104"/>
    </row>
    <row r="1540" spans="1:2" x14ac:dyDescent="0.25">
      <c r="A1540" s="104"/>
      <c r="B1540" s="104"/>
    </row>
    <row r="1541" spans="1:2" x14ac:dyDescent="0.25">
      <c r="A1541" s="104"/>
      <c r="B1541" s="104"/>
    </row>
    <row r="1542" spans="1:2" x14ac:dyDescent="0.25">
      <c r="A1542" s="104"/>
      <c r="B1542" s="104"/>
    </row>
    <row r="1543" spans="1:2" x14ac:dyDescent="0.25">
      <c r="A1543" s="104"/>
      <c r="B1543" s="104"/>
    </row>
    <row r="1544" spans="1:2" x14ac:dyDescent="0.25">
      <c r="A1544" s="104"/>
      <c r="B1544" s="104"/>
    </row>
    <row r="1545" spans="1:2" x14ac:dyDescent="0.25">
      <c r="A1545" s="104"/>
      <c r="B1545" s="104"/>
    </row>
    <row r="1546" spans="1:2" x14ac:dyDescent="0.25">
      <c r="A1546" s="104"/>
      <c r="B1546" s="104"/>
    </row>
    <row r="1547" spans="1:2" x14ac:dyDescent="0.25">
      <c r="A1547" s="104"/>
      <c r="B1547" s="104"/>
    </row>
    <row r="1548" spans="1:2" x14ac:dyDescent="0.25">
      <c r="A1548" s="104"/>
      <c r="B1548" s="104"/>
    </row>
    <row r="1549" spans="1:2" x14ac:dyDescent="0.25">
      <c r="A1549" s="104"/>
      <c r="B1549" s="104"/>
    </row>
    <row r="1550" spans="1:2" x14ac:dyDescent="0.25">
      <c r="A1550" s="104"/>
      <c r="B1550" s="104"/>
    </row>
    <row r="1551" spans="1:2" x14ac:dyDescent="0.25">
      <c r="A1551" s="104"/>
      <c r="B1551" s="104"/>
    </row>
    <row r="1552" spans="1:2" x14ac:dyDescent="0.25">
      <c r="A1552" s="104"/>
      <c r="B1552" s="104"/>
    </row>
    <row r="1553" spans="1:2" x14ac:dyDescent="0.25">
      <c r="A1553" s="104"/>
      <c r="B1553" s="104"/>
    </row>
    <row r="1554" spans="1:2" x14ac:dyDescent="0.25">
      <c r="A1554" s="104"/>
      <c r="B1554" s="104"/>
    </row>
    <row r="1555" spans="1:2" x14ac:dyDescent="0.25">
      <c r="A1555" s="104"/>
      <c r="B1555" s="104"/>
    </row>
    <row r="1556" spans="1:2" x14ac:dyDescent="0.25">
      <c r="A1556" s="104"/>
      <c r="B1556" s="104"/>
    </row>
    <row r="1557" spans="1:2" x14ac:dyDescent="0.25">
      <c r="A1557" s="104"/>
      <c r="B1557" s="104"/>
    </row>
    <row r="1558" spans="1:2" x14ac:dyDescent="0.25">
      <c r="A1558" s="104"/>
      <c r="B1558" s="104"/>
    </row>
    <row r="1559" spans="1:2" x14ac:dyDescent="0.25">
      <c r="A1559" s="104"/>
      <c r="B1559" s="104"/>
    </row>
    <row r="1560" spans="1:2" x14ac:dyDescent="0.25">
      <c r="A1560" s="104"/>
      <c r="B1560" s="104"/>
    </row>
    <row r="1561" spans="1:2" x14ac:dyDescent="0.25">
      <c r="A1561" s="104"/>
      <c r="B1561" s="104"/>
    </row>
    <row r="1562" spans="1:2" x14ac:dyDescent="0.25">
      <c r="A1562" s="104"/>
      <c r="B1562" s="104"/>
    </row>
    <row r="1563" spans="1:2" x14ac:dyDescent="0.25">
      <c r="A1563" s="104"/>
      <c r="B1563" s="104"/>
    </row>
    <row r="1564" spans="1:2" x14ac:dyDescent="0.25">
      <c r="A1564" s="104"/>
      <c r="B1564" s="104"/>
    </row>
    <row r="1565" spans="1:2" x14ac:dyDescent="0.25">
      <c r="A1565" s="104"/>
      <c r="B1565" s="104"/>
    </row>
    <row r="1566" spans="1:2" x14ac:dyDescent="0.25">
      <c r="A1566" s="104"/>
      <c r="B1566" s="104"/>
    </row>
    <row r="1567" spans="1:2" x14ac:dyDescent="0.25">
      <c r="A1567" s="104"/>
      <c r="B1567" s="104"/>
    </row>
    <row r="1568" spans="1:2" x14ac:dyDescent="0.25">
      <c r="A1568" s="104"/>
      <c r="B1568" s="104"/>
    </row>
    <row r="1569" spans="1:2" x14ac:dyDescent="0.25">
      <c r="A1569" s="104"/>
      <c r="B1569" s="104"/>
    </row>
    <row r="1570" spans="1:2" x14ac:dyDescent="0.25">
      <c r="A1570" s="104"/>
      <c r="B1570" s="104"/>
    </row>
    <row r="1571" spans="1:2" x14ac:dyDescent="0.25">
      <c r="A1571" s="104"/>
      <c r="B1571" s="104"/>
    </row>
    <row r="1572" spans="1:2" x14ac:dyDescent="0.25">
      <c r="A1572" s="104"/>
      <c r="B1572" s="104"/>
    </row>
    <row r="1573" spans="1:2" x14ac:dyDescent="0.25">
      <c r="A1573" s="104"/>
      <c r="B1573" s="104"/>
    </row>
    <row r="1574" spans="1:2" x14ac:dyDescent="0.25">
      <c r="A1574" s="104"/>
      <c r="B1574" s="104"/>
    </row>
    <row r="1575" spans="1:2" x14ac:dyDescent="0.25">
      <c r="A1575" s="104"/>
      <c r="B1575" s="104"/>
    </row>
    <row r="1576" spans="1:2" x14ac:dyDescent="0.25">
      <c r="A1576" s="104"/>
      <c r="B1576" s="104"/>
    </row>
    <row r="1577" spans="1:2" x14ac:dyDescent="0.25">
      <c r="A1577" s="104"/>
      <c r="B1577" s="104"/>
    </row>
    <row r="1578" spans="1:2" x14ac:dyDescent="0.25">
      <c r="A1578" s="104"/>
      <c r="B1578" s="104"/>
    </row>
    <row r="1579" spans="1:2" x14ac:dyDescent="0.25">
      <c r="A1579" s="104"/>
      <c r="B1579" s="104"/>
    </row>
    <row r="1580" spans="1:2" x14ac:dyDescent="0.25">
      <c r="A1580" s="104"/>
      <c r="B1580" s="104"/>
    </row>
    <row r="1581" spans="1:2" x14ac:dyDescent="0.25">
      <c r="A1581" s="104"/>
      <c r="B1581" s="104"/>
    </row>
    <row r="1582" spans="1:2" x14ac:dyDescent="0.25">
      <c r="A1582" s="104"/>
      <c r="B1582" s="104"/>
    </row>
    <row r="1583" spans="1:2" x14ac:dyDescent="0.25">
      <c r="A1583" s="104"/>
      <c r="B1583" s="104"/>
    </row>
    <row r="1584" spans="1:2" x14ac:dyDescent="0.25">
      <c r="A1584" s="104"/>
      <c r="B1584" s="104"/>
    </row>
    <row r="1585" spans="1:2" x14ac:dyDescent="0.25">
      <c r="A1585" s="104"/>
      <c r="B1585" s="104"/>
    </row>
    <row r="1586" spans="1:2" x14ac:dyDescent="0.25">
      <c r="A1586" s="104"/>
      <c r="B1586" s="104"/>
    </row>
    <row r="1587" spans="1:2" x14ac:dyDescent="0.25">
      <c r="A1587" s="104"/>
      <c r="B1587" s="104"/>
    </row>
    <row r="1588" spans="1:2" x14ac:dyDescent="0.25">
      <c r="A1588" s="104"/>
      <c r="B1588" s="104"/>
    </row>
    <row r="1589" spans="1:2" x14ac:dyDescent="0.25">
      <c r="A1589" s="104"/>
      <c r="B1589" s="104"/>
    </row>
    <row r="1590" spans="1:2" x14ac:dyDescent="0.25">
      <c r="A1590" s="104"/>
      <c r="B1590" s="104"/>
    </row>
    <row r="1591" spans="1:2" x14ac:dyDescent="0.25">
      <c r="A1591" s="104"/>
      <c r="B1591" s="104"/>
    </row>
    <row r="1592" spans="1:2" x14ac:dyDescent="0.25">
      <c r="A1592" s="104"/>
      <c r="B1592" s="104"/>
    </row>
    <row r="1593" spans="1:2" x14ac:dyDescent="0.25">
      <c r="A1593" s="104"/>
      <c r="B1593" s="104"/>
    </row>
    <row r="1594" spans="1:2" x14ac:dyDescent="0.25">
      <c r="A1594" s="104"/>
      <c r="B1594" s="104"/>
    </row>
    <row r="1595" spans="1:2" x14ac:dyDescent="0.25">
      <c r="A1595" s="104"/>
      <c r="B1595" s="104"/>
    </row>
    <row r="1596" spans="1:2" x14ac:dyDescent="0.25">
      <c r="A1596" s="104"/>
      <c r="B1596" s="104"/>
    </row>
    <row r="1597" spans="1:2" x14ac:dyDescent="0.25">
      <c r="A1597" s="104"/>
      <c r="B1597" s="104"/>
    </row>
    <row r="1598" spans="1:2" x14ac:dyDescent="0.25">
      <c r="A1598" s="104"/>
      <c r="B1598" s="104"/>
    </row>
    <row r="1599" spans="1:2" x14ac:dyDescent="0.25">
      <c r="A1599" s="104"/>
      <c r="B1599" s="104"/>
    </row>
    <row r="1600" spans="1:2" x14ac:dyDescent="0.25">
      <c r="A1600" s="104"/>
      <c r="B1600" s="104"/>
    </row>
    <row r="1601" spans="1:2" x14ac:dyDescent="0.25">
      <c r="A1601" s="104"/>
      <c r="B1601" s="104"/>
    </row>
    <row r="1602" spans="1:2" x14ac:dyDescent="0.25">
      <c r="A1602" s="104"/>
      <c r="B1602" s="104"/>
    </row>
    <row r="1603" spans="1:2" x14ac:dyDescent="0.25">
      <c r="A1603" s="104"/>
      <c r="B1603" s="104"/>
    </row>
    <row r="1604" spans="1:2" x14ac:dyDescent="0.25">
      <c r="A1604" s="104"/>
      <c r="B1604" s="104"/>
    </row>
    <row r="1605" spans="1:2" x14ac:dyDescent="0.25">
      <c r="A1605" s="104"/>
      <c r="B1605" s="104"/>
    </row>
    <row r="1606" spans="1:2" x14ac:dyDescent="0.25">
      <c r="A1606" s="104"/>
      <c r="B1606" s="104"/>
    </row>
    <row r="1607" spans="1:2" x14ac:dyDescent="0.25">
      <c r="A1607" s="104"/>
      <c r="B1607" s="104"/>
    </row>
    <row r="1608" spans="1:2" x14ac:dyDescent="0.25">
      <c r="A1608" s="104"/>
      <c r="B1608" s="104"/>
    </row>
    <row r="1609" spans="1:2" x14ac:dyDescent="0.25">
      <c r="A1609" s="104"/>
      <c r="B1609" s="104"/>
    </row>
    <row r="1610" spans="1:2" x14ac:dyDescent="0.25">
      <c r="A1610" s="104"/>
      <c r="B1610" s="104"/>
    </row>
    <row r="1611" spans="1:2" x14ac:dyDescent="0.25">
      <c r="A1611" s="104"/>
      <c r="B1611" s="104"/>
    </row>
    <row r="1612" spans="1:2" x14ac:dyDescent="0.25">
      <c r="A1612" s="104"/>
      <c r="B1612" s="104"/>
    </row>
    <row r="1613" spans="1:2" x14ac:dyDescent="0.25">
      <c r="A1613" s="104"/>
      <c r="B1613" s="104"/>
    </row>
    <row r="1614" spans="1:2" x14ac:dyDescent="0.25">
      <c r="A1614" s="104"/>
      <c r="B1614" s="104"/>
    </row>
    <row r="1615" spans="1:2" x14ac:dyDescent="0.25">
      <c r="A1615" s="104"/>
      <c r="B1615" s="104"/>
    </row>
    <row r="1616" spans="1:2" x14ac:dyDescent="0.25">
      <c r="A1616" s="104"/>
      <c r="B1616" s="104"/>
    </row>
    <row r="1617" spans="1:2" x14ac:dyDescent="0.25">
      <c r="A1617" s="104"/>
      <c r="B1617" s="104"/>
    </row>
    <row r="1618" spans="1:2" x14ac:dyDescent="0.25">
      <c r="A1618" s="104"/>
      <c r="B1618" s="104"/>
    </row>
    <row r="1619" spans="1:2" x14ac:dyDescent="0.25">
      <c r="A1619" s="104"/>
      <c r="B1619" s="104"/>
    </row>
    <row r="1620" spans="1:2" x14ac:dyDescent="0.25">
      <c r="A1620" s="104"/>
      <c r="B1620" s="104"/>
    </row>
    <row r="1621" spans="1:2" x14ac:dyDescent="0.25">
      <c r="A1621" s="104"/>
      <c r="B1621" s="104"/>
    </row>
    <row r="1622" spans="1:2" x14ac:dyDescent="0.25">
      <c r="A1622" s="104"/>
      <c r="B1622" s="104"/>
    </row>
    <row r="1623" spans="1:2" x14ac:dyDescent="0.25">
      <c r="A1623" s="104"/>
      <c r="B1623" s="104"/>
    </row>
    <row r="1624" spans="1:2" x14ac:dyDescent="0.25">
      <c r="A1624" s="104"/>
      <c r="B1624" s="104"/>
    </row>
    <row r="1625" spans="1:2" x14ac:dyDescent="0.25">
      <c r="A1625" s="104"/>
      <c r="B1625" s="104"/>
    </row>
    <row r="1626" spans="1:2" x14ac:dyDescent="0.25">
      <c r="A1626" s="104"/>
      <c r="B1626" s="104"/>
    </row>
    <row r="1627" spans="1:2" x14ac:dyDescent="0.25">
      <c r="A1627" s="104"/>
      <c r="B1627" s="104"/>
    </row>
    <row r="1628" spans="1:2" x14ac:dyDescent="0.25">
      <c r="A1628" s="104"/>
      <c r="B1628" s="104"/>
    </row>
    <row r="1629" spans="1:2" x14ac:dyDescent="0.25">
      <c r="A1629" s="104"/>
      <c r="B1629" s="104"/>
    </row>
    <row r="1630" spans="1:2" x14ac:dyDescent="0.25">
      <c r="A1630" s="104"/>
      <c r="B1630" s="104"/>
    </row>
    <row r="1631" spans="1:2" x14ac:dyDescent="0.25">
      <c r="A1631" s="104"/>
      <c r="B1631" s="104"/>
    </row>
    <row r="1632" spans="1:2" x14ac:dyDescent="0.25">
      <c r="A1632" s="104"/>
      <c r="B1632" s="104"/>
    </row>
    <row r="1633" spans="1:2" x14ac:dyDescent="0.25">
      <c r="A1633" s="104"/>
      <c r="B1633" s="104"/>
    </row>
    <row r="1634" spans="1:2" x14ac:dyDescent="0.25">
      <c r="A1634" s="104"/>
      <c r="B1634" s="104"/>
    </row>
    <row r="1635" spans="1:2" x14ac:dyDescent="0.25">
      <c r="A1635" s="104"/>
      <c r="B1635" s="104"/>
    </row>
    <row r="1636" spans="1:2" x14ac:dyDescent="0.25">
      <c r="A1636" s="104"/>
      <c r="B1636" s="104"/>
    </row>
    <row r="1637" spans="1:2" x14ac:dyDescent="0.25">
      <c r="A1637" s="104"/>
      <c r="B1637" s="104"/>
    </row>
    <row r="1638" spans="1:2" x14ac:dyDescent="0.25">
      <c r="A1638" s="104"/>
      <c r="B1638" s="104"/>
    </row>
    <row r="1639" spans="1:2" x14ac:dyDescent="0.25">
      <c r="A1639" s="104"/>
      <c r="B1639" s="104"/>
    </row>
    <row r="1640" spans="1:2" x14ac:dyDescent="0.25">
      <c r="A1640" s="104"/>
      <c r="B1640" s="104"/>
    </row>
    <row r="1641" spans="1:2" x14ac:dyDescent="0.25">
      <c r="A1641" s="104"/>
      <c r="B1641" s="104"/>
    </row>
    <row r="1642" spans="1:2" x14ac:dyDescent="0.25">
      <c r="A1642" s="104"/>
      <c r="B1642" s="104"/>
    </row>
    <row r="1643" spans="1:2" x14ac:dyDescent="0.25">
      <c r="A1643" s="104"/>
      <c r="B1643" s="104"/>
    </row>
    <row r="1644" spans="1:2" x14ac:dyDescent="0.25">
      <c r="A1644" s="104"/>
      <c r="B1644" s="104"/>
    </row>
    <row r="1645" spans="1:2" x14ac:dyDescent="0.25">
      <c r="A1645" s="104"/>
      <c r="B1645" s="104"/>
    </row>
    <row r="1646" spans="1:2" x14ac:dyDescent="0.25">
      <c r="A1646" s="104"/>
      <c r="B1646" s="104"/>
    </row>
    <row r="1647" spans="1:2" x14ac:dyDescent="0.25">
      <c r="A1647" s="104"/>
      <c r="B1647" s="104"/>
    </row>
    <row r="1648" spans="1:2" x14ac:dyDescent="0.25">
      <c r="A1648" s="104"/>
      <c r="B1648" s="104"/>
    </row>
    <row r="1649" spans="1:2" x14ac:dyDescent="0.25">
      <c r="A1649" s="104"/>
      <c r="B1649" s="104"/>
    </row>
    <row r="1650" spans="1:2" x14ac:dyDescent="0.25">
      <c r="A1650" s="104"/>
      <c r="B1650" s="104"/>
    </row>
    <row r="1651" spans="1:2" x14ac:dyDescent="0.25">
      <c r="A1651" s="104"/>
      <c r="B1651" s="104"/>
    </row>
    <row r="1652" spans="1:2" x14ac:dyDescent="0.25">
      <c r="A1652" s="104"/>
      <c r="B1652" s="104"/>
    </row>
    <row r="1653" spans="1:2" x14ac:dyDescent="0.25">
      <c r="A1653" s="104"/>
      <c r="B1653" s="104"/>
    </row>
    <row r="1654" spans="1:2" x14ac:dyDescent="0.25">
      <c r="A1654" s="104"/>
      <c r="B1654" s="104"/>
    </row>
    <row r="1655" spans="1:2" x14ac:dyDescent="0.25">
      <c r="A1655" s="104"/>
      <c r="B1655" s="104"/>
    </row>
    <row r="1656" spans="1:2" x14ac:dyDescent="0.25">
      <c r="A1656" s="104"/>
      <c r="B1656" s="104"/>
    </row>
    <row r="1657" spans="1:2" x14ac:dyDescent="0.25">
      <c r="A1657" s="104"/>
      <c r="B1657" s="104"/>
    </row>
    <row r="1658" spans="1:2" x14ac:dyDescent="0.25">
      <c r="A1658" s="104"/>
      <c r="B1658" s="104"/>
    </row>
    <row r="1659" spans="1:2" x14ac:dyDescent="0.25">
      <c r="A1659" s="104"/>
      <c r="B1659" s="104"/>
    </row>
    <row r="1660" spans="1:2" x14ac:dyDescent="0.25">
      <c r="A1660" s="104"/>
      <c r="B1660" s="104"/>
    </row>
    <row r="1661" spans="1:2" x14ac:dyDescent="0.25">
      <c r="A1661" s="104"/>
      <c r="B1661" s="104"/>
    </row>
    <row r="1662" spans="1:2" x14ac:dyDescent="0.25">
      <c r="A1662" s="104"/>
      <c r="B1662" s="104"/>
    </row>
    <row r="1663" spans="1:2" x14ac:dyDescent="0.25">
      <c r="A1663" s="104"/>
      <c r="B1663" s="104"/>
    </row>
    <row r="1664" spans="1:2" x14ac:dyDescent="0.25">
      <c r="A1664" s="104"/>
      <c r="B1664" s="104"/>
    </row>
    <row r="1665" spans="1:2" x14ac:dyDescent="0.25">
      <c r="A1665" s="104"/>
      <c r="B1665" s="104"/>
    </row>
    <row r="1666" spans="1:2" x14ac:dyDescent="0.25">
      <c r="A1666" s="104"/>
      <c r="B1666" s="104"/>
    </row>
    <row r="1667" spans="1:2" x14ac:dyDescent="0.25">
      <c r="A1667" s="104"/>
      <c r="B1667" s="104"/>
    </row>
    <row r="1668" spans="1:2" x14ac:dyDescent="0.25">
      <c r="A1668" s="104"/>
      <c r="B1668" s="104"/>
    </row>
    <row r="1669" spans="1:2" x14ac:dyDescent="0.25">
      <c r="A1669" s="104"/>
      <c r="B1669" s="104"/>
    </row>
    <row r="1670" spans="1:2" x14ac:dyDescent="0.25">
      <c r="A1670" s="104"/>
      <c r="B1670" s="104"/>
    </row>
    <row r="1671" spans="1:2" x14ac:dyDescent="0.25">
      <c r="A1671" s="104"/>
      <c r="B1671" s="104"/>
    </row>
    <row r="1672" spans="1:2" x14ac:dyDescent="0.25">
      <c r="A1672" s="104"/>
      <c r="B1672" s="104"/>
    </row>
    <row r="1673" spans="1:2" x14ac:dyDescent="0.25">
      <c r="A1673" s="104"/>
      <c r="B1673" s="104"/>
    </row>
    <row r="1674" spans="1:2" x14ac:dyDescent="0.25">
      <c r="A1674" s="104"/>
      <c r="B1674" s="104"/>
    </row>
    <row r="1675" spans="1:2" x14ac:dyDescent="0.25">
      <c r="A1675" s="104"/>
      <c r="B1675" s="104"/>
    </row>
    <row r="1676" spans="1:2" x14ac:dyDescent="0.25">
      <c r="A1676" s="104"/>
      <c r="B1676" s="104"/>
    </row>
    <row r="1677" spans="1:2" x14ac:dyDescent="0.25">
      <c r="A1677" s="104"/>
      <c r="B1677" s="104"/>
    </row>
    <row r="1678" spans="1:2" x14ac:dyDescent="0.25">
      <c r="A1678" s="104"/>
      <c r="B1678" s="104"/>
    </row>
    <row r="1679" spans="1:2" x14ac:dyDescent="0.25">
      <c r="A1679" s="104"/>
      <c r="B1679" s="104"/>
    </row>
    <row r="1680" spans="1:2" x14ac:dyDescent="0.25">
      <c r="A1680" s="104"/>
      <c r="B1680" s="104"/>
    </row>
    <row r="1681" spans="1:2" x14ac:dyDescent="0.25">
      <c r="A1681" s="104"/>
      <c r="B1681" s="104"/>
    </row>
    <row r="1682" spans="1:2" x14ac:dyDescent="0.25">
      <c r="A1682" s="104"/>
      <c r="B1682" s="104"/>
    </row>
    <row r="1683" spans="1:2" x14ac:dyDescent="0.25">
      <c r="A1683" s="104"/>
      <c r="B1683" s="104"/>
    </row>
    <row r="1684" spans="1:2" x14ac:dyDescent="0.25">
      <c r="A1684" s="104"/>
      <c r="B1684" s="104"/>
    </row>
    <row r="1685" spans="1:2" x14ac:dyDescent="0.25">
      <c r="A1685" s="104"/>
      <c r="B1685" s="104"/>
    </row>
    <row r="1686" spans="1:2" x14ac:dyDescent="0.25">
      <c r="A1686" s="104"/>
      <c r="B1686" s="104"/>
    </row>
    <row r="1687" spans="1:2" x14ac:dyDescent="0.25">
      <c r="A1687" s="104"/>
      <c r="B1687" s="104"/>
    </row>
    <row r="1688" spans="1:2" x14ac:dyDescent="0.25">
      <c r="A1688" s="104"/>
      <c r="B1688" s="104"/>
    </row>
    <row r="1689" spans="1:2" x14ac:dyDescent="0.25">
      <c r="A1689" s="104"/>
      <c r="B1689" s="104"/>
    </row>
    <row r="1690" spans="1:2" x14ac:dyDescent="0.25">
      <c r="A1690" s="104"/>
      <c r="B1690" s="104"/>
    </row>
    <row r="1691" spans="1:2" x14ac:dyDescent="0.25">
      <c r="A1691" s="104"/>
      <c r="B1691" s="104"/>
    </row>
    <row r="1692" spans="1:2" x14ac:dyDescent="0.25">
      <c r="A1692" s="104"/>
      <c r="B1692" s="104"/>
    </row>
    <row r="1693" spans="1:2" x14ac:dyDescent="0.25">
      <c r="A1693" s="104"/>
      <c r="B1693" s="104"/>
    </row>
    <row r="1694" spans="1:2" x14ac:dyDescent="0.25">
      <c r="A1694" s="104"/>
      <c r="B1694" s="104"/>
    </row>
    <row r="1695" spans="1:2" x14ac:dyDescent="0.25">
      <c r="A1695" s="104"/>
      <c r="B1695" s="104"/>
    </row>
    <row r="1696" spans="1:2" x14ac:dyDescent="0.25">
      <c r="A1696" s="104"/>
      <c r="B1696" s="104"/>
    </row>
    <row r="1697" spans="1:2" x14ac:dyDescent="0.25">
      <c r="A1697" s="104"/>
      <c r="B1697" s="104"/>
    </row>
    <row r="1698" spans="1:2" x14ac:dyDescent="0.25">
      <c r="A1698" s="104"/>
      <c r="B1698" s="104"/>
    </row>
    <row r="1699" spans="1:2" x14ac:dyDescent="0.25">
      <c r="A1699" s="104"/>
      <c r="B1699" s="104"/>
    </row>
    <row r="1700" spans="1:2" x14ac:dyDescent="0.25">
      <c r="A1700" s="104"/>
      <c r="B1700" s="104"/>
    </row>
    <row r="1701" spans="1:2" x14ac:dyDescent="0.25">
      <c r="A1701" s="104"/>
      <c r="B1701" s="104"/>
    </row>
    <row r="1702" spans="1:2" x14ac:dyDescent="0.25">
      <c r="A1702" s="104"/>
      <c r="B1702" s="104"/>
    </row>
    <row r="1703" spans="1:2" x14ac:dyDescent="0.25">
      <c r="A1703" s="104"/>
      <c r="B1703" s="104"/>
    </row>
    <row r="1704" spans="1:2" x14ac:dyDescent="0.25">
      <c r="A1704" s="104"/>
      <c r="B1704" s="104"/>
    </row>
    <row r="1705" spans="1:2" x14ac:dyDescent="0.25">
      <c r="A1705" s="104"/>
      <c r="B1705" s="104"/>
    </row>
    <row r="1706" spans="1:2" x14ac:dyDescent="0.25">
      <c r="A1706" s="104"/>
      <c r="B1706" s="104"/>
    </row>
    <row r="1707" spans="1:2" x14ac:dyDescent="0.25">
      <c r="A1707" s="104"/>
      <c r="B1707" s="104"/>
    </row>
    <row r="1708" spans="1:2" x14ac:dyDescent="0.25">
      <c r="A1708" s="104"/>
      <c r="B1708" s="104"/>
    </row>
    <row r="1709" spans="1:2" x14ac:dyDescent="0.25">
      <c r="A1709" s="104"/>
      <c r="B1709" s="104"/>
    </row>
    <row r="1710" spans="1:2" x14ac:dyDescent="0.25">
      <c r="A1710" s="104"/>
      <c r="B1710" s="104"/>
    </row>
    <row r="1711" spans="1:2" x14ac:dyDescent="0.25">
      <c r="A1711" s="104"/>
      <c r="B1711" s="104"/>
    </row>
    <row r="1712" spans="1:2" x14ac:dyDescent="0.25">
      <c r="A1712" s="104"/>
      <c r="B1712" s="104"/>
    </row>
    <row r="1713" spans="1:2" x14ac:dyDescent="0.25">
      <c r="A1713" s="104"/>
      <c r="B1713" s="104"/>
    </row>
    <row r="1714" spans="1:2" x14ac:dyDescent="0.25">
      <c r="A1714" s="104"/>
      <c r="B1714" s="104"/>
    </row>
    <row r="1715" spans="1:2" x14ac:dyDescent="0.25">
      <c r="A1715" s="104"/>
      <c r="B1715" s="104"/>
    </row>
    <row r="1716" spans="1:2" x14ac:dyDescent="0.25">
      <c r="A1716" s="104"/>
      <c r="B1716" s="104"/>
    </row>
    <row r="1717" spans="1:2" x14ac:dyDescent="0.25">
      <c r="A1717" s="104"/>
      <c r="B1717" s="104"/>
    </row>
    <row r="1718" spans="1:2" x14ac:dyDescent="0.25">
      <c r="A1718" s="104"/>
      <c r="B1718" s="104"/>
    </row>
    <row r="1719" spans="1:2" x14ac:dyDescent="0.25">
      <c r="A1719" s="104"/>
      <c r="B1719" s="104"/>
    </row>
    <row r="1720" spans="1:2" x14ac:dyDescent="0.25">
      <c r="A1720" s="104"/>
      <c r="B1720" s="104"/>
    </row>
    <row r="1721" spans="1:2" x14ac:dyDescent="0.25">
      <c r="A1721" s="104"/>
      <c r="B1721" s="104"/>
    </row>
    <row r="1722" spans="1:2" x14ac:dyDescent="0.25">
      <c r="A1722" s="104"/>
      <c r="B1722" s="104"/>
    </row>
    <row r="1723" spans="1:2" x14ac:dyDescent="0.25">
      <c r="A1723" s="104"/>
      <c r="B1723" s="104"/>
    </row>
    <row r="1724" spans="1:2" x14ac:dyDescent="0.25">
      <c r="A1724" s="104"/>
      <c r="B1724" s="104"/>
    </row>
    <row r="1725" spans="1:2" x14ac:dyDescent="0.25">
      <c r="A1725" s="104"/>
      <c r="B1725" s="104"/>
    </row>
    <row r="1726" spans="1:2" x14ac:dyDescent="0.25">
      <c r="A1726" s="104"/>
      <c r="B1726" s="104"/>
    </row>
    <row r="1727" spans="1:2" x14ac:dyDescent="0.25">
      <c r="A1727" s="104"/>
      <c r="B1727" s="104"/>
    </row>
    <row r="1728" spans="1:2" x14ac:dyDescent="0.25">
      <c r="A1728" s="104"/>
      <c r="B1728" s="104"/>
    </row>
    <row r="1729" spans="1:2" x14ac:dyDescent="0.25">
      <c r="A1729" s="104"/>
      <c r="B1729" s="104"/>
    </row>
    <row r="1730" spans="1:2" x14ac:dyDescent="0.25">
      <c r="A1730" s="104"/>
      <c r="B1730" s="104"/>
    </row>
    <row r="1731" spans="1:2" x14ac:dyDescent="0.25">
      <c r="A1731" s="104"/>
      <c r="B1731" s="104"/>
    </row>
    <row r="1732" spans="1:2" x14ac:dyDescent="0.25">
      <c r="A1732" s="104"/>
      <c r="B1732" s="104"/>
    </row>
    <row r="1733" spans="1:2" x14ac:dyDescent="0.25">
      <c r="A1733" s="104"/>
      <c r="B1733" s="104"/>
    </row>
    <row r="1734" spans="1:2" x14ac:dyDescent="0.25">
      <c r="A1734" s="104"/>
      <c r="B1734" s="104"/>
    </row>
    <row r="1735" spans="1:2" x14ac:dyDescent="0.25">
      <c r="A1735" s="104"/>
      <c r="B1735" s="104"/>
    </row>
    <row r="1736" spans="1:2" x14ac:dyDescent="0.25">
      <c r="A1736" s="104"/>
      <c r="B1736" s="104"/>
    </row>
    <row r="1737" spans="1:2" x14ac:dyDescent="0.25">
      <c r="A1737" s="104"/>
      <c r="B1737" s="104"/>
    </row>
    <row r="1738" spans="1:2" x14ac:dyDescent="0.25">
      <c r="A1738" s="104"/>
      <c r="B1738" s="104"/>
    </row>
    <row r="1739" spans="1:2" x14ac:dyDescent="0.25">
      <c r="A1739" s="104"/>
      <c r="B1739" s="104"/>
    </row>
    <row r="1740" spans="1:2" x14ac:dyDescent="0.25">
      <c r="A1740" s="104"/>
      <c r="B1740" s="104"/>
    </row>
    <row r="1741" spans="1:2" x14ac:dyDescent="0.25">
      <c r="A1741" s="104"/>
      <c r="B1741" s="104"/>
    </row>
    <row r="1742" spans="1:2" x14ac:dyDescent="0.25">
      <c r="A1742" s="104"/>
      <c r="B1742" s="104"/>
    </row>
    <row r="1743" spans="1:2" x14ac:dyDescent="0.25">
      <c r="A1743" s="104"/>
      <c r="B1743" s="104"/>
    </row>
    <row r="1744" spans="1:2" x14ac:dyDescent="0.25">
      <c r="A1744" s="104"/>
      <c r="B1744" s="104"/>
    </row>
    <row r="1745" spans="1:2" x14ac:dyDescent="0.25">
      <c r="A1745" s="104"/>
      <c r="B1745" s="104"/>
    </row>
    <row r="1746" spans="1:2" x14ac:dyDescent="0.25">
      <c r="A1746" s="104"/>
      <c r="B1746" s="104"/>
    </row>
    <row r="1747" spans="1:2" x14ac:dyDescent="0.25">
      <c r="A1747" s="104"/>
      <c r="B1747" s="104"/>
    </row>
    <row r="1748" spans="1:2" x14ac:dyDescent="0.25">
      <c r="A1748" s="104"/>
      <c r="B1748" s="104"/>
    </row>
    <row r="1749" spans="1:2" x14ac:dyDescent="0.25">
      <c r="A1749" s="104"/>
      <c r="B1749" s="104"/>
    </row>
    <row r="1750" spans="1:2" x14ac:dyDescent="0.25">
      <c r="A1750" s="104"/>
      <c r="B1750" s="104"/>
    </row>
    <row r="1751" spans="1:2" x14ac:dyDescent="0.25">
      <c r="A1751" s="104"/>
      <c r="B1751" s="104"/>
    </row>
    <row r="1752" spans="1:2" x14ac:dyDescent="0.25">
      <c r="A1752" s="104"/>
      <c r="B1752" s="104"/>
    </row>
    <row r="1753" spans="1:2" x14ac:dyDescent="0.25">
      <c r="A1753" s="104"/>
      <c r="B1753" s="104"/>
    </row>
    <row r="1754" spans="1:2" x14ac:dyDescent="0.25">
      <c r="A1754" s="104"/>
      <c r="B1754" s="104"/>
    </row>
    <row r="1755" spans="1:2" x14ac:dyDescent="0.25">
      <c r="A1755" s="104"/>
      <c r="B1755" s="104"/>
    </row>
    <row r="1756" spans="1:2" x14ac:dyDescent="0.25">
      <c r="A1756" s="104"/>
      <c r="B1756" s="104"/>
    </row>
    <row r="1757" spans="1:2" x14ac:dyDescent="0.25">
      <c r="A1757" s="104"/>
      <c r="B1757" s="104"/>
    </row>
    <row r="1758" spans="1:2" x14ac:dyDescent="0.25">
      <c r="A1758" s="104"/>
      <c r="B1758" s="104"/>
    </row>
    <row r="1759" spans="1:2" x14ac:dyDescent="0.25">
      <c r="A1759" s="104"/>
      <c r="B1759" s="104"/>
    </row>
    <row r="1760" spans="1:2" x14ac:dyDescent="0.25">
      <c r="A1760" s="104"/>
      <c r="B1760" s="104"/>
    </row>
    <row r="1761" spans="1:2" x14ac:dyDescent="0.25">
      <c r="A1761" s="104"/>
      <c r="B1761" s="104"/>
    </row>
    <row r="1762" spans="1:2" x14ac:dyDescent="0.25">
      <c r="A1762" s="104"/>
      <c r="B1762" s="104"/>
    </row>
    <row r="1763" spans="1:2" x14ac:dyDescent="0.25">
      <c r="A1763" s="104"/>
      <c r="B1763" s="104"/>
    </row>
    <row r="1764" spans="1:2" x14ac:dyDescent="0.25">
      <c r="A1764" s="104"/>
      <c r="B1764" s="104"/>
    </row>
    <row r="1765" spans="1:2" x14ac:dyDescent="0.25">
      <c r="A1765" s="104"/>
      <c r="B1765" s="104"/>
    </row>
    <row r="1766" spans="1:2" x14ac:dyDescent="0.25">
      <c r="A1766" s="104"/>
      <c r="B1766" s="104"/>
    </row>
    <row r="1767" spans="1:2" x14ac:dyDescent="0.25">
      <c r="A1767" s="104"/>
      <c r="B1767" s="104"/>
    </row>
    <row r="1768" spans="1:2" x14ac:dyDescent="0.25">
      <c r="A1768" s="104"/>
      <c r="B1768" s="104"/>
    </row>
    <row r="1769" spans="1:2" x14ac:dyDescent="0.25">
      <c r="A1769" s="104"/>
      <c r="B1769" s="104"/>
    </row>
    <row r="1770" spans="1:2" x14ac:dyDescent="0.25">
      <c r="A1770" s="104"/>
      <c r="B1770" s="104"/>
    </row>
    <row r="1771" spans="1:2" x14ac:dyDescent="0.25">
      <c r="A1771" s="104"/>
      <c r="B1771" s="104"/>
    </row>
    <row r="1772" spans="1:2" x14ac:dyDescent="0.25">
      <c r="A1772" s="104"/>
      <c r="B1772" s="104"/>
    </row>
    <row r="1773" spans="1:2" x14ac:dyDescent="0.25">
      <c r="A1773" s="104"/>
      <c r="B1773" s="104"/>
    </row>
    <row r="1774" spans="1:2" x14ac:dyDescent="0.25">
      <c r="A1774" s="104"/>
      <c r="B1774" s="104"/>
    </row>
    <row r="1775" spans="1:2" x14ac:dyDescent="0.25">
      <c r="A1775" s="104"/>
      <c r="B1775" s="104"/>
    </row>
    <row r="1776" spans="1:2" x14ac:dyDescent="0.25">
      <c r="A1776" s="104"/>
      <c r="B1776" s="104"/>
    </row>
    <row r="1777" spans="1:2" x14ac:dyDescent="0.25">
      <c r="A1777" s="104"/>
      <c r="B1777" s="104"/>
    </row>
    <row r="1778" spans="1:2" x14ac:dyDescent="0.25">
      <c r="A1778" s="104"/>
      <c r="B1778" s="104"/>
    </row>
    <row r="1779" spans="1:2" x14ac:dyDescent="0.25">
      <c r="A1779" s="104"/>
      <c r="B1779" s="104"/>
    </row>
    <row r="1780" spans="1:2" x14ac:dyDescent="0.25">
      <c r="A1780" s="104"/>
      <c r="B1780" s="104"/>
    </row>
    <row r="1781" spans="1:2" x14ac:dyDescent="0.25">
      <c r="A1781" s="104"/>
      <c r="B1781" s="104"/>
    </row>
    <row r="1782" spans="1:2" x14ac:dyDescent="0.25">
      <c r="A1782" s="104"/>
      <c r="B1782" s="104"/>
    </row>
    <row r="1783" spans="1:2" x14ac:dyDescent="0.25">
      <c r="A1783" s="104"/>
      <c r="B1783" s="104"/>
    </row>
    <row r="1784" spans="1:2" x14ac:dyDescent="0.25">
      <c r="A1784" s="104"/>
      <c r="B1784" s="104"/>
    </row>
    <row r="1785" spans="1:2" x14ac:dyDescent="0.25">
      <c r="A1785" s="104"/>
      <c r="B1785" s="104"/>
    </row>
    <row r="1786" spans="1:2" x14ac:dyDescent="0.25">
      <c r="A1786" s="104"/>
      <c r="B1786" s="104"/>
    </row>
    <row r="1787" spans="1:2" x14ac:dyDescent="0.25">
      <c r="A1787" s="104"/>
      <c r="B1787" s="104"/>
    </row>
    <row r="1788" spans="1:2" x14ac:dyDescent="0.25">
      <c r="A1788" s="104"/>
      <c r="B1788" s="104"/>
    </row>
    <row r="1789" spans="1:2" x14ac:dyDescent="0.25">
      <c r="A1789" s="104"/>
      <c r="B1789" s="104"/>
    </row>
    <row r="1790" spans="1:2" x14ac:dyDescent="0.25">
      <c r="A1790" s="104"/>
      <c r="B1790" s="104"/>
    </row>
    <row r="1791" spans="1:2" x14ac:dyDescent="0.25">
      <c r="A1791" s="104"/>
      <c r="B1791" s="104"/>
    </row>
    <row r="1792" spans="1:2" x14ac:dyDescent="0.25">
      <c r="A1792" s="104"/>
      <c r="B1792" s="104"/>
    </row>
    <row r="1793" spans="1:2" x14ac:dyDescent="0.25">
      <c r="A1793" s="104"/>
      <c r="B1793" s="104"/>
    </row>
    <row r="1794" spans="1:2" x14ac:dyDescent="0.25">
      <c r="A1794" s="104"/>
      <c r="B1794" s="104"/>
    </row>
    <row r="1795" spans="1:2" x14ac:dyDescent="0.25">
      <c r="A1795" s="104"/>
      <c r="B1795" s="104"/>
    </row>
    <row r="1796" spans="1:2" x14ac:dyDescent="0.25">
      <c r="A1796" s="104"/>
      <c r="B1796" s="104"/>
    </row>
    <row r="1797" spans="1:2" x14ac:dyDescent="0.25">
      <c r="A1797" s="104"/>
      <c r="B1797" s="104"/>
    </row>
    <row r="1798" spans="1:2" x14ac:dyDescent="0.25">
      <c r="A1798" s="104"/>
      <c r="B1798" s="104"/>
    </row>
    <row r="1799" spans="1:2" x14ac:dyDescent="0.25">
      <c r="A1799" s="104"/>
      <c r="B1799" s="104"/>
    </row>
    <row r="1800" spans="1:2" x14ac:dyDescent="0.25">
      <c r="A1800" s="104"/>
      <c r="B1800" s="104"/>
    </row>
    <row r="1801" spans="1:2" x14ac:dyDescent="0.25">
      <c r="A1801" s="104"/>
      <c r="B1801" s="104"/>
    </row>
    <row r="1802" spans="1:2" x14ac:dyDescent="0.25">
      <c r="A1802" s="104"/>
      <c r="B1802" s="104"/>
    </row>
    <row r="1803" spans="1:2" x14ac:dyDescent="0.25">
      <c r="A1803" s="104"/>
      <c r="B1803" s="104"/>
    </row>
    <row r="1804" spans="1:2" x14ac:dyDescent="0.25">
      <c r="A1804" s="104"/>
      <c r="B1804" s="104"/>
    </row>
    <row r="1805" spans="1:2" x14ac:dyDescent="0.25">
      <c r="A1805" s="104"/>
      <c r="B1805" s="104"/>
    </row>
    <row r="1806" spans="1:2" x14ac:dyDescent="0.25">
      <c r="A1806" s="104"/>
      <c r="B1806" s="104"/>
    </row>
    <row r="1807" spans="1:2" x14ac:dyDescent="0.25">
      <c r="A1807" s="104"/>
      <c r="B1807" s="104"/>
    </row>
    <row r="1808" spans="1:2" x14ac:dyDescent="0.25">
      <c r="A1808" s="104"/>
      <c r="B1808" s="104"/>
    </row>
    <row r="1809" spans="1:2" x14ac:dyDescent="0.25">
      <c r="A1809" s="104"/>
      <c r="B1809" s="104"/>
    </row>
    <row r="1810" spans="1:2" x14ac:dyDescent="0.25">
      <c r="A1810" s="104"/>
      <c r="B1810" s="104"/>
    </row>
    <row r="1811" spans="1:2" x14ac:dyDescent="0.25">
      <c r="A1811" s="104"/>
      <c r="B1811" s="104"/>
    </row>
    <row r="1812" spans="1:2" x14ac:dyDescent="0.25">
      <c r="A1812" s="104"/>
      <c r="B1812" s="104"/>
    </row>
    <row r="1813" spans="1:2" x14ac:dyDescent="0.25">
      <c r="A1813" s="104"/>
      <c r="B1813" s="104"/>
    </row>
    <row r="1814" spans="1:2" x14ac:dyDescent="0.25">
      <c r="A1814" s="104"/>
      <c r="B1814" s="104"/>
    </row>
    <row r="1815" spans="1:2" x14ac:dyDescent="0.25">
      <c r="A1815" s="104"/>
      <c r="B1815" s="104"/>
    </row>
    <row r="1816" spans="1:2" x14ac:dyDescent="0.25">
      <c r="A1816" s="104"/>
      <c r="B1816" s="104"/>
    </row>
    <row r="1817" spans="1:2" x14ac:dyDescent="0.25">
      <c r="A1817" s="104"/>
      <c r="B1817" s="104"/>
    </row>
    <row r="1818" spans="1:2" x14ac:dyDescent="0.25">
      <c r="A1818" s="104"/>
      <c r="B1818" s="104"/>
    </row>
    <row r="1819" spans="1:2" x14ac:dyDescent="0.25">
      <c r="A1819" s="104"/>
      <c r="B1819" s="104"/>
    </row>
    <row r="1820" spans="1:2" x14ac:dyDescent="0.25">
      <c r="A1820" s="104"/>
      <c r="B1820" s="104"/>
    </row>
    <row r="1821" spans="1:2" x14ac:dyDescent="0.25">
      <c r="A1821" s="104"/>
      <c r="B1821" s="104"/>
    </row>
    <row r="1822" spans="1:2" x14ac:dyDescent="0.25">
      <c r="A1822" s="104"/>
      <c r="B1822" s="104"/>
    </row>
    <row r="1823" spans="1:2" x14ac:dyDescent="0.25">
      <c r="A1823" s="104"/>
      <c r="B1823" s="104"/>
    </row>
    <row r="1824" spans="1:2" x14ac:dyDescent="0.25">
      <c r="A1824" s="104"/>
      <c r="B1824" s="104"/>
    </row>
    <row r="1825" spans="1:2" x14ac:dyDescent="0.25">
      <c r="A1825" s="104"/>
      <c r="B1825" s="104"/>
    </row>
    <row r="1826" spans="1:2" x14ac:dyDescent="0.25">
      <c r="A1826" s="104"/>
      <c r="B1826" s="104"/>
    </row>
    <row r="1827" spans="1:2" x14ac:dyDescent="0.25">
      <c r="A1827" s="104"/>
      <c r="B1827" s="104"/>
    </row>
    <row r="1828" spans="1:2" x14ac:dyDescent="0.25">
      <c r="A1828" s="104"/>
      <c r="B1828" s="104"/>
    </row>
    <row r="1829" spans="1:2" x14ac:dyDescent="0.25">
      <c r="A1829" s="104"/>
      <c r="B1829" s="104"/>
    </row>
    <row r="1830" spans="1:2" x14ac:dyDescent="0.25">
      <c r="A1830" s="104"/>
      <c r="B1830" s="104"/>
    </row>
    <row r="1831" spans="1:2" x14ac:dyDescent="0.25">
      <c r="A1831" s="104"/>
      <c r="B1831" s="104"/>
    </row>
    <row r="1832" spans="1:2" x14ac:dyDescent="0.25">
      <c r="A1832" s="104"/>
      <c r="B1832" s="104"/>
    </row>
    <row r="1833" spans="1:2" x14ac:dyDescent="0.25">
      <c r="A1833" s="104"/>
      <c r="B1833" s="104"/>
    </row>
    <row r="1834" spans="1:2" x14ac:dyDescent="0.25">
      <c r="A1834" s="104"/>
      <c r="B1834" s="104"/>
    </row>
    <row r="1835" spans="1:2" x14ac:dyDescent="0.25">
      <c r="A1835" s="104"/>
      <c r="B1835" s="104"/>
    </row>
    <row r="1836" spans="1:2" x14ac:dyDescent="0.25">
      <c r="A1836" s="104"/>
      <c r="B1836" s="104"/>
    </row>
    <row r="1837" spans="1:2" x14ac:dyDescent="0.25">
      <c r="A1837" s="104"/>
      <c r="B1837" s="104"/>
    </row>
    <row r="1838" spans="1:2" x14ac:dyDescent="0.25">
      <c r="A1838" s="104"/>
      <c r="B1838" s="104"/>
    </row>
    <row r="1839" spans="1:2" x14ac:dyDescent="0.25">
      <c r="A1839" s="104"/>
      <c r="B1839" s="104"/>
    </row>
    <row r="1840" spans="1:2" x14ac:dyDescent="0.25">
      <c r="A1840" s="104"/>
      <c r="B1840" s="104"/>
    </row>
    <row r="1841" spans="1:2" x14ac:dyDescent="0.25">
      <c r="A1841" s="104"/>
      <c r="B1841" s="104"/>
    </row>
    <row r="1842" spans="1:2" x14ac:dyDescent="0.25">
      <c r="A1842" s="104"/>
      <c r="B1842" s="104"/>
    </row>
    <row r="1843" spans="1:2" x14ac:dyDescent="0.25">
      <c r="A1843" s="104"/>
      <c r="B1843" s="104"/>
    </row>
    <row r="1844" spans="1:2" x14ac:dyDescent="0.25">
      <c r="A1844" s="104"/>
      <c r="B1844" s="104"/>
    </row>
    <row r="1845" spans="1:2" x14ac:dyDescent="0.25">
      <c r="A1845" s="104"/>
      <c r="B1845" s="104"/>
    </row>
    <row r="1846" spans="1:2" x14ac:dyDescent="0.25">
      <c r="A1846" s="104"/>
      <c r="B1846" s="104"/>
    </row>
    <row r="1847" spans="1:2" x14ac:dyDescent="0.25">
      <c r="A1847" s="104"/>
      <c r="B1847" s="104"/>
    </row>
    <row r="1848" spans="1:2" x14ac:dyDescent="0.25">
      <c r="A1848" s="104"/>
      <c r="B1848" s="104"/>
    </row>
    <row r="1849" spans="1:2" x14ac:dyDescent="0.25">
      <c r="A1849" s="104"/>
      <c r="B1849" s="104"/>
    </row>
    <row r="1850" spans="1:2" x14ac:dyDescent="0.25">
      <c r="A1850" s="104"/>
      <c r="B1850" s="104"/>
    </row>
    <row r="1851" spans="1:2" x14ac:dyDescent="0.25">
      <c r="A1851" s="104"/>
      <c r="B1851" s="104"/>
    </row>
    <row r="1852" spans="1:2" x14ac:dyDescent="0.25">
      <c r="A1852" s="104"/>
      <c r="B1852" s="104"/>
    </row>
    <row r="1853" spans="1:2" x14ac:dyDescent="0.25">
      <c r="A1853" s="104"/>
      <c r="B1853" s="104"/>
    </row>
    <row r="1854" spans="1:2" x14ac:dyDescent="0.25">
      <c r="A1854" s="104"/>
      <c r="B1854" s="104"/>
    </row>
    <row r="1855" spans="1:2" x14ac:dyDescent="0.25">
      <c r="A1855" s="104"/>
      <c r="B1855" s="104"/>
    </row>
    <row r="1856" spans="1:2" x14ac:dyDescent="0.25">
      <c r="A1856" s="104"/>
      <c r="B1856" s="104"/>
    </row>
    <row r="1857" spans="1:2" x14ac:dyDescent="0.25">
      <c r="A1857" s="104"/>
      <c r="B1857" s="104"/>
    </row>
    <row r="1858" spans="1:2" x14ac:dyDescent="0.25">
      <c r="A1858" s="104"/>
      <c r="B1858" s="104"/>
    </row>
    <row r="1859" spans="1:2" x14ac:dyDescent="0.25">
      <c r="A1859" s="104"/>
      <c r="B1859" s="104"/>
    </row>
    <row r="1860" spans="1:2" x14ac:dyDescent="0.25">
      <c r="A1860" s="104"/>
      <c r="B1860" s="104"/>
    </row>
    <row r="1861" spans="1:2" x14ac:dyDescent="0.25">
      <c r="A1861" s="104"/>
      <c r="B1861" s="104"/>
    </row>
    <row r="1862" spans="1:2" x14ac:dyDescent="0.25">
      <c r="A1862" s="104"/>
      <c r="B1862" s="104"/>
    </row>
    <row r="1863" spans="1:2" x14ac:dyDescent="0.25">
      <c r="A1863" s="104"/>
      <c r="B1863" s="104"/>
    </row>
    <row r="1864" spans="1:2" x14ac:dyDescent="0.25">
      <c r="A1864" s="104"/>
      <c r="B1864" s="104"/>
    </row>
    <row r="1865" spans="1:2" x14ac:dyDescent="0.25">
      <c r="A1865" s="104"/>
      <c r="B1865" s="104"/>
    </row>
    <row r="1866" spans="1:2" x14ac:dyDescent="0.25">
      <c r="A1866" s="104"/>
      <c r="B1866" s="104"/>
    </row>
    <row r="1867" spans="1:2" x14ac:dyDescent="0.25">
      <c r="A1867" s="104"/>
      <c r="B1867" s="104"/>
    </row>
    <row r="1868" spans="1:2" x14ac:dyDescent="0.25">
      <c r="A1868" s="104"/>
      <c r="B1868" s="104"/>
    </row>
    <row r="1869" spans="1:2" x14ac:dyDescent="0.25">
      <c r="A1869" s="104"/>
      <c r="B1869" s="104"/>
    </row>
    <row r="1870" spans="1:2" x14ac:dyDescent="0.25">
      <c r="A1870" s="104"/>
      <c r="B1870" s="104"/>
    </row>
    <row r="1871" spans="1:2" x14ac:dyDescent="0.25">
      <c r="A1871" s="104"/>
      <c r="B1871" s="104"/>
    </row>
    <row r="1872" spans="1:2" x14ac:dyDescent="0.25">
      <c r="A1872" s="104"/>
      <c r="B1872" s="104"/>
    </row>
    <row r="1873" spans="1:2" x14ac:dyDescent="0.25">
      <c r="A1873" s="104"/>
      <c r="B1873" s="104"/>
    </row>
    <row r="1874" spans="1:2" x14ac:dyDescent="0.25">
      <c r="A1874" s="104"/>
      <c r="B1874" s="104"/>
    </row>
    <row r="1875" spans="1:2" x14ac:dyDescent="0.25">
      <c r="A1875" s="104"/>
      <c r="B1875" s="104"/>
    </row>
    <row r="1876" spans="1:2" x14ac:dyDescent="0.25">
      <c r="A1876" s="104"/>
      <c r="B1876" s="104"/>
    </row>
    <row r="1877" spans="1:2" x14ac:dyDescent="0.25">
      <c r="A1877" s="104"/>
      <c r="B1877" s="104"/>
    </row>
    <row r="1878" spans="1:2" x14ac:dyDescent="0.25">
      <c r="A1878" s="104"/>
      <c r="B1878" s="104"/>
    </row>
    <row r="1879" spans="1:2" x14ac:dyDescent="0.25">
      <c r="A1879" s="104"/>
      <c r="B1879" s="104"/>
    </row>
    <row r="1880" spans="1:2" x14ac:dyDescent="0.25">
      <c r="A1880" s="104"/>
      <c r="B1880" s="104"/>
    </row>
    <row r="1881" spans="1:2" x14ac:dyDescent="0.25">
      <c r="A1881" s="104"/>
      <c r="B1881" s="104"/>
    </row>
    <row r="1882" spans="1:2" x14ac:dyDescent="0.25">
      <c r="A1882" s="104"/>
      <c r="B1882" s="104"/>
    </row>
    <row r="1883" spans="1:2" x14ac:dyDescent="0.25">
      <c r="A1883" s="104"/>
      <c r="B1883" s="104"/>
    </row>
    <row r="1884" spans="1:2" x14ac:dyDescent="0.25">
      <c r="A1884" s="104"/>
      <c r="B1884" s="104"/>
    </row>
    <row r="1885" spans="1:2" x14ac:dyDescent="0.25">
      <c r="A1885" s="104"/>
      <c r="B1885" s="104"/>
    </row>
    <row r="1886" spans="1:2" x14ac:dyDescent="0.25">
      <c r="A1886" s="104"/>
      <c r="B1886" s="104"/>
    </row>
    <row r="1887" spans="1:2" x14ac:dyDescent="0.25">
      <c r="A1887" s="104"/>
      <c r="B1887" s="104"/>
    </row>
    <row r="1888" spans="1:2" x14ac:dyDescent="0.25">
      <c r="A1888" s="104"/>
      <c r="B1888" s="104"/>
    </row>
    <row r="1889" spans="1:2" x14ac:dyDescent="0.25">
      <c r="A1889" s="104"/>
      <c r="B1889" s="104"/>
    </row>
    <row r="1890" spans="1:2" x14ac:dyDescent="0.25">
      <c r="A1890" s="104"/>
      <c r="B1890" s="104"/>
    </row>
    <row r="1891" spans="1:2" x14ac:dyDescent="0.25">
      <c r="A1891" s="104"/>
      <c r="B1891" s="104"/>
    </row>
    <row r="1892" spans="1:2" x14ac:dyDescent="0.25">
      <c r="A1892" s="104"/>
      <c r="B1892" s="104"/>
    </row>
    <row r="1893" spans="1:2" x14ac:dyDescent="0.25">
      <c r="A1893" s="104"/>
      <c r="B1893" s="104"/>
    </row>
    <row r="1894" spans="1:2" x14ac:dyDescent="0.25">
      <c r="A1894" s="104"/>
      <c r="B1894" s="104"/>
    </row>
    <row r="1895" spans="1:2" x14ac:dyDescent="0.25">
      <c r="A1895" s="104"/>
      <c r="B1895" s="104"/>
    </row>
    <row r="1896" spans="1:2" x14ac:dyDescent="0.25">
      <c r="A1896" s="104"/>
      <c r="B1896" s="104"/>
    </row>
    <row r="1897" spans="1:2" x14ac:dyDescent="0.25">
      <c r="A1897" s="104"/>
      <c r="B1897" s="104"/>
    </row>
    <row r="1898" spans="1:2" x14ac:dyDescent="0.25">
      <c r="A1898" s="104"/>
      <c r="B1898" s="104"/>
    </row>
    <row r="1899" spans="1:2" x14ac:dyDescent="0.25">
      <c r="A1899" s="104"/>
      <c r="B1899" s="104"/>
    </row>
    <row r="1900" spans="1:2" x14ac:dyDescent="0.25">
      <c r="A1900" s="104"/>
      <c r="B1900" s="104"/>
    </row>
    <row r="1901" spans="1:2" x14ac:dyDescent="0.25">
      <c r="A1901" s="104"/>
      <c r="B1901" s="104"/>
    </row>
    <row r="1902" spans="1:2" x14ac:dyDescent="0.25">
      <c r="A1902" s="104"/>
      <c r="B1902" s="104"/>
    </row>
    <row r="1903" spans="1:2" x14ac:dyDescent="0.25">
      <c r="A1903" s="104"/>
      <c r="B1903" s="104"/>
    </row>
    <row r="1904" spans="1:2" x14ac:dyDescent="0.25">
      <c r="A1904" s="104"/>
      <c r="B1904" s="104"/>
    </row>
    <row r="1905" spans="1:2" x14ac:dyDescent="0.25">
      <c r="A1905" s="104"/>
      <c r="B1905" s="104"/>
    </row>
    <row r="1906" spans="1:2" x14ac:dyDescent="0.25">
      <c r="A1906" s="104"/>
      <c r="B1906" s="104"/>
    </row>
    <row r="1907" spans="1:2" x14ac:dyDescent="0.25">
      <c r="A1907" s="104"/>
      <c r="B1907" s="104"/>
    </row>
    <row r="1908" spans="1:2" x14ac:dyDescent="0.25">
      <c r="A1908" s="104"/>
      <c r="B1908" s="104"/>
    </row>
    <row r="1909" spans="1:2" x14ac:dyDescent="0.25">
      <c r="A1909" s="104"/>
      <c r="B1909" s="104"/>
    </row>
    <row r="1910" spans="1:2" x14ac:dyDescent="0.25">
      <c r="A1910" s="104"/>
      <c r="B1910" s="104"/>
    </row>
    <row r="1911" spans="1:2" x14ac:dyDescent="0.25">
      <c r="A1911" s="104"/>
      <c r="B1911" s="104"/>
    </row>
    <row r="1912" spans="1:2" x14ac:dyDescent="0.25">
      <c r="A1912" s="104"/>
      <c r="B1912" s="104"/>
    </row>
    <row r="1913" spans="1:2" x14ac:dyDescent="0.25">
      <c r="A1913" s="104"/>
      <c r="B1913" s="104"/>
    </row>
    <row r="1914" spans="1:2" x14ac:dyDescent="0.25">
      <c r="A1914" s="104"/>
      <c r="B1914" s="104"/>
    </row>
    <row r="1915" spans="1:2" x14ac:dyDescent="0.25">
      <c r="A1915" s="104"/>
      <c r="B1915" s="104"/>
    </row>
    <row r="1916" spans="1:2" x14ac:dyDescent="0.25">
      <c r="A1916" s="104"/>
      <c r="B1916" s="104"/>
    </row>
    <row r="1917" spans="1:2" x14ac:dyDescent="0.25">
      <c r="A1917" s="104"/>
      <c r="B1917" s="104"/>
    </row>
    <row r="1918" spans="1:2" x14ac:dyDescent="0.25">
      <c r="A1918" s="104"/>
      <c r="B1918" s="104"/>
    </row>
    <row r="1919" spans="1:2" x14ac:dyDescent="0.25">
      <c r="A1919" s="104"/>
      <c r="B1919" s="104"/>
    </row>
    <row r="1920" spans="1:2" x14ac:dyDescent="0.25">
      <c r="A1920" s="104"/>
      <c r="B1920" s="104"/>
    </row>
    <row r="1921" spans="1:2" x14ac:dyDescent="0.25">
      <c r="A1921" s="104"/>
      <c r="B1921" s="104"/>
    </row>
    <row r="1922" spans="1:2" x14ac:dyDescent="0.25">
      <c r="A1922" s="104"/>
      <c r="B1922" s="104"/>
    </row>
    <row r="1923" spans="1:2" x14ac:dyDescent="0.25">
      <c r="A1923" s="104"/>
      <c r="B1923" s="104"/>
    </row>
    <row r="1924" spans="1:2" x14ac:dyDescent="0.25">
      <c r="A1924" s="104"/>
      <c r="B1924" s="104"/>
    </row>
    <row r="1925" spans="1:2" x14ac:dyDescent="0.25">
      <c r="A1925" s="104"/>
      <c r="B1925" s="104"/>
    </row>
    <row r="1926" spans="1:2" x14ac:dyDescent="0.25">
      <c r="A1926" s="104"/>
      <c r="B1926" s="104"/>
    </row>
    <row r="1927" spans="1:2" x14ac:dyDescent="0.25">
      <c r="A1927" s="104"/>
      <c r="B1927" s="104"/>
    </row>
    <row r="1928" spans="1:2" x14ac:dyDescent="0.25">
      <c r="A1928" s="104"/>
      <c r="B1928" s="104"/>
    </row>
    <row r="1929" spans="1:2" x14ac:dyDescent="0.25">
      <c r="A1929" s="104"/>
      <c r="B1929" s="104"/>
    </row>
    <row r="1930" spans="1:2" x14ac:dyDescent="0.25">
      <c r="A1930" s="104"/>
      <c r="B1930" s="104"/>
    </row>
    <row r="1931" spans="1:2" x14ac:dyDescent="0.25">
      <c r="A1931" s="104"/>
      <c r="B1931" s="104"/>
    </row>
    <row r="1932" spans="1:2" x14ac:dyDescent="0.25">
      <c r="A1932" s="104"/>
      <c r="B1932" s="104"/>
    </row>
    <row r="1933" spans="1:2" x14ac:dyDescent="0.25">
      <c r="A1933" s="104"/>
      <c r="B1933" s="104"/>
    </row>
    <row r="1934" spans="1:2" x14ac:dyDescent="0.25">
      <c r="A1934" s="104"/>
      <c r="B1934" s="104"/>
    </row>
    <row r="1935" spans="1:2" x14ac:dyDescent="0.25">
      <c r="A1935" s="104"/>
      <c r="B1935" s="104"/>
    </row>
    <row r="1936" spans="1:2" x14ac:dyDescent="0.25">
      <c r="A1936" s="104"/>
      <c r="B1936" s="104"/>
    </row>
    <row r="1937" spans="1:2" x14ac:dyDescent="0.25">
      <c r="A1937" s="104"/>
      <c r="B1937" s="104"/>
    </row>
    <row r="1938" spans="1:2" x14ac:dyDescent="0.25">
      <c r="A1938" s="104"/>
      <c r="B1938" s="104"/>
    </row>
    <row r="1939" spans="1:2" x14ac:dyDescent="0.25">
      <c r="A1939" s="104"/>
      <c r="B1939" s="104"/>
    </row>
    <row r="1940" spans="1:2" x14ac:dyDescent="0.25">
      <c r="A1940" s="104"/>
      <c r="B1940" s="104"/>
    </row>
    <row r="1941" spans="1:2" x14ac:dyDescent="0.25">
      <c r="A1941" s="104"/>
      <c r="B1941" s="104"/>
    </row>
    <row r="1942" spans="1:2" x14ac:dyDescent="0.25">
      <c r="A1942" s="104"/>
      <c r="B1942" s="104"/>
    </row>
    <row r="1943" spans="1:2" x14ac:dyDescent="0.25">
      <c r="A1943" s="104"/>
      <c r="B1943" s="104"/>
    </row>
    <row r="1944" spans="1:2" x14ac:dyDescent="0.25">
      <c r="A1944" s="104"/>
      <c r="B1944" s="104"/>
    </row>
    <row r="1945" spans="1:2" x14ac:dyDescent="0.25">
      <c r="A1945" s="104"/>
      <c r="B1945" s="104"/>
    </row>
    <row r="1946" spans="1:2" x14ac:dyDescent="0.25">
      <c r="A1946" s="104"/>
      <c r="B1946" s="104"/>
    </row>
    <row r="1947" spans="1:2" x14ac:dyDescent="0.25">
      <c r="A1947" s="104"/>
      <c r="B1947" s="104"/>
    </row>
    <row r="1948" spans="1:2" x14ac:dyDescent="0.25">
      <c r="A1948" s="104"/>
      <c r="B1948" s="104"/>
    </row>
    <row r="1949" spans="1:2" x14ac:dyDescent="0.25">
      <c r="A1949" s="104"/>
      <c r="B1949" s="104"/>
    </row>
    <row r="1950" spans="1:2" x14ac:dyDescent="0.25">
      <c r="A1950" s="104"/>
      <c r="B1950" s="104"/>
    </row>
    <row r="1951" spans="1:2" x14ac:dyDescent="0.25">
      <c r="A1951" s="104"/>
      <c r="B1951" s="104"/>
    </row>
    <row r="1952" spans="1:2" x14ac:dyDescent="0.25">
      <c r="A1952" s="104"/>
      <c r="B1952" s="104"/>
    </row>
    <row r="1953" spans="1:2" x14ac:dyDescent="0.25">
      <c r="A1953" s="104"/>
      <c r="B1953" s="104"/>
    </row>
    <row r="1954" spans="1:2" x14ac:dyDescent="0.25">
      <c r="A1954" s="104"/>
      <c r="B1954" s="104"/>
    </row>
    <row r="1955" spans="1:2" x14ac:dyDescent="0.25">
      <c r="A1955" s="104"/>
      <c r="B1955" s="104"/>
    </row>
    <row r="1956" spans="1:2" x14ac:dyDescent="0.25">
      <c r="A1956" s="104"/>
      <c r="B1956" s="104"/>
    </row>
    <row r="1957" spans="1:2" x14ac:dyDescent="0.25">
      <c r="A1957" s="104"/>
      <c r="B1957" s="104"/>
    </row>
    <row r="1958" spans="1:2" x14ac:dyDescent="0.25">
      <c r="A1958" s="104"/>
      <c r="B1958" s="104"/>
    </row>
    <row r="1959" spans="1:2" x14ac:dyDescent="0.25">
      <c r="A1959" s="104"/>
      <c r="B1959" s="104"/>
    </row>
    <row r="1960" spans="1:2" x14ac:dyDescent="0.25">
      <c r="A1960" s="104"/>
      <c r="B1960" s="104"/>
    </row>
    <row r="1961" spans="1:2" x14ac:dyDescent="0.25">
      <c r="A1961" s="104"/>
      <c r="B1961" s="104"/>
    </row>
    <row r="1962" spans="1:2" x14ac:dyDescent="0.25">
      <c r="A1962" s="104"/>
      <c r="B1962" s="104"/>
    </row>
    <row r="1963" spans="1:2" x14ac:dyDescent="0.25">
      <c r="A1963" s="104"/>
      <c r="B1963" s="104"/>
    </row>
    <row r="1964" spans="1:2" x14ac:dyDescent="0.25">
      <c r="A1964" s="104"/>
      <c r="B1964" s="104"/>
    </row>
    <row r="1965" spans="1:2" x14ac:dyDescent="0.25">
      <c r="A1965" s="104"/>
      <c r="B1965" s="104"/>
    </row>
    <row r="1966" spans="1:2" x14ac:dyDescent="0.25">
      <c r="A1966" s="104"/>
      <c r="B1966" s="104"/>
    </row>
    <row r="1967" spans="1:2" x14ac:dyDescent="0.25">
      <c r="A1967" s="104"/>
      <c r="B1967" s="104"/>
    </row>
    <row r="1968" spans="1:2" x14ac:dyDescent="0.25">
      <c r="A1968" s="104"/>
      <c r="B1968" s="104"/>
    </row>
    <row r="1969" spans="1:2" x14ac:dyDescent="0.25">
      <c r="A1969" s="104"/>
      <c r="B1969" s="104"/>
    </row>
    <row r="1970" spans="1:2" x14ac:dyDescent="0.25">
      <c r="A1970" s="104"/>
      <c r="B1970" s="104"/>
    </row>
    <row r="1971" spans="1:2" x14ac:dyDescent="0.25">
      <c r="A1971" s="104"/>
      <c r="B1971" s="104"/>
    </row>
    <row r="1972" spans="1:2" x14ac:dyDescent="0.25">
      <c r="A1972" s="104"/>
      <c r="B1972" s="104"/>
    </row>
    <row r="1973" spans="1:2" x14ac:dyDescent="0.25">
      <c r="A1973" s="104"/>
      <c r="B1973" s="104"/>
    </row>
    <row r="1974" spans="1:2" x14ac:dyDescent="0.25">
      <c r="A1974" s="104"/>
      <c r="B1974" s="104"/>
    </row>
    <row r="1975" spans="1:2" x14ac:dyDescent="0.25">
      <c r="A1975" s="104"/>
      <c r="B1975" s="104"/>
    </row>
    <row r="1976" spans="1:2" x14ac:dyDescent="0.25">
      <c r="A1976" s="104"/>
      <c r="B1976" s="104"/>
    </row>
    <row r="1977" spans="1:2" x14ac:dyDescent="0.25">
      <c r="A1977" s="104"/>
      <c r="B1977" s="104"/>
    </row>
    <row r="1978" spans="1:2" x14ac:dyDescent="0.25">
      <c r="A1978" s="104"/>
      <c r="B1978" s="104"/>
    </row>
    <row r="1979" spans="1:2" x14ac:dyDescent="0.25">
      <c r="A1979" s="104"/>
      <c r="B1979" s="104"/>
    </row>
    <row r="1980" spans="1:2" x14ac:dyDescent="0.25">
      <c r="A1980" s="104"/>
      <c r="B1980" s="104"/>
    </row>
    <row r="1981" spans="1:2" x14ac:dyDescent="0.25">
      <c r="A1981" s="104"/>
      <c r="B1981" s="104"/>
    </row>
    <row r="1982" spans="1:2" x14ac:dyDescent="0.25">
      <c r="A1982" s="104"/>
      <c r="B1982" s="104"/>
    </row>
    <row r="1983" spans="1:2" x14ac:dyDescent="0.25">
      <c r="A1983" s="104"/>
      <c r="B1983" s="104"/>
    </row>
    <row r="1984" spans="1:2" x14ac:dyDescent="0.25">
      <c r="A1984" s="104"/>
      <c r="B1984" s="104"/>
    </row>
    <row r="1985" spans="1:2" x14ac:dyDescent="0.25">
      <c r="A1985" s="104"/>
      <c r="B1985" s="104"/>
    </row>
    <row r="1986" spans="1:2" x14ac:dyDescent="0.25">
      <c r="A1986" s="104"/>
      <c r="B1986" s="104"/>
    </row>
    <row r="1987" spans="1:2" x14ac:dyDescent="0.25">
      <c r="A1987" s="104"/>
      <c r="B1987" s="104"/>
    </row>
    <row r="1988" spans="1:2" x14ac:dyDescent="0.25">
      <c r="A1988" s="104"/>
      <c r="B1988" s="104"/>
    </row>
    <row r="1989" spans="1:2" x14ac:dyDescent="0.25">
      <c r="A1989" s="104"/>
      <c r="B1989" s="104"/>
    </row>
    <row r="1990" spans="1:2" x14ac:dyDescent="0.25">
      <c r="A1990" s="104"/>
      <c r="B1990" s="104"/>
    </row>
    <row r="1991" spans="1:2" x14ac:dyDescent="0.25">
      <c r="A1991" s="104"/>
      <c r="B1991" s="104"/>
    </row>
    <row r="1992" spans="1:2" x14ac:dyDescent="0.25">
      <c r="A1992" s="104"/>
      <c r="B1992" s="104"/>
    </row>
    <row r="1993" spans="1:2" x14ac:dyDescent="0.25">
      <c r="A1993" s="104"/>
      <c r="B1993" s="104"/>
    </row>
    <row r="1994" spans="1:2" x14ac:dyDescent="0.25">
      <c r="A1994" s="104"/>
      <c r="B1994" s="104"/>
    </row>
    <row r="1995" spans="1:2" x14ac:dyDescent="0.25">
      <c r="A1995" s="104"/>
      <c r="B1995" s="104"/>
    </row>
    <row r="1996" spans="1:2" x14ac:dyDescent="0.25">
      <c r="A1996" s="104"/>
      <c r="B1996" s="104"/>
    </row>
    <row r="1997" spans="1:2" x14ac:dyDescent="0.25">
      <c r="A1997" s="104"/>
      <c r="B1997" s="104"/>
    </row>
    <row r="1998" spans="1:2" x14ac:dyDescent="0.25">
      <c r="A1998" s="104"/>
      <c r="B1998" s="104"/>
    </row>
    <row r="1999" spans="1:2" x14ac:dyDescent="0.25">
      <c r="A1999" s="104"/>
      <c r="B1999" s="104"/>
    </row>
    <row r="2000" spans="1:2" x14ac:dyDescent="0.25">
      <c r="A2000" s="104"/>
      <c r="B2000" s="104"/>
    </row>
    <row r="2001" spans="1:2" x14ac:dyDescent="0.25">
      <c r="A2001" s="104"/>
      <c r="B2001" s="104"/>
    </row>
    <row r="2002" spans="1:2" x14ac:dyDescent="0.25">
      <c r="A2002" s="104"/>
      <c r="B2002" s="104"/>
    </row>
    <row r="2003" spans="1:2" x14ac:dyDescent="0.25">
      <c r="A2003" s="104"/>
      <c r="B2003" s="104"/>
    </row>
    <row r="2004" spans="1:2" x14ac:dyDescent="0.25">
      <c r="A2004" s="104"/>
      <c r="B2004" s="104"/>
    </row>
    <row r="2005" spans="1:2" x14ac:dyDescent="0.25">
      <c r="A2005" s="104"/>
      <c r="B2005" s="104"/>
    </row>
    <row r="2006" spans="1:2" x14ac:dyDescent="0.25">
      <c r="A2006" s="104"/>
      <c r="B2006" s="104"/>
    </row>
    <row r="2007" spans="1:2" x14ac:dyDescent="0.25">
      <c r="A2007" s="104"/>
      <c r="B2007" s="104"/>
    </row>
    <row r="2008" spans="1:2" x14ac:dyDescent="0.25">
      <c r="A2008" s="104"/>
      <c r="B2008" s="104"/>
    </row>
    <row r="2009" spans="1:2" x14ac:dyDescent="0.25">
      <c r="A2009" s="104"/>
      <c r="B2009" s="104"/>
    </row>
    <row r="2010" spans="1:2" x14ac:dyDescent="0.25">
      <c r="A2010" s="104"/>
      <c r="B2010" s="104"/>
    </row>
    <row r="2011" spans="1:2" x14ac:dyDescent="0.25">
      <c r="A2011" s="104"/>
      <c r="B2011" s="104"/>
    </row>
    <row r="2012" spans="1:2" x14ac:dyDescent="0.25">
      <c r="A2012" s="104"/>
      <c r="B2012" s="104"/>
    </row>
    <row r="2013" spans="1:2" x14ac:dyDescent="0.25">
      <c r="A2013" s="104"/>
      <c r="B2013" s="104"/>
    </row>
    <row r="2014" spans="1:2" x14ac:dyDescent="0.25">
      <c r="A2014" s="104"/>
      <c r="B2014" s="104"/>
    </row>
    <row r="2015" spans="1:2" x14ac:dyDescent="0.25">
      <c r="A2015" s="104"/>
      <c r="B2015" s="104"/>
    </row>
    <row r="2016" spans="1:2" x14ac:dyDescent="0.25">
      <c r="A2016" s="104"/>
      <c r="B2016" s="104"/>
    </row>
    <row r="2017" spans="1:2" x14ac:dyDescent="0.25">
      <c r="A2017" s="104"/>
      <c r="B2017" s="104"/>
    </row>
    <row r="2018" spans="1:2" x14ac:dyDescent="0.25">
      <c r="A2018" s="104"/>
      <c r="B2018" s="104"/>
    </row>
    <row r="2019" spans="1:2" x14ac:dyDescent="0.25">
      <c r="A2019" s="104"/>
      <c r="B2019" s="104"/>
    </row>
    <row r="2020" spans="1:2" x14ac:dyDescent="0.25">
      <c r="A2020" s="104"/>
      <c r="B2020" s="104"/>
    </row>
    <row r="2021" spans="1:2" x14ac:dyDescent="0.25">
      <c r="A2021" s="104"/>
      <c r="B2021" s="104"/>
    </row>
    <row r="2022" spans="1:2" x14ac:dyDescent="0.25">
      <c r="A2022" s="104"/>
      <c r="B2022" s="104"/>
    </row>
    <row r="2023" spans="1:2" x14ac:dyDescent="0.25">
      <c r="A2023" s="104"/>
      <c r="B2023" s="104"/>
    </row>
    <row r="2024" spans="1:2" x14ac:dyDescent="0.25">
      <c r="A2024" s="104"/>
      <c r="B2024" s="104"/>
    </row>
    <row r="2025" spans="1:2" x14ac:dyDescent="0.25">
      <c r="A2025" s="104"/>
      <c r="B2025" s="104"/>
    </row>
    <row r="2026" spans="1:2" x14ac:dyDescent="0.25">
      <c r="A2026" s="104"/>
      <c r="B2026" s="104"/>
    </row>
    <row r="2027" spans="1:2" x14ac:dyDescent="0.25">
      <c r="A2027" s="104"/>
      <c r="B2027" s="104"/>
    </row>
    <row r="2028" spans="1:2" x14ac:dyDescent="0.25">
      <c r="A2028" s="104"/>
      <c r="B2028" s="104"/>
    </row>
    <row r="2029" spans="1:2" x14ac:dyDescent="0.25">
      <c r="A2029" s="104"/>
      <c r="B2029" s="104"/>
    </row>
    <row r="2030" spans="1:2" x14ac:dyDescent="0.25">
      <c r="A2030" s="104"/>
      <c r="B2030" s="104"/>
    </row>
    <row r="2031" spans="1:2" x14ac:dyDescent="0.25">
      <c r="A2031" s="104"/>
      <c r="B2031" s="104"/>
    </row>
    <row r="2032" spans="1:2" x14ac:dyDescent="0.25">
      <c r="A2032" s="104"/>
      <c r="B2032" s="104"/>
    </row>
    <row r="2033" spans="1:2" x14ac:dyDescent="0.25">
      <c r="A2033" s="104"/>
      <c r="B2033" s="104"/>
    </row>
    <row r="2034" spans="1:2" x14ac:dyDescent="0.25">
      <c r="A2034" s="104"/>
      <c r="B2034" s="104"/>
    </row>
    <row r="2035" spans="1:2" x14ac:dyDescent="0.25">
      <c r="A2035" s="104"/>
      <c r="B2035" s="104"/>
    </row>
    <row r="2036" spans="1:2" x14ac:dyDescent="0.25">
      <c r="A2036" s="104"/>
      <c r="B2036" s="104"/>
    </row>
    <row r="2037" spans="1:2" x14ac:dyDescent="0.25">
      <c r="A2037" s="104"/>
      <c r="B2037" s="104"/>
    </row>
    <row r="2038" spans="1:2" x14ac:dyDescent="0.25">
      <c r="A2038" s="104"/>
      <c r="B2038" s="104"/>
    </row>
    <row r="2039" spans="1:2" x14ac:dyDescent="0.25">
      <c r="A2039" s="104"/>
      <c r="B2039" s="104"/>
    </row>
    <row r="2040" spans="1:2" x14ac:dyDescent="0.25">
      <c r="A2040" s="104"/>
      <c r="B2040" s="104"/>
    </row>
    <row r="2041" spans="1:2" x14ac:dyDescent="0.25">
      <c r="A2041" s="104"/>
      <c r="B2041" s="104"/>
    </row>
    <row r="2042" spans="1:2" x14ac:dyDescent="0.25">
      <c r="A2042" s="104"/>
      <c r="B2042" s="104"/>
    </row>
    <row r="2043" spans="1:2" x14ac:dyDescent="0.25">
      <c r="A2043" s="104"/>
      <c r="B2043" s="104"/>
    </row>
    <row r="2044" spans="1:2" x14ac:dyDescent="0.25">
      <c r="A2044" s="104"/>
      <c r="B2044" s="104"/>
    </row>
    <row r="2045" spans="1:2" x14ac:dyDescent="0.25">
      <c r="A2045" s="104"/>
      <c r="B2045" s="104"/>
    </row>
    <row r="2046" spans="1:2" x14ac:dyDescent="0.25">
      <c r="A2046" s="104"/>
      <c r="B2046" s="104"/>
    </row>
    <row r="2047" spans="1:2" x14ac:dyDescent="0.25">
      <c r="A2047" s="104"/>
      <c r="B2047" s="104"/>
    </row>
    <row r="2048" spans="1:2" x14ac:dyDescent="0.25">
      <c r="A2048" s="104"/>
      <c r="B2048" s="104"/>
    </row>
    <row r="2049" spans="1:2" x14ac:dyDescent="0.25">
      <c r="A2049" s="104"/>
      <c r="B2049" s="104"/>
    </row>
    <row r="2050" spans="1:2" x14ac:dyDescent="0.25">
      <c r="A2050" s="104"/>
      <c r="B2050" s="104"/>
    </row>
    <row r="2051" spans="1:2" x14ac:dyDescent="0.25">
      <c r="A2051" s="104"/>
      <c r="B2051" s="104"/>
    </row>
    <row r="2052" spans="1:2" x14ac:dyDescent="0.25">
      <c r="A2052" s="104"/>
      <c r="B2052" s="104"/>
    </row>
    <row r="2053" spans="1:2" x14ac:dyDescent="0.25">
      <c r="A2053" s="104"/>
      <c r="B2053" s="104"/>
    </row>
    <row r="2054" spans="1:2" x14ac:dyDescent="0.25">
      <c r="A2054" s="104"/>
      <c r="B2054" s="104"/>
    </row>
    <row r="2055" spans="1:2" x14ac:dyDescent="0.25">
      <c r="A2055" s="104"/>
      <c r="B2055" s="104"/>
    </row>
    <row r="2056" spans="1:2" x14ac:dyDescent="0.25">
      <c r="A2056" s="104"/>
      <c r="B2056" s="104"/>
    </row>
    <row r="2057" spans="1:2" x14ac:dyDescent="0.25">
      <c r="A2057" s="104"/>
      <c r="B2057" s="104"/>
    </row>
    <row r="2058" spans="1:2" x14ac:dyDescent="0.25">
      <c r="A2058" s="104"/>
      <c r="B2058" s="104"/>
    </row>
    <row r="2059" spans="1:2" x14ac:dyDescent="0.25">
      <c r="A2059" s="104"/>
      <c r="B2059" s="104"/>
    </row>
    <row r="2060" spans="1:2" x14ac:dyDescent="0.25">
      <c r="A2060" s="104"/>
      <c r="B2060" s="104"/>
    </row>
    <row r="2061" spans="1:2" x14ac:dyDescent="0.25">
      <c r="A2061" s="104"/>
      <c r="B2061" s="104"/>
    </row>
    <row r="2062" spans="1:2" x14ac:dyDescent="0.25">
      <c r="A2062" s="104"/>
      <c r="B2062" s="104"/>
    </row>
    <row r="2063" spans="1:2" x14ac:dyDescent="0.25">
      <c r="A2063" s="104"/>
      <c r="B2063" s="104"/>
    </row>
    <row r="2064" spans="1:2" x14ac:dyDescent="0.25">
      <c r="A2064" s="104"/>
      <c r="B2064" s="104"/>
    </row>
    <row r="2065" spans="1:2" x14ac:dyDescent="0.25">
      <c r="A2065" s="104"/>
      <c r="B2065" s="104"/>
    </row>
    <row r="2066" spans="1:2" x14ac:dyDescent="0.25">
      <c r="A2066" s="104"/>
      <c r="B2066" s="104"/>
    </row>
    <row r="2067" spans="1:2" x14ac:dyDescent="0.25">
      <c r="A2067" s="104"/>
      <c r="B2067" s="104"/>
    </row>
    <row r="2068" spans="1:2" x14ac:dyDescent="0.25">
      <c r="A2068" s="104"/>
      <c r="B2068" s="104"/>
    </row>
    <row r="2069" spans="1:2" x14ac:dyDescent="0.25">
      <c r="A2069" s="104"/>
      <c r="B2069" s="104"/>
    </row>
    <row r="2070" spans="1:2" x14ac:dyDescent="0.25">
      <c r="A2070" s="104"/>
      <c r="B2070" s="104"/>
    </row>
    <row r="2071" spans="1:2" x14ac:dyDescent="0.25">
      <c r="A2071" s="104"/>
      <c r="B2071" s="104"/>
    </row>
    <row r="2072" spans="1:2" x14ac:dyDescent="0.25">
      <c r="A2072" s="104"/>
      <c r="B2072" s="104"/>
    </row>
    <row r="2073" spans="1:2" x14ac:dyDescent="0.25">
      <c r="A2073" s="104"/>
      <c r="B2073" s="104"/>
    </row>
    <row r="2074" spans="1:2" x14ac:dyDescent="0.25">
      <c r="A2074" s="104"/>
      <c r="B2074" s="104"/>
    </row>
    <row r="2075" spans="1:2" x14ac:dyDescent="0.25">
      <c r="A2075" s="104"/>
      <c r="B2075" s="104"/>
    </row>
    <row r="2076" spans="1:2" x14ac:dyDescent="0.25">
      <c r="A2076" s="104"/>
      <c r="B2076" s="104"/>
    </row>
    <row r="2077" spans="1:2" x14ac:dyDescent="0.25">
      <c r="A2077" s="104"/>
      <c r="B2077" s="104"/>
    </row>
    <row r="2078" spans="1:2" x14ac:dyDescent="0.25">
      <c r="A2078" s="104"/>
      <c r="B2078" s="104"/>
    </row>
    <row r="2079" spans="1:2" x14ac:dyDescent="0.25">
      <c r="A2079" s="104"/>
      <c r="B2079" s="104"/>
    </row>
    <row r="2080" spans="1:2" x14ac:dyDescent="0.25">
      <c r="A2080" s="104"/>
      <c r="B2080" s="104"/>
    </row>
    <row r="2081" spans="1:2" x14ac:dyDescent="0.25">
      <c r="A2081" s="104"/>
      <c r="B2081" s="104"/>
    </row>
    <row r="2082" spans="1:2" x14ac:dyDescent="0.25">
      <c r="A2082" s="104"/>
      <c r="B2082" s="104"/>
    </row>
    <row r="2083" spans="1:2" x14ac:dyDescent="0.25">
      <c r="A2083" s="104"/>
      <c r="B2083" s="104"/>
    </row>
    <row r="2084" spans="1:2" x14ac:dyDescent="0.25">
      <c r="A2084" s="104"/>
      <c r="B2084" s="104"/>
    </row>
    <row r="2085" spans="1:2" x14ac:dyDescent="0.25">
      <c r="A2085" s="104"/>
      <c r="B2085" s="104"/>
    </row>
    <row r="2086" spans="1:2" x14ac:dyDescent="0.25">
      <c r="A2086" s="104"/>
      <c r="B2086" s="104"/>
    </row>
    <row r="2087" spans="1:2" x14ac:dyDescent="0.25">
      <c r="A2087" s="104"/>
      <c r="B2087" s="104"/>
    </row>
    <row r="2088" spans="1:2" x14ac:dyDescent="0.25">
      <c r="A2088" s="104"/>
      <c r="B2088" s="104"/>
    </row>
    <row r="2089" spans="1:2" x14ac:dyDescent="0.25">
      <c r="A2089" s="104"/>
      <c r="B2089" s="104"/>
    </row>
    <row r="2090" spans="1:2" x14ac:dyDescent="0.25">
      <c r="A2090" s="104"/>
      <c r="B2090" s="104"/>
    </row>
    <row r="2091" spans="1:2" x14ac:dyDescent="0.25">
      <c r="A2091" s="104"/>
      <c r="B2091" s="104"/>
    </row>
    <row r="2092" spans="1:2" x14ac:dyDescent="0.25">
      <c r="A2092" s="104"/>
      <c r="B2092" s="104"/>
    </row>
    <row r="2093" spans="1:2" x14ac:dyDescent="0.25">
      <c r="A2093" s="104"/>
      <c r="B2093" s="104"/>
    </row>
    <row r="2094" spans="1:2" x14ac:dyDescent="0.25">
      <c r="A2094" s="104"/>
      <c r="B2094" s="104"/>
    </row>
    <row r="2095" spans="1:2" x14ac:dyDescent="0.25">
      <c r="A2095" s="104"/>
      <c r="B2095" s="104"/>
    </row>
    <row r="2096" spans="1:2" x14ac:dyDescent="0.25">
      <c r="A2096" s="104"/>
      <c r="B2096" s="104"/>
    </row>
    <row r="2097" spans="1:2" x14ac:dyDescent="0.25">
      <c r="A2097" s="104"/>
      <c r="B2097" s="104"/>
    </row>
    <row r="2098" spans="1:2" x14ac:dyDescent="0.25">
      <c r="A2098" s="104"/>
      <c r="B2098" s="104"/>
    </row>
    <row r="2099" spans="1:2" x14ac:dyDescent="0.25">
      <c r="A2099" s="104"/>
      <c r="B2099" s="104"/>
    </row>
    <row r="2100" spans="1:2" x14ac:dyDescent="0.25">
      <c r="A2100" s="104"/>
      <c r="B2100" s="104"/>
    </row>
    <row r="2101" spans="1:2" x14ac:dyDescent="0.25">
      <c r="A2101" s="104"/>
      <c r="B2101" s="104"/>
    </row>
    <row r="2102" spans="1:2" x14ac:dyDescent="0.25">
      <c r="A2102" s="104"/>
      <c r="B2102" s="104"/>
    </row>
    <row r="2103" spans="1:2" x14ac:dyDescent="0.25">
      <c r="A2103" s="104"/>
      <c r="B2103" s="104"/>
    </row>
    <row r="2104" spans="1:2" x14ac:dyDescent="0.25">
      <c r="A2104" s="104"/>
      <c r="B2104" s="104"/>
    </row>
    <row r="2105" spans="1:2" x14ac:dyDescent="0.25">
      <c r="A2105" s="104"/>
      <c r="B2105" s="104"/>
    </row>
    <row r="2106" spans="1:2" x14ac:dyDescent="0.25">
      <c r="A2106" s="104"/>
      <c r="B2106" s="104"/>
    </row>
    <row r="2107" spans="1:2" x14ac:dyDescent="0.25">
      <c r="A2107" s="104"/>
      <c r="B2107" s="104"/>
    </row>
    <row r="2108" spans="1:2" x14ac:dyDescent="0.25">
      <c r="A2108" s="104"/>
      <c r="B2108" s="104"/>
    </row>
    <row r="2109" spans="1:2" x14ac:dyDescent="0.25">
      <c r="A2109" s="104"/>
      <c r="B2109" s="104"/>
    </row>
    <row r="2110" spans="1:2" x14ac:dyDescent="0.25">
      <c r="A2110" s="104"/>
      <c r="B2110" s="104"/>
    </row>
    <row r="2111" spans="1:2" x14ac:dyDescent="0.25">
      <c r="A2111" s="104"/>
      <c r="B2111" s="104"/>
    </row>
    <row r="2112" spans="1:2" x14ac:dyDescent="0.25">
      <c r="A2112" s="104"/>
      <c r="B2112" s="104"/>
    </row>
    <row r="2113" spans="1:2" x14ac:dyDescent="0.25">
      <c r="A2113" s="104"/>
      <c r="B2113" s="104"/>
    </row>
    <row r="2114" spans="1:2" x14ac:dyDescent="0.25">
      <c r="A2114" s="104"/>
      <c r="B2114" s="104"/>
    </row>
    <row r="2115" spans="1:2" x14ac:dyDescent="0.25">
      <c r="A2115" s="104"/>
      <c r="B2115" s="104"/>
    </row>
    <row r="2116" spans="1:2" x14ac:dyDescent="0.25">
      <c r="A2116" s="104"/>
      <c r="B2116" s="104"/>
    </row>
    <row r="2117" spans="1:2" x14ac:dyDescent="0.25">
      <c r="A2117" s="104"/>
      <c r="B2117" s="104"/>
    </row>
    <row r="2118" spans="1:2" x14ac:dyDescent="0.25">
      <c r="A2118" s="104"/>
      <c r="B2118" s="104"/>
    </row>
    <row r="2119" spans="1:2" x14ac:dyDescent="0.25">
      <c r="A2119" s="104"/>
      <c r="B2119" s="104"/>
    </row>
    <row r="2120" spans="1:2" x14ac:dyDescent="0.25">
      <c r="A2120" s="104"/>
      <c r="B2120" s="104"/>
    </row>
    <row r="2121" spans="1:2" x14ac:dyDescent="0.25">
      <c r="A2121" s="104"/>
      <c r="B2121" s="104"/>
    </row>
    <row r="2122" spans="1:2" x14ac:dyDescent="0.25">
      <c r="A2122" s="104"/>
      <c r="B2122" s="104"/>
    </row>
    <row r="2123" spans="1:2" x14ac:dyDescent="0.25">
      <c r="A2123" s="104"/>
      <c r="B2123" s="104"/>
    </row>
    <row r="2124" spans="1:2" x14ac:dyDescent="0.25">
      <c r="A2124" s="104"/>
      <c r="B2124" s="104"/>
    </row>
    <row r="2125" spans="1:2" x14ac:dyDescent="0.25">
      <c r="A2125" s="104"/>
      <c r="B2125" s="104"/>
    </row>
    <row r="2126" spans="1:2" x14ac:dyDescent="0.25">
      <c r="A2126" s="104"/>
      <c r="B2126" s="104"/>
    </row>
    <row r="2127" spans="1:2" x14ac:dyDescent="0.25">
      <c r="A2127" s="104"/>
      <c r="B2127" s="104"/>
    </row>
    <row r="2128" spans="1:2" x14ac:dyDescent="0.25">
      <c r="A2128" s="104"/>
      <c r="B2128" s="104"/>
    </row>
    <row r="2129" spans="1:2" x14ac:dyDescent="0.25">
      <c r="A2129" s="104"/>
      <c r="B2129" s="104"/>
    </row>
    <row r="2130" spans="1:2" x14ac:dyDescent="0.25">
      <c r="A2130" s="104"/>
      <c r="B2130" s="104"/>
    </row>
    <row r="2131" spans="1:2" x14ac:dyDescent="0.25">
      <c r="A2131" s="104"/>
      <c r="B2131" s="104"/>
    </row>
    <row r="2132" spans="1:2" x14ac:dyDescent="0.25">
      <c r="A2132" s="104"/>
      <c r="B2132" s="104"/>
    </row>
    <row r="2133" spans="1:2" x14ac:dyDescent="0.25">
      <c r="A2133" s="104"/>
      <c r="B2133" s="104"/>
    </row>
    <row r="2134" spans="1:2" x14ac:dyDescent="0.25">
      <c r="A2134" s="104"/>
      <c r="B2134" s="104"/>
    </row>
    <row r="2135" spans="1:2" x14ac:dyDescent="0.25">
      <c r="A2135" s="104"/>
      <c r="B2135" s="104"/>
    </row>
    <row r="2136" spans="1:2" x14ac:dyDescent="0.25">
      <c r="A2136" s="104"/>
      <c r="B2136" s="104"/>
    </row>
    <row r="2137" spans="1:2" x14ac:dyDescent="0.25">
      <c r="A2137" s="104"/>
      <c r="B2137" s="104"/>
    </row>
    <row r="2138" spans="1:2" x14ac:dyDescent="0.25">
      <c r="A2138" s="104"/>
      <c r="B2138" s="104"/>
    </row>
    <row r="2139" spans="1:2" x14ac:dyDescent="0.25">
      <c r="A2139" s="104"/>
      <c r="B2139" s="104"/>
    </row>
    <row r="2140" spans="1:2" x14ac:dyDescent="0.25">
      <c r="A2140" s="104"/>
      <c r="B2140" s="104"/>
    </row>
    <row r="2141" spans="1:2" x14ac:dyDescent="0.25">
      <c r="A2141" s="104"/>
      <c r="B2141" s="104"/>
    </row>
    <row r="2142" spans="1:2" x14ac:dyDescent="0.25">
      <c r="A2142" s="104"/>
      <c r="B2142" s="104"/>
    </row>
    <row r="2143" spans="1:2" x14ac:dyDescent="0.25">
      <c r="A2143" s="104"/>
      <c r="B2143" s="104"/>
    </row>
    <row r="2144" spans="1:2" x14ac:dyDescent="0.25">
      <c r="A2144" s="104"/>
      <c r="B2144" s="104"/>
    </row>
    <row r="2145" spans="1:2" x14ac:dyDescent="0.25">
      <c r="A2145" s="104"/>
      <c r="B2145" s="104"/>
    </row>
    <row r="2146" spans="1:2" x14ac:dyDescent="0.25">
      <c r="A2146" s="104"/>
      <c r="B2146" s="104"/>
    </row>
    <row r="2147" spans="1:2" x14ac:dyDescent="0.25">
      <c r="A2147" s="104"/>
      <c r="B2147" s="104"/>
    </row>
    <row r="2148" spans="1:2" x14ac:dyDescent="0.25">
      <c r="A2148" s="104"/>
      <c r="B2148" s="104"/>
    </row>
    <row r="2149" spans="1:2" x14ac:dyDescent="0.25">
      <c r="A2149" s="104"/>
      <c r="B2149" s="104"/>
    </row>
    <row r="2150" spans="1:2" x14ac:dyDescent="0.25">
      <c r="A2150" s="104"/>
      <c r="B2150" s="104"/>
    </row>
    <row r="2151" spans="1:2" x14ac:dyDescent="0.25">
      <c r="A2151" s="104"/>
      <c r="B2151" s="104"/>
    </row>
    <row r="2152" spans="1:2" x14ac:dyDescent="0.25">
      <c r="A2152" s="104"/>
      <c r="B2152" s="104"/>
    </row>
    <row r="2153" spans="1:2" x14ac:dyDescent="0.25">
      <c r="A2153" s="104"/>
      <c r="B2153" s="104"/>
    </row>
    <row r="2154" spans="1:2" x14ac:dyDescent="0.25">
      <c r="A2154" s="104"/>
      <c r="B2154" s="104"/>
    </row>
    <row r="2155" spans="1:2" x14ac:dyDescent="0.25">
      <c r="A2155" s="104"/>
      <c r="B2155" s="104"/>
    </row>
    <row r="2156" spans="1:2" x14ac:dyDescent="0.25">
      <c r="A2156" s="104"/>
      <c r="B2156" s="104"/>
    </row>
    <row r="2157" spans="1:2" x14ac:dyDescent="0.25">
      <c r="A2157" s="104"/>
      <c r="B2157" s="104"/>
    </row>
    <row r="2158" spans="1:2" x14ac:dyDescent="0.25">
      <c r="A2158" s="104"/>
      <c r="B2158" s="104"/>
    </row>
    <row r="2159" spans="1:2" x14ac:dyDescent="0.25">
      <c r="A2159" s="104"/>
      <c r="B2159" s="104"/>
    </row>
    <row r="2160" spans="1:2" x14ac:dyDescent="0.25">
      <c r="A2160" s="104"/>
      <c r="B2160" s="104"/>
    </row>
    <row r="2161" spans="1:2" x14ac:dyDescent="0.25">
      <c r="A2161" s="104"/>
      <c r="B2161" s="104"/>
    </row>
    <row r="2162" spans="1:2" x14ac:dyDescent="0.25">
      <c r="A2162" s="104"/>
      <c r="B2162" s="104"/>
    </row>
    <row r="2163" spans="1:2" x14ac:dyDescent="0.25">
      <c r="A2163" s="104"/>
      <c r="B2163" s="104"/>
    </row>
    <row r="2164" spans="1:2" x14ac:dyDescent="0.25">
      <c r="A2164" s="104"/>
      <c r="B2164" s="104"/>
    </row>
    <row r="2165" spans="1:2" x14ac:dyDescent="0.25">
      <c r="A2165" s="104"/>
      <c r="B2165" s="104"/>
    </row>
    <row r="2166" spans="1:2" x14ac:dyDescent="0.25">
      <c r="A2166" s="104"/>
      <c r="B2166" s="104"/>
    </row>
    <row r="2167" spans="1:2" x14ac:dyDescent="0.25">
      <c r="A2167" s="104"/>
      <c r="B2167" s="104"/>
    </row>
    <row r="2168" spans="1:2" x14ac:dyDescent="0.25">
      <c r="A2168" s="104"/>
      <c r="B2168" s="104"/>
    </row>
    <row r="2169" spans="1:2" x14ac:dyDescent="0.25">
      <c r="A2169" s="104"/>
      <c r="B2169" s="104"/>
    </row>
    <row r="2170" spans="1:2" x14ac:dyDescent="0.25">
      <c r="A2170" s="104"/>
      <c r="B2170" s="104"/>
    </row>
    <row r="2171" spans="1:2" x14ac:dyDescent="0.25">
      <c r="A2171" s="104"/>
      <c r="B2171" s="104"/>
    </row>
    <row r="2172" spans="1:2" x14ac:dyDescent="0.25">
      <c r="A2172" s="104"/>
      <c r="B2172" s="104"/>
    </row>
    <row r="2173" spans="1:2" x14ac:dyDescent="0.25">
      <c r="A2173" s="104"/>
      <c r="B2173" s="104"/>
    </row>
    <row r="2174" spans="1:2" x14ac:dyDescent="0.25">
      <c r="A2174" s="104"/>
      <c r="B2174" s="104"/>
    </row>
    <row r="2175" spans="1:2" x14ac:dyDescent="0.25">
      <c r="A2175" s="104"/>
      <c r="B2175" s="104"/>
    </row>
    <row r="2176" spans="1:2" x14ac:dyDescent="0.25">
      <c r="A2176" s="104"/>
      <c r="B2176" s="104"/>
    </row>
    <row r="2177" spans="1:2" x14ac:dyDescent="0.25">
      <c r="A2177" s="104"/>
      <c r="B2177" s="104"/>
    </row>
    <row r="2178" spans="1:2" x14ac:dyDescent="0.25">
      <c r="A2178" s="104"/>
      <c r="B2178" s="104"/>
    </row>
    <row r="2179" spans="1:2" x14ac:dyDescent="0.25">
      <c r="A2179" s="104"/>
      <c r="B2179" s="104"/>
    </row>
    <row r="2180" spans="1:2" x14ac:dyDescent="0.25">
      <c r="A2180" s="104"/>
      <c r="B2180" s="104"/>
    </row>
    <row r="2181" spans="1:2" x14ac:dyDescent="0.25">
      <c r="A2181" s="104"/>
      <c r="B2181" s="104"/>
    </row>
    <row r="2182" spans="1:2" x14ac:dyDescent="0.25">
      <c r="A2182" s="104"/>
      <c r="B2182" s="104"/>
    </row>
    <row r="2183" spans="1:2" x14ac:dyDescent="0.25">
      <c r="A2183" s="104"/>
      <c r="B2183" s="104"/>
    </row>
    <row r="2184" spans="1:2" x14ac:dyDescent="0.25">
      <c r="A2184" s="104"/>
      <c r="B2184" s="104"/>
    </row>
    <row r="2185" spans="1:2" x14ac:dyDescent="0.25">
      <c r="A2185" s="104"/>
      <c r="B2185" s="104"/>
    </row>
    <row r="2186" spans="1:2" x14ac:dyDescent="0.25">
      <c r="A2186" s="104"/>
      <c r="B2186" s="104"/>
    </row>
    <row r="2187" spans="1:2" x14ac:dyDescent="0.25">
      <c r="A2187" s="104"/>
      <c r="B2187" s="104"/>
    </row>
    <row r="2188" spans="1:2" x14ac:dyDescent="0.25">
      <c r="A2188" s="104"/>
      <c r="B2188" s="104"/>
    </row>
    <row r="2189" spans="1:2" x14ac:dyDescent="0.25">
      <c r="A2189" s="104"/>
      <c r="B2189" s="104"/>
    </row>
    <row r="2190" spans="1:2" x14ac:dyDescent="0.25">
      <c r="A2190" s="104"/>
      <c r="B2190" s="104"/>
    </row>
    <row r="2191" spans="1:2" x14ac:dyDescent="0.25">
      <c r="A2191" s="104"/>
      <c r="B2191" s="104"/>
    </row>
    <row r="2192" spans="1:2" x14ac:dyDescent="0.25">
      <c r="A2192" s="104"/>
      <c r="B2192" s="104"/>
    </row>
    <row r="2193" spans="1:2" x14ac:dyDescent="0.25">
      <c r="A2193" s="104"/>
      <c r="B2193" s="104"/>
    </row>
    <row r="2194" spans="1:2" x14ac:dyDescent="0.25">
      <c r="A2194" s="104"/>
      <c r="B2194" s="104"/>
    </row>
    <row r="2195" spans="1:2" x14ac:dyDescent="0.25">
      <c r="A2195" s="104"/>
      <c r="B2195" s="104"/>
    </row>
    <row r="2196" spans="1:2" x14ac:dyDescent="0.25">
      <c r="A2196" s="104"/>
      <c r="B2196" s="104"/>
    </row>
    <row r="2197" spans="1:2" x14ac:dyDescent="0.25">
      <c r="A2197" s="104"/>
      <c r="B2197" s="104"/>
    </row>
    <row r="2198" spans="1:2" x14ac:dyDescent="0.25">
      <c r="A2198" s="104"/>
      <c r="B2198" s="104"/>
    </row>
    <row r="2199" spans="1:2" x14ac:dyDescent="0.25">
      <c r="A2199" s="104"/>
      <c r="B2199" s="104"/>
    </row>
    <row r="2200" spans="1:2" x14ac:dyDescent="0.25">
      <c r="A2200" s="104"/>
      <c r="B2200" s="104"/>
    </row>
    <row r="2201" spans="1:2" x14ac:dyDescent="0.25">
      <c r="A2201" s="104"/>
      <c r="B2201" s="104"/>
    </row>
    <row r="2202" spans="1:2" x14ac:dyDescent="0.25">
      <c r="A2202" s="104"/>
      <c r="B2202" s="104"/>
    </row>
    <row r="2203" spans="1:2" x14ac:dyDescent="0.25">
      <c r="A2203" s="104"/>
      <c r="B2203" s="104"/>
    </row>
    <row r="2204" spans="1:2" x14ac:dyDescent="0.25">
      <c r="A2204" s="104"/>
      <c r="B2204" s="104"/>
    </row>
    <row r="2205" spans="1:2" x14ac:dyDescent="0.25">
      <c r="A2205" s="104"/>
      <c r="B2205" s="104"/>
    </row>
    <row r="2206" spans="1:2" x14ac:dyDescent="0.25">
      <c r="A2206" s="104"/>
      <c r="B2206" s="104"/>
    </row>
    <row r="2207" spans="1:2" x14ac:dyDescent="0.25">
      <c r="A2207" s="104"/>
      <c r="B2207" s="104"/>
    </row>
    <row r="2208" spans="1:2" x14ac:dyDescent="0.25">
      <c r="A2208" s="104"/>
      <c r="B2208" s="104"/>
    </row>
    <row r="2209" spans="1:2" x14ac:dyDescent="0.25">
      <c r="A2209" s="104"/>
      <c r="B2209" s="104"/>
    </row>
    <row r="2210" spans="1:2" x14ac:dyDescent="0.25">
      <c r="A2210" s="104"/>
      <c r="B2210" s="104"/>
    </row>
    <row r="2211" spans="1:2" x14ac:dyDescent="0.25">
      <c r="A2211" s="104"/>
      <c r="B2211" s="104"/>
    </row>
    <row r="2212" spans="1:2" x14ac:dyDescent="0.25">
      <c r="A2212" s="104"/>
      <c r="B2212" s="104"/>
    </row>
    <row r="2213" spans="1:2" x14ac:dyDescent="0.25">
      <c r="A2213" s="104"/>
      <c r="B2213" s="104"/>
    </row>
    <row r="2214" spans="1:2" x14ac:dyDescent="0.25">
      <c r="A2214" s="104"/>
      <c r="B2214" s="104"/>
    </row>
    <row r="2215" spans="1:2" x14ac:dyDescent="0.25">
      <c r="A2215" s="104"/>
      <c r="B2215" s="104"/>
    </row>
    <row r="2216" spans="1:2" x14ac:dyDescent="0.25">
      <c r="A2216" s="104"/>
      <c r="B2216" s="104"/>
    </row>
    <row r="2217" spans="1:2" x14ac:dyDescent="0.25">
      <c r="A2217" s="104"/>
      <c r="B2217" s="104"/>
    </row>
    <row r="2218" spans="1:2" x14ac:dyDescent="0.25">
      <c r="A2218" s="104"/>
      <c r="B2218" s="104"/>
    </row>
    <row r="2219" spans="1:2" x14ac:dyDescent="0.25">
      <c r="A2219" s="104"/>
      <c r="B2219" s="104"/>
    </row>
    <row r="2220" spans="1:2" x14ac:dyDescent="0.25">
      <c r="A2220" s="104"/>
      <c r="B2220" s="104"/>
    </row>
    <row r="2221" spans="1:2" x14ac:dyDescent="0.25">
      <c r="A2221" s="104"/>
      <c r="B2221" s="104"/>
    </row>
    <row r="2222" spans="1:2" x14ac:dyDescent="0.25">
      <c r="A2222" s="104"/>
      <c r="B2222" s="104"/>
    </row>
    <row r="2223" spans="1:2" x14ac:dyDescent="0.25">
      <c r="A2223" s="104"/>
      <c r="B2223" s="104"/>
    </row>
    <row r="2224" spans="1:2" x14ac:dyDescent="0.25">
      <c r="A2224" s="104"/>
      <c r="B2224" s="104"/>
    </row>
    <row r="2225" spans="1:2" x14ac:dyDescent="0.25">
      <c r="A2225" s="104"/>
      <c r="B2225" s="104"/>
    </row>
    <row r="2226" spans="1:2" x14ac:dyDescent="0.25">
      <c r="A2226" s="104"/>
      <c r="B2226" s="104"/>
    </row>
    <row r="2227" spans="1:2" x14ac:dyDescent="0.25">
      <c r="A2227" s="104"/>
      <c r="B2227" s="104"/>
    </row>
    <row r="2228" spans="1:2" x14ac:dyDescent="0.25">
      <c r="A2228" s="104"/>
      <c r="B2228" s="104"/>
    </row>
    <row r="2229" spans="1:2" x14ac:dyDescent="0.25">
      <c r="A2229" s="104"/>
      <c r="B2229" s="104"/>
    </row>
    <row r="2230" spans="1:2" x14ac:dyDescent="0.25">
      <c r="A2230" s="104"/>
      <c r="B2230" s="104"/>
    </row>
    <row r="2231" spans="1:2" x14ac:dyDescent="0.25">
      <c r="A2231" s="104"/>
      <c r="B2231" s="104"/>
    </row>
    <row r="2232" spans="1:2" x14ac:dyDescent="0.25">
      <c r="A2232" s="104"/>
      <c r="B2232" s="104"/>
    </row>
    <row r="2233" spans="1:2" x14ac:dyDescent="0.25">
      <c r="A2233" s="104"/>
      <c r="B2233" s="104"/>
    </row>
    <row r="2234" spans="1:2" x14ac:dyDescent="0.25">
      <c r="A2234" s="104"/>
      <c r="B2234" s="104"/>
    </row>
    <row r="2235" spans="1:2" x14ac:dyDescent="0.25">
      <c r="A2235" s="104"/>
      <c r="B2235" s="104"/>
    </row>
    <row r="2236" spans="1:2" x14ac:dyDescent="0.25">
      <c r="A2236" s="104"/>
      <c r="B2236" s="104"/>
    </row>
    <row r="2237" spans="1:2" x14ac:dyDescent="0.25">
      <c r="A2237" s="104"/>
      <c r="B2237" s="104"/>
    </row>
    <row r="2238" spans="1:2" x14ac:dyDescent="0.25">
      <c r="A2238" s="104"/>
      <c r="B2238" s="104"/>
    </row>
    <row r="2239" spans="1:2" x14ac:dyDescent="0.25">
      <c r="A2239" s="104"/>
      <c r="B2239" s="104"/>
    </row>
    <row r="2240" spans="1:2" x14ac:dyDescent="0.25">
      <c r="A2240" s="104"/>
      <c r="B2240" s="104"/>
    </row>
    <row r="2241" spans="1:2" x14ac:dyDescent="0.25">
      <c r="A2241" s="104"/>
      <c r="B2241" s="104"/>
    </row>
    <row r="2242" spans="1:2" x14ac:dyDescent="0.25">
      <c r="A2242" s="104"/>
      <c r="B2242" s="104"/>
    </row>
    <row r="2243" spans="1:2" x14ac:dyDescent="0.25">
      <c r="A2243" s="104"/>
      <c r="B2243" s="104"/>
    </row>
    <row r="2244" spans="1:2" x14ac:dyDescent="0.25">
      <c r="A2244" s="104"/>
      <c r="B2244" s="104"/>
    </row>
    <row r="2245" spans="1:2" x14ac:dyDescent="0.25">
      <c r="A2245" s="104"/>
      <c r="B2245" s="104"/>
    </row>
    <row r="2246" spans="1:2" x14ac:dyDescent="0.25">
      <c r="A2246" s="104"/>
      <c r="B2246" s="104"/>
    </row>
    <row r="2247" spans="1:2" x14ac:dyDescent="0.25">
      <c r="A2247" s="104"/>
      <c r="B2247" s="104"/>
    </row>
    <row r="2248" spans="1:2" x14ac:dyDescent="0.25">
      <c r="A2248" s="104"/>
      <c r="B2248" s="104"/>
    </row>
    <row r="2249" spans="1:2" x14ac:dyDescent="0.25">
      <c r="A2249" s="104"/>
      <c r="B2249" s="104"/>
    </row>
    <row r="2250" spans="1:2" x14ac:dyDescent="0.25">
      <c r="A2250" s="104"/>
      <c r="B2250" s="104"/>
    </row>
    <row r="2251" spans="1:2" x14ac:dyDescent="0.25">
      <c r="A2251" s="104"/>
      <c r="B2251" s="104"/>
    </row>
    <row r="2252" spans="1:2" x14ac:dyDescent="0.25">
      <c r="A2252" s="104"/>
      <c r="B2252" s="104"/>
    </row>
    <row r="2253" spans="1:2" x14ac:dyDescent="0.25">
      <c r="A2253" s="104"/>
      <c r="B2253" s="104"/>
    </row>
    <row r="2254" spans="1:2" x14ac:dyDescent="0.25">
      <c r="A2254" s="104"/>
      <c r="B2254" s="104"/>
    </row>
    <row r="2255" spans="1:2" x14ac:dyDescent="0.25">
      <c r="A2255" s="104"/>
      <c r="B2255" s="104"/>
    </row>
    <row r="2256" spans="1:2" x14ac:dyDescent="0.25">
      <c r="A2256" s="104"/>
      <c r="B2256" s="104"/>
    </row>
    <row r="2257" spans="1:2" x14ac:dyDescent="0.25">
      <c r="A2257" s="104"/>
      <c r="B2257" s="104"/>
    </row>
    <row r="2258" spans="1:2" x14ac:dyDescent="0.25">
      <c r="A2258" s="104"/>
      <c r="B2258" s="104"/>
    </row>
    <row r="2259" spans="1:2" x14ac:dyDescent="0.25">
      <c r="A2259" s="104"/>
      <c r="B2259" s="104"/>
    </row>
    <row r="2260" spans="1:2" x14ac:dyDescent="0.25">
      <c r="A2260" s="104"/>
      <c r="B2260" s="104"/>
    </row>
    <row r="2261" spans="1:2" x14ac:dyDescent="0.25">
      <c r="A2261" s="104"/>
      <c r="B2261" s="104"/>
    </row>
    <row r="2262" spans="1:2" x14ac:dyDescent="0.25">
      <c r="A2262" s="104"/>
      <c r="B2262" s="104"/>
    </row>
    <row r="2263" spans="1:2" x14ac:dyDescent="0.25">
      <c r="A2263" s="104"/>
      <c r="B2263" s="104"/>
    </row>
    <row r="2264" spans="1:2" x14ac:dyDescent="0.25">
      <c r="A2264" s="104"/>
      <c r="B2264" s="104"/>
    </row>
    <row r="2265" spans="1:2" x14ac:dyDescent="0.25">
      <c r="A2265" s="104"/>
      <c r="B2265" s="104"/>
    </row>
    <row r="2266" spans="1:2" x14ac:dyDescent="0.25">
      <c r="A2266" s="104"/>
      <c r="B2266" s="104"/>
    </row>
    <row r="2267" spans="1:2" x14ac:dyDescent="0.25">
      <c r="A2267" s="104"/>
      <c r="B2267" s="104"/>
    </row>
    <row r="2268" spans="1:2" x14ac:dyDescent="0.25">
      <c r="A2268" s="104"/>
      <c r="B2268" s="104"/>
    </row>
    <row r="2269" spans="1:2" x14ac:dyDescent="0.25">
      <c r="A2269" s="104"/>
      <c r="B2269" s="104"/>
    </row>
    <row r="2270" spans="1:2" x14ac:dyDescent="0.25">
      <c r="A2270" s="104"/>
      <c r="B2270" s="104"/>
    </row>
    <row r="2271" spans="1:2" x14ac:dyDescent="0.25">
      <c r="A2271" s="104"/>
      <c r="B2271" s="104"/>
    </row>
    <row r="2272" spans="1:2" x14ac:dyDescent="0.25">
      <c r="A2272" s="104"/>
      <c r="B2272" s="104"/>
    </row>
    <row r="2273" spans="1:2" x14ac:dyDescent="0.25">
      <c r="A2273" s="104"/>
      <c r="B2273" s="104"/>
    </row>
    <row r="2274" spans="1:2" x14ac:dyDescent="0.25">
      <c r="A2274" s="104"/>
      <c r="B2274" s="104"/>
    </row>
    <row r="2275" spans="1:2" x14ac:dyDescent="0.25">
      <c r="A2275" s="104"/>
      <c r="B2275" s="104"/>
    </row>
    <row r="2276" spans="1:2" x14ac:dyDescent="0.25">
      <c r="A2276" s="104"/>
      <c r="B2276" s="104"/>
    </row>
    <row r="2277" spans="1:2" x14ac:dyDescent="0.25">
      <c r="A2277" s="104"/>
      <c r="B2277" s="104"/>
    </row>
    <row r="2278" spans="1:2" x14ac:dyDescent="0.25">
      <c r="A2278" s="104"/>
      <c r="B2278" s="104"/>
    </row>
    <row r="2279" spans="1:2" x14ac:dyDescent="0.25">
      <c r="A2279" s="104"/>
      <c r="B2279" s="104"/>
    </row>
    <row r="2280" spans="1:2" x14ac:dyDescent="0.25">
      <c r="A2280" s="104"/>
      <c r="B2280" s="104"/>
    </row>
    <row r="2281" spans="1:2" x14ac:dyDescent="0.25">
      <c r="A2281" s="104"/>
      <c r="B2281" s="104"/>
    </row>
    <row r="2282" spans="1:2" x14ac:dyDescent="0.25">
      <c r="A2282" s="104"/>
      <c r="B2282" s="104"/>
    </row>
    <row r="2283" spans="1:2" x14ac:dyDescent="0.25">
      <c r="A2283" s="104"/>
      <c r="B2283" s="104"/>
    </row>
    <row r="2284" spans="1:2" x14ac:dyDescent="0.25">
      <c r="A2284" s="104"/>
      <c r="B2284" s="104"/>
    </row>
    <row r="2285" spans="1:2" x14ac:dyDescent="0.25">
      <c r="A2285" s="104"/>
      <c r="B2285" s="104"/>
    </row>
    <row r="2286" spans="1:2" x14ac:dyDescent="0.25">
      <c r="A2286" s="104"/>
      <c r="B2286" s="104"/>
    </row>
    <row r="2287" spans="1:2" x14ac:dyDescent="0.25">
      <c r="A2287" s="104"/>
      <c r="B2287" s="104"/>
    </row>
    <row r="2288" spans="1:2" x14ac:dyDescent="0.25">
      <c r="A2288" s="104"/>
      <c r="B2288" s="104"/>
    </row>
    <row r="2289" spans="1:2" x14ac:dyDescent="0.25">
      <c r="A2289" s="104"/>
      <c r="B2289" s="104"/>
    </row>
    <row r="2290" spans="1:2" x14ac:dyDescent="0.25">
      <c r="A2290" s="104"/>
      <c r="B2290" s="104"/>
    </row>
    <row r="2291" spans="1:2" x14ac:dyDescent="0.25">
      <c r="A2291" s="104"/>
      <c r="B2291" s="104"/>
    </row>
    <row r="2292" spans="1:2" x14ac:dyDescent="0.25">
      <c r="A2292" s="104"/>
      <c r="B2292" s="104"/>
    </row>
    <row r="2293" spans="1:2" x14ac:dyDescent="0.25">
      <c r="A2293" s="104"/>
      <c r="B2293" s="104"/>
    </row>
    <row r="2294" spans="1:2" x14ac:dyDescent="0.25">
      <c r="A2294" s="104"/>
      <c r="B2294" s="104"/>
    </row>
    <row r="2295" spans="1:2" x14ac:dyDescent="0.25">
      <c r="A2295" s="104"/>
      <c r="B2295" s="104"/>
    </row>
    <row r="2296" spans="1:2" x14ac:dyDescent="0.25">
      <c r="A2296" s="104"/>
      <c r="B2296" s="104"/>
    </row>
    <row r="2297" spans="1:2" x14ac:dyDescent="0.25">
      <c r="A2297" s="104"/>
      <c r="B2297" s="104"/>
    </row>
    <row r="2298" spans="1:2" x14ac:dyDescent="0.25">
      <c r="A2298" s="104"/>
      <c r="B2298" s="104"/>
    </row>
    <row r="2299" spans="1:2" x14ac:dyDescent="0.25">
      <c r="A2299" s="104"/>
      <c r="B2299" s="104"/>
    </row>
    <row r="2300" spans="1:2" x14ac:dyDescent="0.25">
      <c r="A2300" s="104"/>
      <c r="B2300" s="104"/>
    </row>
    <row r="2301" spans="1:2" x14ac:dyDescent="0.25">
      <c r="A2301" s="104"/>
      <c r="B2301" s="104"/>
    </row>
    <row r="2302" spans="1:2" x14ac:dyDescent="0.25">
      <c r="A2302" s="104"/>
      <c r="B2302" s="104"/>
    </row>
    <row r="2303" spans="1:2" x14ac:dyDescent="0.25">
      <c r="A2303" s="104"/>
      <c r="B2303" s="104"/>
    </row>
    <row r="2304" spans="1:2" x14ac:dyDescent="0.25">
      <c r="A2304" s="104"/>
      <c r="B2304" s="104"/>
    </row>
    <row r="2305" spans="1:2" x14ac:dyDescent="0.25">
      <c r="A2305" s="104"/>
      <c r="B2305" s="104"/>
    </row>
    <row r="2306" spans="1:2" x14ac:dyDescent="0.25">
      <c r="A2306" s="104"/>
      <c r="B2306" s="104"/>
    </row>
    <row r="2307" spans="1:2" x14ac:dyDescent="0.25">
      <c r="A2307" s="104"/>
      <c r="B2307" s="104"/>
    </row>
    <row r="2308" spans="1:2" x14ac:dyDescent="0.25">
      <c r="A2308" s="104"/>
      <c r="B2308" s="104"/>
    </row>
    <row r="2309" spans="1:2" x14ac:dyDescent="0.25">
      <c r="A2309" s="104"/>
      <c r="B2309" s="104"/>
    </row>
    <row r="2310" spans="1:2" x14ac:dyDescent="0.25">
      <c r="A2310" s="104"/>
      <c r="B2310" s="104"/>
    </row>
    <row r="2311" spans="1:2" x14ac:dyDescent="0.25">
      <c r="A2311" s="104"/>
      <c r="B2311" s="104"/>
    </row>
    <row r="2312" spans="1:2" x14ac:dyDescent="0.25">
      <c r="A2312" s="104"/>
      <c r="B2312" s="104"/>
    </row>
    <row r="2313" spans="1:2" x14ac:dyDescent="0.25">
      <c r="A2313" s="104"/>
      <c r="B2313" s="104"/>
    </row>
    <row r="2314" spans="1:2" x14ac:dyDescent="0.25">
      <c r="A2314" s="104"/>
      <c r="B2314" s="104"/>
    </row>
    <row r="2315" spans="1:2" x14ac:dyDescent="0.25">
      <c r="A2315" s="104"/>
      <c r="B2315" s="104"/>
    </row>
    <row r="2316" spans="1:2" x14ac:dyDescent="0.25">
      <c r="A2316" s="104"/>
      <c r="B2316" s="104"/>
    </row>
    <row r="2317" spans="1:2" x14ac:dyDescent="0.25">
      <c r="A2317" s="104"/>
      <c r="B2317" s="104"/>
    </row>
    <row r="2318" spans="1:2" x14ac:dyDescent="0.25">
      <c r="A2318" s="104"/>
      <c r="B2318" s="104"/>
    </row>
    <row r="2319" spans="1:2" x14ac:dyDescent="0.25">
      <c r="A2319" s="104"/>
      <c r="B2319" s="104"/>
    </row>
    <row r="2320" spans="1:2" x14ac:dyDescent="0.25">
      <c r="A2320" s="104"/>
      <c r="B2320" s="104"/>
    </row>
    <row r="2321" spans="1:2" x14ac:dyDescent="0.25">
      <c r="A2321" s="104"/>
      <c r="B2321" s="104"/>
    </row>
    <row r="2322" spans="1:2" x14ac:dyDescent="0.25">
      <c r="A2322" s="104"/>
      <c r="B2322" s="104"/>
    </row>
    <row r="2323" spans="1:2" x14ac:dyDescent="0.25">
      <c r="A2323" s="104"/>
      <c r="B2323" s="104"/>
    </row>
    <row r="2324" spans="1:2" x14ac:dyDescent="0.25">
      <c r="A2324" s="104"/>
      <c r="B2324" s="104"/>
    </row>
    <row r="2325" spans="1:2" x14ac:dyDescent="0.25">
      <c r="A2325" s="104"/>
      <c r="B2325" s="104"/>
    </row>
    <row r="2326" spans="1:2" x14ac:dyDescent="0.25">
      <c r="A2326" s="104"/>
      <c r="B2326" s="104"/>
    </row>
    <row r="2327" spans="1:2" x14ac:dyDescent="0.25">
      <c r="A2327" s="104"/>
      <c r="B2327" s="104"/>
    </row>
    <row r="2328" spans="1:2" x14ac:dyDescent="0.25">
      <c r="A2328" s="104"/>
      <c r="B2328" s="104"/>
    </row>
    <row r="2329" spans="1:2" x14ac:dyDescent="0.25">
      <c r="A2329" s="104"/>
      <c r="B2329" s="104"/>
    </row>
    <row r="2330" spans="1:2" x14ac:dyDescent="0.25">
      <c r="A2330" s="104"/>
      <c r="B2330" s="104"/>
    </row>
    <row r="2331" spans="1:2" x14ac:dyDescent="0.25">
      <c r="A2331" s="104"/>
      <c r="B2331" s="104"/>
    </row>
    <row r="2332" spans="1:2" x14ac:dyDescent="0.25">
      <c r="A2332" s="104"/>
      <c r="B2332" s="104"/>
    </row>
    <row r="2333" spans="1:2" x14ac:dyDescent="0.25">
      <c r="A2333" s="104"/>
      <c r="B2333" s="104"/>
    </row>
    <row r="2334" spans="1:2" x14ac:dyDescent="0.25">
      <c r="A2334" s="104"/>
      <c r="B2334" s="104"/>
    </row>
    <row r="2335" spans="1:2" x14ac:dyDescent="0.25">
      <c r="A2335" s="104"/>
      <c r="B2335" s="104"/>
    </row>
    <row r="2336" spans="1:2" x14ac:dyDescent="0.25">
      <c r="A2336" s="104"/>
      <c r="B2336" s="104"/>
    </row>
    <row r="2337" spans="1:2" x14ac:dyDescent="0.25">
      <c r="A2337" s="104"/>
      <c r="B2337" s="104"/>
    </row>
    <row r="2338" spans="1:2" x14ac:dyDescent="0.25">
      <c r="A2338" s="104"/>
      <c r="B2338" s="104"/>
    </row>
    <row r="2339" spans="1:2" x14ac:dyDescent="0.25">
      <c r="A2339" s="104"/>
      <c r="B2339" s="104"/>
    </row>
    <row r="2340" spans="1:2" x14ac:dyDescent="0.25">
      <c r="A2340" s="104"/>
      <c r="B2340" s="104"/>
    </row>
    <row r="2341" spans="1:2" x14ac:dyDescent="0.25">
      <c r="A2341" s="104"/>
      <c r="B2341" s="104"/>
    </row>
    <row r="2342" spans="1:2" x14ac:dyDescent="0.25">
      <c r="A2342" s="104"/>
      <c r="B2342" s="104"/>
    </row>
    <row r="2343" spans="1:2" x14ac:dyDescent="0.25">
      <c r="A2343" s="104"/>
      <c r="B2343" s="104"/>
    </row>
    <row r="2344" spans="1:2" x14ac:dyDescent="0.25">
      <c r="A2344" s="104"/>
      <c r="B2344" s="104"/>
    </row>
    <row r="2345" spans="1:2" x14ac:dyDescent="0.25">
      <c r="A2345" s="104"/>
      <c r="B2345" s="104"/>
    </row>
    <row r="2346" spans="1:2" x14ac:dyDescent="0.25">
      <c r="A2346" s="104"/>
      <c r="B2346" s="104"/>
    </row>
    <row r="2347" spans="1:2" x14ac:dyDescent="0.25">
      <c r="A2347" s="104"/>
      <c r="B2347" s="104"/>
    </row>
    <row r="2348" spans="1:2" x14ac:dyDescent="0.25">
      <c r="A2348" s="104"/>
      <c r="B2348" s="104"/>
    </row>
    <row r="2349" spans="1:2" x14ac:dyDescent="0.25">
      <c r="A2349" s="104"/>
      <c r="B2349" s="104"/>
    </row>
    <row r="2350" spans="1:2" x14ac:dyDescent="0.25">
      <c r="A2350" s="104"/>
      <c r="B2350" s="104"/>
    </row>
    <row r="2351" spans="1:2" x14ac:dyDescent="0.25">
      <c r="A2351" s="104"/>
      <c r="B2351" s="104"/>
    </row>
    <row r="2352" spans="1:2" x14ac:dyDescent="0.25">
      <c r="A2352" s="104"/>
      <c r="B2352" s="104"/>
    </row>
    <row r="2353" spans="1:2" x14ac:dyDescent="0.25">
      <c r="A2353" s="104"/>
      <c r="B2353" s="104"/>
    </row>
    <row r="2354" spans="1:2" x14ac:dyDescent="0.25">
      <c r="A2354" s="104"/>
      <c r="B2354" s="104"/>
    </row>
    <row r="2355" spans="1:2" x14ac:dyDescent="0.25">
      <c r="A2355" s="104"/>
      <c r="B2355" s="104"/>
    </row>
    <row r="2356" spans="1:2" x14ac:dyDescent="0.25">
      <c r="A2356" s="104"/>
      <c r="B2356" s="104"/>
    </row>
    <row r="2357" spans="1:2" x14ac:dyDescent="0.25">
      <c r="A2357" s="104"/>
      <c r="B2357" s="104"/>
    </row>
    <row r="2358" spans="1:2" x14ac:dyDescent="0.25">
      <c r="A2358" s="104"/>
      <c r="B2358" s="104"/>
    </row>
    <row r="2359" spans="1:2" x14ac:dyDescent="0.25">
      <c r="A2359" s="104"/>
      <c r="B2359" s="104"/>
    </row>
    <row r="2360" spans="1:2" x14ac:dyDescent="0.25">
      <c r="A2360" s="104"/>
      <c r="B2360" s="104"/>
    </row>
    <row r="2361" spans="1:2" x14ac:dyDescent="0.25">
      <c r="A2361" s="104"/>
      <c r="B2361" s="104"/>
    </row>
    <row r="2362" spans="1:2" x14ac:dyDescent="0.25">
      <c r="A2362" s="104"/>
      <c r="B2362" s="104"/>
    </row>
    <row r="2363" spans="1:2" x14ac:dyDescent="0.25">
      <c r="A2363" s="104"/>
      <c r="B2363" s="104"/>
    </row>
    <row r="2364" spans="1:2" x14ac:dyDescent="0.25">
      <c r="A2364" s="104"/>
      <c r="B2364" s="104"/>
    </row>
    <row r="2365" spans="1:2" x14ac:dyDescent="0.25">
      <c r="A2365" s="104"/>
      <c r="B2365" s="104"/>
    </row>
    <row r="2366" spans="1:2" x14ac:dyDescent="0.25">
      <c r="A2366" s="104"/>
      <c r="B2366" s="104"/>
    </row>
    <row r="2367" spans="1:2" x14ac:dyDescent="0.25">
      <c r="A2367" s="104"/>
      <c r="B2367" s="104"/>
    </row>
    <row r="2368" spans="1:2" x14ac:dyDescent="0.25">
      <c r="A2368" s="104"/>
      <c r="B2368" s="104"/>
    </row>
    <row r="2369" spans="1:2" x14ac:dyDescent="0.25">
      <c r="A2369" s="104"/>
      <c r="B2369" s="104"/>
    </row>
    <row r="2370" spans="1:2" x14ac:dyDescent="0.25">
      <c r="A2370" s="104"/>
      <c r="B2370" s="104"/>
    </row>
    <row r="2371" spans="1:2" x14ac:dyDescent="0.25">
      <c r="A2371" s="104"/>
      <c r="B2371" s="104"/>
    </row>
    <row r="2372" spans="1:2" x14ac:dyDescent="0.25">
      <c r="A2372" s="104"/>
      <c r="B2372" s="104"/>
    </row>
    <row r="2373" spans="1:2" x14ac:dyDescent="0.25">
      <c r="A2373" s="104"/>
      <c r="B2373" s="104"/>
    </row>
    <row r="2374" spans="1:2" x14ac:dyDescent="0.25">
      <c r="A2374" s="104"/>
      <c r="B2374" s="104"/>
    </row>
    <row r="2375" spans="1:2" x14ac:dyDescent="0.25">
      <c r="A2375" s="104"/>
      <c r="B2375" s="104"/>
    </row>
    <row r="2376" spans="1:2" x14ac:dyDescent="0.25">
      <c r="A2376" s="104"/>
      <c r="B2376" s="104"/>
    </row>
    <row r="2377" spans="1:2" x14ac:dyDescent="0.25">
      <c r="A2377" s="104"/>
      <c r="B2377" s="104"/>
    </row>
    <row r="2378" spans="1:2" x14ac:dyDescent="0.25">
      <c r="A2378" s="104"/>
      <c r="B2378" s="104"/>
    </row>
    <row r="2379" spans="1:2" x14ac:dyDescent="0.25">
      <c r="A2379" s="104"/>
      <c r="B2379" s="104"/>
    </row>
    <row r="2380" spans="1:2" x14ac:dyDescent="0.25">
      <c r="A2380" s="104"/>
      <c r="B2380" s="104"/>
    </row>
    <row r="2381" spans="1:2" x14ac:dyDescent="0.25">
      <c r="A2381" s="104"/>
      <c r="B2381" s="104"/>
    </row>
    <row r="2382" spans="1:2" x14ac:dyDescent="0.25">
      <c r="A2382" s="104"/>
      <c r="B2382" s="104"/>
    </row>
    <row r="2383" spans="1:2" x14ac:dyDescent="0.25">
      <c r="A2383" s="104"/>
      <c r="B2383" s="104"/>
    </row>
    <row r="2384" spans="1:2" x14ac:dyDescent="0.25">
      <c r="A2384" s="104"/>
      <c r="B2384" s="104"/>
    </row>
    <row r="2385" spans="1:2" x14ac:dyDescent="0.25">
      <c r="A2385" s="104"/>
      <c r="B2385" s="104"/>
    </row>
    <row r="2386" spans="1:2" x14ac:dyDescent="0.25">
      <c r="A2386" s="104"/>
      <c r="B2386" s="104"/>
    </row>
    <row r="2387" spans="1:2" x14ac:dyDescent="0.25">
      <c r="A2387" s="104"/>
      <c r="B2387" s="104"/>
    </row>
    <row r="2388" spans="1:2" x14ac:dyDescent="0.25">
      <c r="A2388" s="104"/>
      <c r="B2388" s="104"/>
    </row>
    <row r="2389" spans="1:2" x14ac:dyDescent="0.25">
      <c r="A2389" s="104"/>
      <c r="B2389" s="104"/>
    </row>
    <row r="2390" spans="1:2" x14ac:dyDescent="0.25">
      <c r="A2390" s="104"/>
      <c r="B2390" s="104"/>
    </row>
    <row r="2391" spans="1:2" x14ac:dyDescent="0.25">
      <c r="A2391" s="104"/>
      <c r="B2391" s="104"/>
    </row>
    <row r="2392" spans="1:2" x14ac:dyDescent="0.25">
      <c r="A2392" s="104"/>
      <c r="B2392" s="104"/>
    </row>
    <row r="2393" spans="1:2" x14ac:dyDescent="0.25">
      <c r="A2393" s="104"/>
      <c r="B2393" s="104"/>
    </row>
    <row r="2394" spans="1:2" x14ac:dyDescent="0.25">
      <c r="A2394" s="104"/>
      <c r="B2394" s="104"/>
    </row>
    <row r="2395" spans="1:2" x14ac:dyDescent="0.25">
      <c r="A2395" s="104"/>
      <c r="B2395" s="104"/>
    </row>
    <row r="2396" spans="1:2" x14ac:dyDescent="0.25">
      <c r="A2396" s="104"/>
      <c r="B2396" s="104"/>
    </row>
    <row r="2397" spans="1:2" x14ac:dyDescent="0.25">
      <c r="A2397" s="104"/>
      <c r="B2397" s="104"/>
    </row>
    <row r="2398" spans="1:2" x14ac:dyDescent="0.25">
      <c r="A2398" s="104"/>
      <c r="B2398" s="104"/>
    </row>
    <row r="2399" spans="1:2" x14ac:dyDescent="0.25">
      <c r="A2399" s="104"/>
      <c r="B2399" s="104"/>
    </row>
    <row r="2400" spans="1:2" x14ac:dyDescent="0.25">
      <c r="A2400" s="104"/>
      <c r="B2400" s="104"/>
    </row>
    <row r="2401" spans="1:2" x14ac:dyDescent="0.25">
      <c r="A2401" s="104"/>
      <c r="B2401" s="104"/>
    </row>
    <row r="2402" spans="1:2" x14ac:dyDescent="0.25">
      <c r="A2402" s="104"/>
      <c r="B2402" s="104"/>
    </row>
    <row r="2403" spans="1:2" x14ac:dyDescent="0.25">
      <c r="A2403" s="104"/>
      <c r="B2403" s="104"/>
    </row>
    <row r="2404" spans="1:2" x14ac:dyDescent="0.25">
      <c r="A2404" s="104"/>
      <c r="B2404" s="104"/>
    </row>
    <row r="2405" spans="1:2" x14ac:dyDescent="0.25">
      <c r="A2405" s="104"/>
      <c r="B2405" s="104"/>
    </row>
    <row r="2406" spans="1:2" x14ac:dyDescent="0.25">
      <c r="A2406" s="104"/>
      <c r="B2406" s="104"/>
    </row>
    <row r="2407" spans="1:2" x14ac:dyDescent="0.25">
      <c r="A2407" s="104"/>
      <c r="B2407" s="104"/>
    </row>
    <row r="2408" spans="1:2" x14ac:dyDescent="0.25">
      <c r="A2408" s="104"/>
      <c r="B2408" s="104"/>
    </row>
    <row r="2409" spans="1:2" x14ac:dyDescent="0.25">
      <c r="A2409" s="104"/>
      <c r="B2409" s="104"/>
    </row>
    <row r="2410" spans="1:2" x14ac:dyDescent="0.25">
      <c r="A2410" s="104"/>
      <c r="B2410" s="104"/>
    </row>
    <row r="2411" spans="1:2" x14ac:dyDescent="0.25">
      <c r="A2411" s="104"/>
      <c r="B2411" s="104"/>
    </row>
    <row r="2412" spans="1:2" x14ac:dyDescent="0.25">
      <c r="A2412" s="104"/>
      <c r="B2412" s="104"/>
    </row>
    <row r="2413" spans="1:2" x14ac:dyDescent="0.25">
      <c r="A2413" s="104"/>
      <c r="B2413" s="104"/>
    </row>
    <row r="2414" spans="1:2" x14ac:dyDescent="0.25">
      <c r="A2414" s="104"/>
      <c r="B2414" s="104"/>
    </row>
    <row r="2415" spans="1:2" x14ac:dyDescent="0.25">
      <c r="A2415" s="104"/>
      <c r="B2415" s="104"/>
    </row>
    <row r="2416" spans="1:2" x14ac:dyDescent="0.25">
      <c r="A2416" s="104"/>
      <c r="B2416" s="104"/>
    </row>
    <row r="2417" spans="1:2" x14ac:dyDescent="0.25">
      <c r="A2417" s="104"/>
      <c r="B2417" s="104"/>
    </row>
    <row r="2418" spans="1:2" x14ac:dyDescent="0.25">
      <c r="A2418" s="104"/>
      <c r="B2418" s="104"/>
    </row>
    <row r="2419" spans="1:2" x14ac:dyDescent="0.25">
      <c r="A2419" s="104"/>
      <c r="B2419" s="104"/>
    </row>
    <row r="2420" spans="1:2" x14ac:dyDescent="0.25">
      <c r="A2420" s="104"/>
      <c r="B2420" s="104"/>
    </row>
    <row r="2421" spans="1:2" x14ac:dyDescent="0.25">
      <c r="A2421" s="104"/>
      <c r="B2421" s="104"/>
    </row>
    <row r="2422" spans="1:2" x14ac:dyDescent="0.25">
      <c r="A2422" s="104"/>
      <c r="B2422" s="104"/>
    </row>
    <row r="2423" spans="1:2" x14ac:dyDescent="0.25">
      <c r="A2423" s="104"/>
      <c r="B2423" s="104"/>
    </row>
    <row r="2424" spans="1:2" x14ac:dyDescent="0.25">
      <c r="A2424" s="104"/>
      <c r="B2424" s="104"/>
    </row>
    <row r="2425" spans="1:2" x14ac:dyDescent="0.25">
      <c r="A2425" s="104"/>
      <c r="B2425" s="104"/>
    </row>
    <row r="2426" spans="1:2" x14ac:dyDescent="0.25">
      <c r="A2426" s="104"/>
      <c r="B2426" s="104"/>
    </row>
    <row r="2427" spans="1:2" x14ac:dyDescent="0.25">
      <c r="A2427" s="104"/>
      <c r="B2427" s="104"/>
    </row>
    <row r="2428" spans="1:2" x14ac:dyDescent="0.25">
      <c r="A2428" s="104"/>
      <c r="B2428" s="104"/>
    </row>
    <row r="2429" spans="1:2" x14ac:dyDescent="0.25">
      <c r="A2429" s="104"/>
      <c r="B2429" s="104"/>
    </row>
    <row r="2430" spans="1:2" x14ac:dyDescent="0.25">
      <c r="A2430" s="104"/>
      <c r="B2430" s="104"/>
    </row>
    <row r="2431" spans="1:2" x14ac:dyDescent="0.25">
      <c r="A2431" s="104"/>
      <c r="B2431" s="104"/>
    </row>
    <row r="2432" spans="1:2" x14ac:dyDescent="0.25">
      <c r="A2432" s="104"/>
      <c r="B2432" s="104"/>
    </row>
    <row r="2433" spans="1:2" x14ac:dyDescent="0.25">
      <c r="A2433" s="104"/>
      <c r="B2433" s="104"/>
    </row>
    <row r="2434" spans="1:2" x14ac:dyDescent="0.25">
      <c r="A2434" s="104"/>
      <c r="B2434" s="104"/>
    </row>
    <row r="2435" spans="1:2" x14ac:dyDescent="0.25">
      <c r="A2435" s="104"/>
      <c r="B2435" s="104"/>
    </row>
    <row r="2436" spans="1:2" x14ac:dyDescent="0.25">
      <c r="A2436" s="104"/>
      <c r="B2436" s="104"/>
    </row>
    <row r="2437" spans="1:2" x14ac:dyDescent="0.25">
      <c r="A2437" s="104"/>
      <c r="B2437" s="104"/>
    </row>
    <row r="2438" spans="1:2" x14ac:dyDescent="0.25">
      <c r="A2438" s="104"/>
      <c r="B2438" s="104"/>
    </row>
    <row r="2439" spans="1:2" x14ac:dyDescent="0.25">
      <c r="A2439" s="104"/>
      <c r="B2439" s="104"/>
    </row>
    <row r="2440" spans="1:2" x14ac:dyDescent="0.25">
      <c r="A2440" s="104"/>
      <c r="B2440" s="104"/>
    </row>
    <row r="2441" spans="1:2" x14ac:dyDescent="0.25">
      <c r="A2441" s="104"/>
      <c r="B2441" s="104"/>
    </row>
    <row r="2442" spans="1:2" x14ac:dyDescent="0.25">
      <c r="A2442" s="104"/>
      <c r="B2442" s="104"/>
    </row>
    <row r="2443" spans="1:2" x14ac:dyDescent="0.25">
      <c r="A2443" s="104"/>
      <c r="B2443" s="104"/>
    </row>
    <row r="2444" spans="1:2" x14ac:dyDescent="0.25">
      <c r="A2444" s="104"/>
      <c r="B2444" s="104"/>
    </row>
    <row r="2445" spans="1:2" x14ac:dyDescent="0.25">
      <c r="A2445" s="104"/>
      <c r="B2445" s="104"/>
    </row>
    <row r="2446" spans="1:2" x14ac:dyDescent="0.25">
      <c r="A2446" s="104"/>
      <c r="B2446" s="104"/>
    </row>
    <row r="2447" spans="1:2" x14ac:dyDescent="0.25">
      <c r="A2447" s="104"/>
      <c r="B2447" s="104"/>
    </row>
    <row r="2448" spans="1:2" x14ac:dyDescent="0.25">
      <c r="A2448" s="104"/>
      <c r="B2448" s="104"/>
    </row>
    <row r="2449" spans="1:2" x14ac:dyDescent="0.25">
      <c r="A2449" s="104"/>
      <c r="B2449" s="104"/>
    </row>
    <row r="2450" spans="1:2" x14ac:dyDescent="0.25">
      <c r="A2450" s="104"/>
      <c r="B2450" s="104"/>
    </row>
    <row r="2451" spans="1:2" x14ac:dyDescent="0.25">
      <c r="A2451" s="104"/>
      <c r="B2451" s="104"/>
    </row>
    <row r="2452" spans="1:2" x14ac:dyDescent="0.25">
      <c r="A2452" s="104"/>
      <c r="B2452" s="104"/>
    </row>
    <row r="2453" spans="1:2" x14ac:dyDescent="0.25">
      <c r="A2453" s="104"/>
      <c r="B2453" s="104"/>
    </row>
    <row r="2454" spans="1:2" x14ac:dyDescent="0.25">
      <c r="A2454" s="104"/>
      <c r="B2454" s="104"/>
    </row>
    <row r="2455" spans="1:2" x14ac:dyDescent="0.25">
      <c r="A2455" s="104"/>
      <c r="B2455" s="104"/>
    </row>
    <row r="2456" spans="1:2" x14ac:dyDescent="0.25">
      <c r="A2456" s="104"/>
      <c r="B2456" s="104"/>
    </row>
    <row r="2457" spans="1:2" x14ac:dyDescent="0.25">
      <c r="A2457" s="104"/>
      <c r="B2457" s="104"/>
    </row>
    <row r="2458" spans="1:2" x14ac:dyDescent="0.25">
      <c r="A2458" s="104"/>
      <c r="B2458" s="104"/>
    </row>
    <row r="2459" spans="1:2" x14ac:dyDescent="0.25">
      <c r="A2459" s="104"/>
      <c r="B2459" s="104"/>
    </row>
    <row r="2460" spans="1:2" x14ac:dyDescent="0.25">
      <c r="A2460" s="104"/>
      <c r="B2460" s="104"/>
    </row>
    <row r="2461" spans="1:2" x14ac:dyDescent="0.25">
      <c r="A2461" s="104"/>
      <c r="B2461" s="104"/>
    </row>
    <row r="2462" spans="1:2" x14ac:dyDescent="0.25">
      <c r="A2462" s="104"/>
      <c r="B2462" s="104"/>
    </row>
    <row r="2463" spans="1:2" x14ac:dyDescent="0.25">
      <c r="A2463" s="104"/>
      <c r="B2463" s="104"/>
    </row>
    <row r="2464" spans="1:2" x14ac:dyDescent="0.25">
      <c r="A2464" s="104"/>
      <c r="B2464" s="104"/>
    </row>
    <row r="2465" spans="1:2" x14ac:dyDescent="0.25">
      <c r="A2465" s="104"/>
      <c r="B2465" s="104"/>
    </row>
    <row r="2466" spans="1:2" x14ac:dyDescent="0.25">
      <c r="A2466" s="104"/>
      <c r="B2466" s="104"/>
    </row>
    <row r="2467" spans="1:2" x14ac:dyDescent="0.25">
      <c r="A2467" s="104"/>
      <c r="B2467" s="104"/>
    </row>
    <row r="2468" spans="1:2" x14ac:dyDescent="0.25">
      <c r="A2468" s="104"/>
      <c r="B2468" s="104"/>
    </row>
    <row r="2469" spans="1:2" x14ac:dyDescent="0.25">
      <c r="A2469" s="104"/>
      <c r="B2469" s="104"/>
    </row>
    <row r="2470" spans="1:2" x14ac:dyDescent="0.25">
      <c r="A2470" s="104"/>
      <c r="B2470" s="104"/>
    </row>
    <row r="2471" spans="1:2" x14ac:dyDescent="0.25">
      <c r="A2471" s="104"/>
      <c r="B2471" s="104"/>
    </row>
    <row r="2472" spans="1:2" x14ac:dyDescent="0.25">
      <c r="A2472" s="104"/>
      <c r="B2472" s="104"/>
    </row>
    <row r="2473" spans="1:2" x14ac:dyDescent="0.25">
      <c r="A2473" s="104"/>
      <c r="B2473" s="104"/>
    </row>
    <row r="2474" spans="1:2" x14ac:dyDescent="0.25">
      <c r="A2474" s="104"/>
      <c r="B2474" s="104"/>
    </row>
    <row r="2475" spans="1:2" x14ac:dyDescent="0.25">
      <c r="A2475" s="104"/>
      <c r="B2475" s="104"/>
    </row>
    <row r="2476" spans="1:2" x14ac:dyDescent="0.25">
      <c r="A2476" s="104"/>
      <c r="B2476" s="104"/>
    </row>
    <row r="2477" spans="1:2" x14ac:dyDescent="0.25">
      <c r="A2477" s="104"/>
      <c r="B2477" s="104"/>
    </row>
    <row r="2478" spans="1:2" x14ac:dyDescent="0.25">
      <c r="A2478" s="104"/>
      <c r="B2478" s="104"/>
    </row>
    <row r="2479" spans="1:2" x14ac:dyDescent="0.25">
      <c r="A2479" s="104"/>
      <c r="B2479" s="104"/>
    </row>
    <row r="2480" spans="1:2" x14ac:dyDescent="0.25">
      <c r="A2480" s="104"/>
      <c r="B2480" s="104"/>
    </row>
    <row r="2481" spans="1:2" x14ac:dyDescent="0.25">
      <c r="A2481" s="104"/>
      <c r="B2481" s="104"/>
    </row>
    <row r="2482" spans="1:2" x14ac:dyDescent="0.25">
      <c r="A2482" s="104"/>
      <c r="B2482" s="104"/>
    </row>
    <row r="2483" spans="1:2" x14ac:dyDescent="0.25">
      <c r="A2483" s="104"/>
      <c r="B2483" s="104"/>
    </row>
    <row r="2484" spans="1:2" x14ac:dyDescent="0.25">
      <c r="A2484" s="104"/>
      <c r="B2484" s="104"/>
    </row>
    <row r="2485" spans="1:2" x14ac:dyDescent="0.25">
      <c r="A2485" s="104"/>
      <c r="B2485" s="104"/>
    </row>
    <row r="2486" spans="1:2" x14ac:dyDescent="0.25">
      <c r="A2486" s="104"/>
      <c r="B2486" s="104"/>
    </row>
    <row r="2487" spans="1:2" x14ac:dyDescent="0.25">
      <c r="A2487" s="104"/>
      <c r="B2487" s="104"/>
    </row>
    <row r="2488" spans="1:2" x14ac:dyDescent="0.25">
      <c r="A2488" s="104"/>
      <c r="B2488" s="104"/>
    </row>
    <row r="2489" spans="1:2" x14ac:dyDescent="0.25">
      <c r="A2489" s="104"/>
      <c r="B2489" s="104"/>
    </row>
    <row r="2490" spans="1:2" x14ac:dyDescent="0.25">
      <c r="A2490" s="104"/>
      <c r="B2490" s="104"/>
    </row>
    <row r="2491" spans="1:2" x14ac:dyDescent="0.25">
      <c r="A2491" s="104"/>
      <c r="B2491" s="104"/>
    </row>
    <row r="2492" spans="1:2" x14ac:dyDescent="0.25">
      <c r="A2492" s="104"/>
      <c r="B2492" s="104"/>
    </row>
    <row r="2493" spans="1:2" x14ac:dyDescent="0.25">
      <c r="A2493" s="104"/>
      <c r="B2493" s="104"/>
    </row>
    <row r="2494" spans="1:2" x14ac:dyDescent="0.25">
      <c r="A2494" s="104"/>
      <c r="B2494" s="104"/>
    </row>
    <row r="2495" spans="1:2" x14ac:dyDescent="0.25">
      <c r="A2495" s="104"/>
      <c r="B2495" s="104"/>
    </row>
    <row r="2496" spans="1:2" x14ac:dyDescent="0.25">
      <c r="A2496" s="104"/>
      <c r="B2496" s="104"/>
    </row>
    <row r="2497" spans="1:2" x14ac:dyDescent="0.25">
      <c r="A2497" s="104"/>
      <c r="B2497" s="104"/>
    </row>
    <row r="2498" spans="1:2" x14ac:dyDescent="0.25">
      <c r="A2498" s="104"/>
      <c r="B2498" s="104"/>
    </row>
    <row r="2499" spans="1:2" x14ac:dyDescent="0.25">
      <c r="A2499" s="104"/>
      <c r="B2499" s="104"/>
    </row>
    <row r="2500" spans="1:2" x14ac:dyDescent="0.25">
      <c r="A2500" s="104"/>
      <c r="B2500" s="104"/>
    </row>
    <row r="2501" spans="1:2" x14ac:dyDescent="0.25">
      <c r="A2501" s="104"/>
      <c r="B2501" s="104"/>
    </row>
    <row r="2502" spans="1:2" x14ac:dyDescent="0.25">
      <c r="A2502" s="104"/>
      <c r="B2502" s="104"/>
    </row>
    <row r="2503" spans="1:2" x14ac:dyDescent="0.25">
      <c r="A2503" s="104"/>
      <c r="B2503" s="104"/>
    </row>
    <row r="2504" spans="1:2" x14ac:dyDescent="0.25">
      <c r="A2504" s="104"/>
      <c r="B2504" s="104"/>
    </row>
    <row r="2505" spans="1:2" x14ac:dyDescent="0.25">
      <c r="A2505" s="104"/>
      <c r="B2505" s="104"/>
    </row>
    <row r="2506" spans="1:2" x14ac:dyDescent="0.25">
      <c r="A2506" s="104"/>
      <c r="B2506" s="104"/>
    </row>
    <row r="2507" spans="1:2" x14ac:dyDescent="0.25">
      <c r="A2507" s="104"/>
      <c r="B2507" s="104"/>
    </row>
    <row r="2508" spans="1:2" x14ac:dyDescent="0.25">
      <c r="A2508" s="104"/>
      <c r="B2508" s="104"/>
    </row>
    <row r="2509" spans="1:2" x14ac:dyDescent="0.25">
      <c r="A2509" s="104"/>
      <c r="B2509" s="104"/>
    </row>
    <row r="2510" spans="1:2" x14ac:dyDescent="0.25">
      <c r="A2510" s="104"/>
      <c r="B2510" s="104"/>
    </row>
    <row r="2511" spans="1:2" x14ac:dyDescent="0.25">
      <c r="A2511" s="104"/>
      <c r="B2511" s="104"/>
    </row>
    <row r="2512" spans="1:2" x14ac:dyDescent="0.25">
      <c r="A2512" s="104"/>
      <c r="B2512" s="104"/>
    </row>
    <row r="2513" spans="1:2" x14ac:dyDescent="0.25">
      <c r="A2513" s="104"/>
      <c r="B2513" s="104"/>
    </row>
    <row r="2514" spans="1:2" x14ac:dyDescent="0.25">
      <c r="A2514" s="104"/>
      <c r="B2514" s="104"/>
    </row>
    <row r="2515" spans="1:2" x14ac:dyDescent="0.25">
      <c r="A2515" s="104"/>
      <c r="B2515" s="104"/>
    </row>
    <row r="2516" spans="1:2" x14ac:dyDescent="0.25">
      <c r="A2516" s="104"/>
      <c r="B2516" s="104"/>
    </row>
    <row r="2517" spans="1:2" x14ac:dyDescent="0.25">
      <c r="A2517" s="104"/>
      <c r="B2517" s="104"/>
    </row>
    <row r="2518" spans="1:2" x14ac:dyDescent="0.25">
      <c r="A2518" s="104"/>
      <c r="B2518" s="104"/>
    </row>
    <row r="2519" spans="1:2" x14ac:dyDescent="0.25">
      <c r="A2519" s="104"/>
      <c r="B2519" s="104"/>
    </row>
    <row r="2520" spans="1:2" x14ac:dyDescent="0.25">
      <c r="A2520" s="104"/>
      <c r="B2520" s="104"/>
    </row>
    <row r="2521" spans="1:2" x14ac:dyDescent="0.25">
      <c r="A2521" s="104"/>
      <c r="B2521" s="104"/>
    </row>
    <row r="2522" spans="1:2" x14ac:dyDescent="0.25">
      <c r="A2522" s="104"/>
      <c r="B2522" s="104"/>
    </row>
    <row r="2523" spans="1:2" x14ac:dyDescent="0.25">
      <c r="A2523" s="104"/>
      <c r="B2523" s="104"/>
    </row>
    <row r="2524" spans="1:2" x14ac:dyDescent="0.25">
      <c r="A2524" s="104"/>
      <c r="B2524" s="104"/>
    </row>
    <row r="2525" spans="1:2" x14ac:dyDescent="0.25">
      <c r="A2525" s="104"/>
      <c r="B2525" s="104"/>
    </row>
    <row r="2526" spans="1:2" x14ac:dyDescent="0.25">
      <c r="A2526" s="104"/>
      <c r="B2526" s="104"/>
    </row>
    <row r="2527" spans="1:2" x14ac:dyDescent="0.25">
      <c r="A2527" s="104"/>
      <c r="B2527" s="104"/>
    </row>
    <row r="2528" spans="1:2" x14ac:dyDescent="0.25">
      <c r="A2528" s="104"/>
      <c r="B2528" s="104"/>
    </row>
    <row r="2529" spans="1:2" x14ac:dyDescent="0.25">
      <c r="A2529" s="104"/>
      <c r="B2529" s="104"/>
    </row>
    <row r="2530" spans="1:2" x14ac:dyDescent="0.25">
      <c r="A2530" s="104"/>
      <c r="B2530" s="104"/>
    </row>
    <row r="2531" spans="1:2" x14ac:dyDescent="0.25">
      <c r="A2531" s="104"/>
      <c r="B2531" s="104"/>
    </row>
    <row r="2532" spans="1:2" x14ac:dyDescent="0.25">
      <c r="A2532" s="104"/>
      <c r="B2532" s="104"/>
    </row>
    <row r="2533" spans="1:2" x14ac:dyDescent="0.25">
      <c r="A2533" s="104"/>
      <c r="B2533" s="104"/>
    </row>
    <row r="2534" spans="1:2" x14ac:dyDescent="0.25">
      <c r="A2534" s="104"/>
      <c r="B2534" s="104"/>
    </row>
    <row r="2535" spans="1:2" x14ac:dyDescent="0.25">
      <c r="A2535" s="104"/>
      <c r="B2535" s="104"/>
    </row>
    <row r="2536" spans="1:2" x14ac:dyDescent="0.25">
      <c r="A2536" s="104"/>
      <c r="B2536" s="104"/>
    </row>
    <row r="2537" spans="1:2" x14ac:dyDescent="0.25">
      <c r="A2537" s="104"/>
      <c r="B2537" s="104"/>
    </row>
    <row r="2538" spans="1:2" x14ac:dyDescent="0.25">
      <c r="A2538" s="104"/>
      <c r="B2538" s="104"/>
    </row>
    <row r="2539" spans="1:2" x14ac:dyDescent="0.25">
      <c r="A2539" s="104"/>
      <c r="B2539" s="104"/>
    </row>
    <row r="2540" spans="1:2" x14ac:dyDescent="0.25">
      <c r="A2540" s="104"/>
      <c r="B2540" s="104"/>
    </row>
    <row r="2541" spans="1:2" x14ac:dyDescent="0.25">
      <c r="A2541" s="104"/>
      <c r="B2541" s="104"/>
    </row>
    <row r="2542" spans="1:2" x14ac:dyDescent="0.25">
      <c r="A2542" s="104"/>
      <c r="B2542" s="104"/>
    </row>
    <row r="2543" spans="1:2" x14ac:dyDescent="0.25">
      <c r="A2543" s="104"/>
      <c r="B2543" s="104"/>
    </row>
    <row r="2544" spans="1:2" x14ac:dyDescent="0.25">
      <c r="A2544" s="104"/>
      <c r="B2544" s="104"/>
    </row>
    <row r="2545" spans="1:2" x14ac:dyDescent="0.25">
      <c r="A2545" s="104"/>
      <c r="B2545" s="104"/>
    </row>
    <row r="2546" spans="1:2" x14ac:dyDescent="0.25">
      <c r="A2546" s="104"/>
      <c r="B2546" s="104"/>
    </row>
    <row r="2547" spans="1:2" x14ac:dyDescent="0.25">
      <c r="A2547" s="104"/>
      <c r="B2547" s="104"/>
    </row>
    <row r="2548" spans="1:2" x14ac:dyDescent="0.25">
      <c r="A2548" s="104"/>
      <c r="B2548" s="104"/>
    </row>
    <row r="2549" spans="1:2" x14ac:dyDescent="0.25">
      <c r="A2549" s="104"/>
      <c r="B2549" s="104"/>
    </row>
    <row r="2550" spans="1:2" x14ac:dyDescent="0.25">
      <c r="A2550" s="104"/>
      <c r="B2550" s="104"/>
    </row>
    <row r="2551" spans="1:2" x14ac:dyDescent="0.25">
      <c r="A2551" s="104"/>
      <c r="B2551" s="104"/>
    </row>
    <row r="2552" spans="1:2" x14ac:dyDescent="0.25">
      <c r="A2552" s="104"/>
      <c r="B2552" s="104"/>
    </row>
    <row r="2553" spans="1:2" x14ac:dyDescent="0.25">
      <c r="A2553" s="104"/>
      <c r="B2553" s="104"/>
    </row>
    <row r="2554" spans="1:2" x14ac:dyDescent="0.25">
      <c r="A2554" s="104"/>
      <c r="B2554" s="104"/>
    </row>
    <row r="2555" spans="1:2" x14ac:dyDescent="0.25">
      <c r="A2555" s="104"/>
      <c r="B2555" s="104"/>
    </row>
    <row r="2556" spans="1:2" x14ac:dyDescent="0.25">
      <c r="A2556" s="104"/>
      <c r="B2556" s="104"/>
    </row>
    <row r="2557" spans="1:2" x14ac:dyDescent="0.25">
      <c r="A2557" s="104"/>
      <c r="B2557" s="104"/>
    </row>
    <row r="2558" spans="1:2" x14ac:dyDescent="0.25">
      <c r="A2558" s="104"/>
      <c r="B2558" s="104"/>
    </row>
    <row r="2559" spans="1:2" x14ac:dyDescent="0.25">
      <c r="A2559" s="104"/>
      <c r="B2559" s="104"/>
    </row>
    <row r="2560" spans="1:2" x14ac:dyDescent="0.25">
      <c r="A2560" s="104"/>
      <c r="B2560" s="104"/>
    </row>
    <row r="2561" spans="1:2" x14ac:dyDescent="0.25">
      <c r="A2561" s="104"/>
      <c r="B2561" s="104"/>
    </row>
    <row r="2562" spans="1:2" x14ac:dyDescent="0.25">
      <c r="A2562" s="104"/>
      <c r="B2562" s="104"/>
    </row>
    <row r="2563" spans="1:2" x14ac:dyDescent="0.25">
      <c r="A2563" s="104"/>
      <c r="B2563" s="104"/>
    </row>
    <row r="2564" spans="1:2" x14ac:dyDescent="0.25">
      <c r="A2564" s="104"/>
      <c r="B2564" s="104"/>
    </row>
    <row r="2565" spans="1:2" x14ac:dyDescent="0.25">
      <c r="A2565" s="104"/>
      <c r="B2565" s="104"/>
    </row>
    <row r="2566" spans="1:2" x14ac:dyDescent="0.25">
      <c r="A2566" s="104"/>
      <c r="B2566" s="104"/>
    </row>
    <row r="2567" spans="1:2" x14ac:dyDescent="0.25">
      <c r="A2567" s="104"/>
      <c r="B2567" s="104"/>
    </row>
    <row r="2568" spans="1:2" x14ac:dyDescent="0.25">
      <c r="A2568" s="104"/>
      <c r="B2568" s="104"/>
    </row>
    <row r="2569" spans="1:2" x14ac:dyDescent="0.25">
      <c r="A2569" s="104"/>
      <c r="B2569" s="104"/>
    </row>
    <row r="2570" spans="1:2" x14ac:dyDescent="0.25">
      <c r="A2570" s="104"/>
      <c r="B2570" s="104"/>
    </row>
    <row r="2571" spans="1:2" x14ac:dyDescent="0.25">
      <c r="A2571" s="104"/>
      <c r="B2571" s="104"/>
    </row>
    <row r="2572" spans="1:2" x14ac:dyDescent="0.25">
      <c r="A2572" s="104"/>
      <c r="B2572" s="104"/>
    </row>
    <row r="2573" spans="1:2" x14ac:dyDescent="0.25">
      <c r="A2573" s="104"/>
      <c r="B2573" s="104"/>
    </row>
    <row r="2574" spans="1:2" x14ac:dyDescent="0.25">
      <c r="A2574" s="104"/>
      <c r="B2574" s="104"/>
    </row>
    <row r="2575" spans="1:2" x14ac:dyDescent="0.25">
      <c r="A2575" s="104"/>
      <c r="B2575" s="104"/>
    </row>
    <row r="2576" spans="1:2" x14ac:dyDescent="0.25">
      <c r="A2576" s="104"/>
      <c r="B2576" s="104"/>
    </row>
    <row r="2577" spans="1:2" x14ac:dyDescent="0.25">
      <c r="A2577" s="104"/>
      <c r="B2577" s="104"/>
    </row>
    <row r="2578" spans="1:2" x14ac:dyDescent="0.25">
      <c r="A2578" s="104"/>
      <c r="B2578" s="104"/>
    </row>
    <row r="2579" spans="1:2" x14ac:dyDescent="0.25">
      <c r="A2579" s="104"/>
      <c r="B2579" s="104"/>
    </row>
    <row r="2580" spans="1:2" x14ac:dyDescent="0.25">
      <c r="A2580" s="104"/>
      <c r="B2580" s="104"/>
    </row>
    <row r="2581" spans="1:2" x14ac:dyDescent="0.25">
      <c r="A2581" s="104"/>
      <c r="B2581" s="104"/>
    </row>
    <row r="2582" spans="1:2" x14ac:dyDescent="0.25">
      <c r="A2582" s="104"/>
      <c r="B2582" s="104"/>
    </row>
    <row r="2583" spans="1:2" x14ac:dyDescent="0.25">
      <c r="A2583" s="104"/>
      <c r="B2583" s="104"/>
    </row>
    <row r="2584" spans="1:2" x14ac:dyDescent="0.25">
      <c r="A2584" s="104"/>
      <c r="B2584" s="104"/>
    </row>
    <row r="2585" spans="1:2" x14ac:dyDescent="0.25">
      <c r="A2585" s="104"/>
      <c r="B2585" s="104"/>
    </row>
    <row r="2586" spans="1:2" x14ac:dyDescent="0.25">
      <c r="A2586" s="104"/>
      <c r="B2586" s="104"/>
    </row>
    <row r="2587" spans="1:2" x14ac:dyDescent="0.25">
      <c r="A2587" s="104"/>
      <c r="B2587" s="104"/>
    </row>
    <row r="2588" spans="1:2" x14ac:dyDescent="0.25">
      <c r="A2588" s="104"/>
      <c r="B2588" s="104"/>
    </row>
    <row r="2589" spans="1:2" x14ac:dyDescent="0.25">
      <c r="A2589" s="104"/>
      <c r="B2589" s="104"/>
    </row>
    <row r="2590" spans="1:2" x14ac:dyDescent="0.25">
      <c r="A2590" s="104"/>
      <c r="B2590" s="104"/>
    </row>
    <row r="2591" spans="1:2" x14ac:dyDescent="0.25">
      <c r="A2591" s="104"/>
      <c r="B2591" s="104"/>
    </row>
    <row r="2592" spans="1:2" x14ac:dyDescent="0.25">
      <c r="A2592" s="104"/>
      <c r="B2592" s="104"/>
    </row>
    <row r="2593" spans="1:2" x14ac:dyDescent="0.25">
      <c r="A2593" s="104"/>
      <c r="B2593" s="104"/>
    </row>
    <row r="2594" spans="1:2" x14ac:dyDescent="0.25">
      <c r="A2594" s="104"/>
      <c r="B2594" s="104"/>
    </row>
    <row r="2595" spans="1:2" x14ac:dyDescent="0.25">
      <c r="A2595" s="104"/>
      <c r="B2595" s="104"/>
    </row>
    <row r="2596" spans="1:2" x14ac:dyDescent="0.25">
      <c r="A2596" s="104"/>
      <c r="B2596" s="104"/>
    </row>
    <row r="2597" spans="1:2" x14ac:dyDescent="0.25">
      <c r="A2597" s="104"/>
      <c r="B2597" s="104"/>
    </row>
    <row r="2598" spans="1:2" x14ac:dyDescent="0.25">
      <c r="A2598" s="104"/>
      <c r="B2598" s="104"/>
    </row>
    <row r="2599" spans="1:2" x14ac:dyDescent="0.25">
      <c r="A2599" s="104"/>
      <c r="B2599" s="104"/>
    </row>
    <row r="2600" spans="1:2" x14ac:dyDescent="0.25">
      <c r="A2600" s="104"/>
      <c r="B2600" s="104"/>
    </row>
    <row r="2601" spans="1:2" x14ac:dyDescent="0.25">
      <c r="A2601" s="104"/>
      <c r="B2601" s="104"/>
    </row>
    <row r="2602" spans="1:2" x14ac:dyDescent="0.25">
      <c r="A2602" s="104"/>
      <c r="B2602" s="104"/>
    </row>
    <row r="2603" spans="1:2" x14ac:dyDescent="0.25">
      <c r="A2603" s="104"/>
      <c r="B2603" s="104"/>
    </row>
    <row r="2604" spans="1:2" x14ac:dyDescent="0.25">
      <c r="A2604" s="104"/>
      <c r="B2604" s="104"/>
    </row>
    <row r="2605" spans="1:2" x14ac:dyDescent="0.25">
      <c r="A2605" s="104"/>
      <c r="B2605" s="104"/>
    </row>
    <row r="2606" spans="1:2" x14ac:dyDescent="0.25">
      <c r="A2606" s="104"/>
      <c r="B2606" s="104"/>
    </row>
    <row r="2607" spans="1:2" x14ac:dyDescent="0.25">
      <c r="A2607" s="104"/>
      <c r="B2607" s="104"/>
    </row>
    <row r="2608" spans="1:2" x14ac:dyDescent="0.25">
      <c r="A2608" s="104"/>
      <c r="B2608" s="104"/>
    </row>
    <row r="2609" spans="1:2" x14ac:dyDescent="0.25">
      <c r="A2609" s="104"/>
      <c r="B2609" s="104"/>
    </row>
    <row r="2610" spans="1:2" x14ac:dyDescent="0.25">
      <c r="A2610" s="104"/>
      <c r="B2610" s="104"/>
    </row>
    <row r="2611" spans="1:2" x14ac:dyDescent="0.25">
      <c r="A2611" s="104"/>
      <c r="B2611" s="104"/>
    </row>
    <row r="2612" spans="1:2" x14ac:dyDescent="0.25">
      <c r="A2612" s="104"/>
      <c r="B2612" s="104"/>
    </row>
    <row r="2613" spans="1:2" x14ac:dyDescent="0.25">
      <c r="A2613" s="104"/>
      <c r="B2613" s="104"/>
    </row>
    <row r="2614" spans="1:2" x14ac:dyDescent="0.25">
      <c r="A2614" s="104"/>
      <c r="B2614" s="104"/>
    </row>
    <row r="2615" spans="1:2" x14ac:dyDescent="0.25">
      <c r="A2615" s="104"/>
      <c r="B2615" s="104"/>
    </row>
    <row r="2616" spans="1:2" x14ac:dyDescent="0.25">
      <c r="A2616" s="104"/>
      <c r="B2616" s="104"/>
    </row>
    <row r="2617" spans="1:2" x14ac:dyDescent="0.25">
      <c r="A2617" s="104"/>
      <c r="B2617" s="104"/>
    </row>
    <row r="2618" spans="1:2" x14ac:dyDescent="0.25">
      <c r="A2618" s="104"/>
      <c r="B2618" s="104"/>
    </row>
    <row r="2619" spans="1:2" x14ac:dyDescent="0.25">
      <c r="A2619" s="104"/>
      <c r="B2619" s="104"/>
    </row>
    <row r="2620" spans="1:2" x14ac:dyDescent="0.25">
      <c r="A2620" s="104"/>
      <c r="B2620" s="104"/>
    </row>
    <row r="2621" spans="1:2" x14ac:dyDescent="0.25">
      <c r="A2621" s="104"/>
      <c r="B2621" s="104"/>
    </row>
    <row r="2622" spans="1:2" x14ac:dyDescent="0.25">
      <c r="A2622" s="104"/>
      <c r="B2622" s="104"/>
    </row>
    <row r="2623" spans="1:2" x14ac:dyDescent="0.25">
      <c r="A2623" s="104"/>
      <c r="B2623" s="104"/>
    </row>
    <row r="2624" spans="1:2" x14ac:dyDescent="0.25">
      <c r="A2624" s="104"/>
      <c r="B2624" s="104"/>
    </row>
    <row r="2625" spans="1:2" x14ac:dyDescent="0.25">
      <c r="A2625" s="104"/>
      <c r="B2625" s="104"/>
    </row>
    <row r="2626" spans="1:2" x14ac:dyDescent="0.25">
      <c r="A2626" s="104"/>
      <c r="B2626" s="104"/>
    </row>
    <row r="2627" spans="1:2" x14ac:dyDescent="0.25">
      <c r="A2627" s="104"/>
      <c r="B2627" s="104"/>
    </row>
    <row r="2628" spans="1:2" x14ac:dyDescent="0.25">
      <c r="A2628" s="104"/>
      <c r="B2628" s="104"/>
    </row>
    <row r="2629" spans="1:2" x14ac:dyDescent="0.25">
      <c r="A2629" s="104"/>
      <c r="B2629" s="104"/>
    </row>
    <row r="2630" spans="1:2" x14ac:dyDescent="0.25">
      <c r="A2630" s="104"/>
      <c r="B2630" s="104"/>
    </row>
    <row r="2631" spans="1:2" x14ac:dyDescent="0.25">
      <c r="A2631" s="104"/>
      <c r="B2631" s="104"/>
    </row>
    <row r="2632" spans="1:2" x14ac:dyDescent="0.25">
      <c r="A2632" s="104"/>
      <c r="B2632" s="104"/>
    </row>
    <row r="2633" spans="1:2" x14ac:dyDescent="0.25">
      <c r="A2633" s="104"/>
      <c r="B2633" s="104"/>
    </row>
    <row r="2634" spans="1:2" x14ac:dyDescent="0.25">
      <c r="A2634" s="104"/>
      <c r="B2634" s="104"/>
    </row>
    <row r="2635" spans="1:2" x14ac:dyDescent="0.25">
      <c r="A2635" s="104"/>
      <c r="B2635" s="104"/>
    </row>
    <row r="2636" spans="1:2" x14ac:dyDescent="0.25">
      <c r="A2636" s="104"/>
      <c r="B2636" s="104"/>
    </row>
    <row r="2637" spans="1:2" x14ac:dyDescent="0.25">
      <c r="A2637" s="104"/>
      <c r="B2637" s="104"/>
    </row>
    <row r="2638" spans="1:2" x14ac:dyDescent="0.25">
      <c r="A2638" s="104"/>
      <c r="B2638" s="104"/>
    </row>
    <row r="2639" spans="1:2" x14ac:dyDescent="0.25">
      <c r="A2639" s="104"/>
      <c r="B2639" s="104"/>
    </row>
    <row r="2640" spans="1:2" x14ac:dyDescent="0.25">
      <c r="A2640" s="104"/>
      <c r="B2640" s="104"/>
    </row>
    <row r="2641" spans="1:2" x14ac:dyDescent="0.25">
      <c r="A2641" s="104"/>
      <c r="B2641" s="104"/>
    </row>
    <row r="2642" spans="1:2" x14ac:dyDescent="0.25">
      <c r="A2642" s="104"/>
      <c r="B2642" s="104"/>
    </row>
    <row r="2643" spans="1:2" x14ac:dyDescent="0.25">
      <c r="A2643" s="104"/>
      <c r="B2643" s="104"/>
    </row>
    <row r="2644" spans="1:2" x14ac:dyDescent="0.25">
      <c r="A2644" s="104"/>
      <c r="B2644" s="104"/>
    </row>
    <row r="2645" spans="1:2" x14ac:dyDescent="0.25">
      <c r="A2645" s="104"/>
      <c r="B2645" s="104"/>
    </row>
    <row r="2646" spans="1:2" x14ac:dyDescent="0.25">
      <c r="A2646" s="104"/>
      <c r="B2646" s="104"/>
    </row>
    <row r="2647" spans="1:2" x14ac:dyDescent="0.25">
      <c r="A2647" s="104"/>
      <c r="B2647" s="104"/>
    </row>
    <row r="2648" spans="1:2" x14ac:dyDescent="0.25">
      <c r="A2648" s="104"/>
      <c r="B2648" s="104"/>
    </row>
    <row r="2649" spans="1:2" x14ac:dyDescent="0.25">
      <c r="A2649" s="104"/>
      <c r="B2649" s="104"/>
    </row>
    <row r="2650" spans="1:2" x14ac:dyDescent="0.25">
      <c r="A2650" s="104"/>
      <c r="B2650" s="104"/>
    </row>
    <row r="2651" spans="1:2" x14ac:dyDescent="0.25">
      <c r="A2651" s="104"/>
      <c r="B2651" s="104"/>
    </row>
    <row r="2652" spans="1:2" x14ac:dyDescent="0.25">
      <c r="A2652" s="104"/>
      <c r="B2652" s="104"/>
    </row>
    <row r="2653" spans="1:2" x14ac:dyDescent="0.25">
      <c r="A2653" s="104"/>
      <c r="B2653" s="104"/>
    </row>
    <row r="2654" spans="1:2" x14ac:dyDescent="0.25">
      <c r="A2654" s="104"/>
      <c r="B2654" s="104"/>
    </row>
    <row r="2655" spans="1:2" x14ac:dyDescent="0.25">
      <c r="A2655" s="104"/>
      <c r="B2655" s="104"/>
    </row>
    <row r="2656" spans="1:2" x14ac:dyDescent="0.25">
      <c r="A2656" s="104"/>
      <c r="B2656" s="104"/>
    </row>
    <row r="2657" spans="1:2" x14ac:dyDescent="0.25">
      <c r="A2657" s="104"/>
      <c r="B2657" s="104"/>
    </row>
    <row r="2658" spans="1:2" x14ac:dyDescent="0.25">
      <c r="A2658" s="104"/>
      <c r="B2658" s="104"/>
    </row>
    <row r="2659" spans="1:2" x14ac:dyDescent="0.25">
      <c r="A2659" s="104"/>
      <c r="B2659" s="104"/>
    </row>
    <row r="2660" spans="1:2" x14ac:dyDescent="0.25">
      <c r="A2660" s="104"/>
      <c r="B2660" s="104"/>
    </row>
    <row r="2661" spans="1:2" x14ac:dyDescent="0.25">
      <c r="A2661" s="104"/>
      <c r="B2661" s="104"/>
    </row>
    <row r="2662" spans="1:2" x14ac:dyDescent="0.25">
      <c r="A2662" s="104"/>
      <c r="B2662" s="104"/>
    </row>
    <row r="2663" spans="1:2" x14ac:dyDescent="0.25">
      <c r="A2663" s="104"/>
      <c r="B2663" s="104"/>
    </row>
    <row r="2664" spans="1:2" x14ac:dyDescent="0.25">
      <c r="A2664" s="104"/>
      <c r="B2664" s="104"/>
    </row>
    <row r="2665" spans="1:2" x14ac:dyDescent="0.25">
      <c r="A2665" s="104"/>
      <c r="B2665" s="104"/>
    </row>
    <row r="2666" spans="1:2" x14ac:dyDescent="0.25">
      <c r="A2666" s="104"/>
      <c r="B2666" s="104"/>
    </row>
    <row r="2667" spans="1:2" x14ac:dyDescent="0.25">
      <c r="A2667" s="104"/>
      <c r="B2667" s="104"/>
    </row>
    <row r="2668" spans="1:2" x14ac:dyDescent="0.25">
      <c r="A2668" s="104"/>
      <c r="B2668" s="104"/>
    </row>
    <row r="2669" spans="1:2" x14ac:dyDescent="0.25">
      <c r="A2669" s="104"/>
      <c r="B2669" s="104"/>
    </row>
    <row r="2670" spans="1:2" x14ac:dyDescent="0.25">
      <c r="A2670" s="104"/>
      <c r="B2670" s="104"/>
    </row>
    <row r="2671" spans="1:2" x14ac:dyDescent="0.25">
      <c r="A2671" s="104"/>
      <c r="B2671" s="104"/>
    </row>
    <row r="2672" spans="1:2" x14ac:dyDescent="0.25">
      <c r="A2672" s="104"/>
      <c r="B2672" s="104"/>
    </row>
    <row r="2673" spans="1:2" x14ac:dyDescent="0.25">
      <c r="A2673" s="104"/>
      <c r="B2673" s="104"/>
    </row>
    <row r="2674" spans="1:2" x14ac:dyDescent="0.25">
      <c r="A2674" s="104"/>
      <c r="B2674" s="104"/>
    </row>
    <row r="2675" spans="1:2" x14ac:dyDescent="0.25">
      <c r="A2675" s="104"/>
      <c r="B2675" s="104"/>
    </row>
    <row r="2676" spans="1:2" x14ac:dyDescent="0.25">
      <c r="A2676" s="104"/>
      <c r="B2676" s="104"/>
    </row>
    <row r="2677" spans="1:2" x14ac:dyDescent="0.25">
      <c r="A2677" s="104"/>
      <c r="B2677" s="104"/>
    </row>
    <row r="2678" spans="1:2" x14ac:dyDescent="0.25">
      <c r="A2678" s="104"/>
      <c r="B2678" s="104"/>
    </row>
    <row r="2679" spans="1:2" x14ac:dyDescent="0.25">
      <c r="A2679" s="104"/>
      <c r="B2679" s="104"/>
    </row>
    <row r="2680" spans="1:2" x14ac:dyDescent="0.25">
      <c r="A2680" s="104"/>
      <c r="B2680" s="104"/>
    </row>
    <row r="2681" spans="1:2" x14ac:dyDescent="0.25">
      <c r="A2681" s="104"/>
      <c r="B2681" s="104"/>
    </row>
    <row r="2682" spans="1:2" x14ac:dyDescent="0.25">
      <c r="A2682" s="104"/>
      <c r="B2682" s="104"/>
    </row>
    <row r="2683" spans="1:2" x14ac:dyDescent="0.25">
      <c r="A2683" s="104"/>
      <c r="B2683" s="104"/>
    </row>
    <row r="2684" spans="1:2" x14ac:dyDescent="0.25">
      <c r="A2684" s="104"/>
      <c r="B2684" s="104"/>
    </row>
    <row r="2685" spans="1:2" x14ac:dyDescent="0.25">
      <c r="A2685" s="104"/>
      <c r="B2685" s="104"/>
    </row>
    <row r="2686" spans="1:2" x14ac:dyDescent="0.25">
      <c r="A2686" s="104"/>
      <c r="B2686" s="104"/>
    </row>
    <row r="2687" spans="1:2" x14ac:dyDescent="0.25">
      <c r="A2687" s="104"/>
      <c r="B2687" s="104"/>
    </row>
    <row r="2688" spans="1:2" x14ac:dyDescent="0.25">
      <c r="A2688" s="104"/>
      <c r="B2688" s="104"/>
    </row>
    <row r="2689" spans="1:2" x14ac:dyDescent="0.25">
      <c r="A2689" s="104"/>
      <c r="B2689" s="104"/>
    </row>
    <row r="2690" spans="1:2" x14ac:dyDescent="0.25">
      <c r="A2690" s="104"/>
      <c r="B2690" s="104"/>
    </row>
    <row r="2691" spans="1:2" x14ac:dyDescent="0.25">
      <c r="A2691" s="104"/>
      <c r="B2691" s="104"/>
    </row>
    <row r="2692" spans="1:2" x14ac:dyDescent="0.25">
      <c r="A2692" s="104"/>
      <c r="B2692" s="104"/>
    </row>
    <row r="2693" spans="1:2" x14ac:dyDescent="0.25">
      <c r="A2693" s="104"/>
      <c r="B2693" s="104"/>
    </row>
    <row r="2694" spans="1:2" x14ac:dyDescent="0.25">
      <c r="A2694" s="104"/>
      <c r="B2694" s="104"/>
    </row>
    <row r="2695" spans="1:2" x14ac:dyDescent="0.25">
      <c r="A2695" s="104"/>
      <c r="B2695" s="104"/>
    </row>
    <row r="2696" spans="1:2" x14ac:dyDescent="0.25">
      <c r="A2696" s="104"/>
      <c r="B2696" s="104"/>
    </row>
    <row r="2697" spans="1:2" x14ac:dyDescent="0.25">
      <c r="A2697" s="104"/>
      <c r="B2697" s="104"/>
    </row>
    <row r="2698" spans="1:2" x14ac:dyDescent="0.25">
      <c r="A2698" s="104"/>
      <c r="B2698" s="104"/>
    </row>
    <row r="2699" spans="1:2" x14ac:dyDescent="0.25">
      <c r="A2699" s="104"/>
      <c r="B2699" s="104"/>
    </row>
    <row r="2700" spans="1:2" x14ac:dyDescent="0.25">
      <c r="A2700" s="104"/>
      <c r="B2700" s="104"/>
    </row>
    <row r="2701" spans="1:2" x14ac:dyDescent="0.25">
      <c r="A2701" s="104"/>
      <c r="B2701" s="104"/>
    </row>
    <row r="2702" spans="1:2" x14ac:dyDescent="0.25">
      <c r="A2702" s="104"/>
      <c r="B2702" s="104"/>
    </row>
    <row r="2703" spans="1:2" x14ac:dyDescent="0.25">
      <c r="A2703" s="104"/>
      <c r="B2703" s="104"/>
    </row>
    <row r="2704" spans="1:2" x14ac:dyDescent="0.25">
      <c r="A2704" s="104"/>
      <c r="B2704" s="104"/>
    </row>
    <row r="2705" spans="1:2" x14ac:dyDescent="0.25">
      <c r="A2705" s="104"/>
      <c r="B2705" s="104"/>
    </row>
    <row r="2706" spans="1:2" x14ac:dyDescent="0.25">
      <c r="A2706" s="104"/>
      <c r="B2706" s="104"/>
    </row>
    <row r="2707" spans="1:2" x14ac:dyDescent="0.25">
      <c r="A2707" s="104"/>
      <c r="B2707" s="104"/>
    </row>
    <row r="2708" spans="1:2" x14ac:dyDescent="0.25">
      <c r="A2708" s="104"/>
      <c r="B2708" s="104"/>
    </row>
    <row r="2709" spans="1:2" x14ac:dyDescent="0.25">
      <c r="A2709" s="104"/>
      <c r="B2709" s="104"/>
    </row>
    <row r="2710" spans="1:2" x14ac:dyDescent="0.25">
      <c r="A2710" s="104"/>
      <c r="B2710" s="104"/>
    </row>
    <row r="2711" spans="1:2" x14ac:dyDescent="0.25">
      <c r="A2711" s="104"/>
      <c r="B2711" s="104"/>
    </row>
    <row r="2712" spans="1:2" x14ac:dyDescent="0.25">
      <c r="A2712" s="104"/>
      <c r="B2712" s="104"/>
    </row>
    <row r="2713" spans="1:2" x14ac:dyDescent="0.25">
      <c r="A2713" s="104"/>
      <c r="B2713" s="104"/>
    </row>
    <row r="2714" spans="1:2" x14ac:dyDescent="0.25">
      <c r="A2714" s="104"/>
      <c r="B2714" s="104"/>
    </row>
    <row r="2715" spans="1:2" x14ac:dyDescent="0.25">
      <c r="A2715" s="104"/>
      <c r="B2715" s="104"/>
    </row>
    <row r="2716" spans="1:2" x14ac:dyDescent="0.25">
      <c r="A2716" s="104"/>
      <c r="B2716" s="104"/>
    </row>
    <row r="2717" spans="1:2" x14ac:dyDescent="0.25">
      <c r="A2717" s="104"/>
      <c r="B2717" s="104"/>
    </row>
    <row r="2718" spans="1:2" x14ac:dyDescent="0.25">
      <c r="A2718" s="104"/>
      <c r="B2718" s="104"/>
    </row>
    <row r="2719" spans="1:2" x14ac:dyDescent="0.25">
      <c r="A2719" s="104"/>
      <c r="B2719" s="104"/>
    </row>
    <row r="2720" spans="1:2" x14ac:dyDescent="0.25">
      <c r="A2720" s="104"/>
      <c r="B2720" s="104"/>
    </row>
    <row r="2721" spans="1:2" x14ac:dyDescent="0.25">
      <c r="A2721" s="104"/>
      <c r="B2721" s="104"/>
    </row>
    <row r="2722" spans="1:2" x14ac:dyDescent="0.25">
      <c r="A2722" s="104"/>
      <c r="B2722" s="104"/>
    </row>
    <row r="2723" spans="1:2" x14ac:dyDescent="0.25">
      <c r="A2723" s="104"/>
      <c r="B2723" s="104"/>
    </row>
    <row r="2724" spans="1:2" x14ac:dyDescent="0.25">
      <c r="A2724" s="104"/>
      <c r="B2724" s="104"/>
    </row>
    <row r="2725" spans="1:2" x14ac:dyDescent="0.25">
      <c r="A2725" s="104"/>
      <c r="B2725" s="104"/>
    </row>
    <row r="2726" spans="1:2" x14ac:dyDescent="0.25">
      <c r="A2726" s="104"/>
      <c r="B2726" s="104"/>
    </row>
    <row r="2727" spans="1:2" x14ac:dyDescent="0.25">
      <c r="A2727" s="104"/>
      <c r="B2727" s="104"/>
    </row>
    <row r="2728" spans="1:2" x14ac:dyDescent="0.25">
      <c r="A2728" s="104"/>
      <c r="B2728" s="104"/>
    </row>
    <row r="2729" spans="1:2" x14ac:dyDescent="0.25">
      <c r="A2729" s="104"/>
      <c r="B2729" s="104"/>
    </row>
    <row r="2730" spans="1:2" x14ac:dyDescent="0.25">
      <c r="A2730" s="104"/>
      <c r="B2730" s="104"/>
    </row>
    <row r="2731" spans="1:2" x14ac:dyDescent="0.25">
      <c r="A2731" s="104"/>
      <c r="B2731" s="104"/>
    </row>
    <row r="2732" spans="1:2" x14ac:dyDescent="0.25">
      <c r="A2732" s="104"/>
      <c r="B2732" s="104"/>
    </row>
    <row r="2733" spans="1:2" x14ac:dyDescent="0.25">
      <c r="A2733" s="104"/>
      <c r="B2733" s="104"/>
    </row>
    <row r="2734" spans="1:2" x14ac:dyDescent="0.25">
      <c r="A2734" s="104"/>
      <c r="B2734" s="104"/>
    </row>
    <row r="2735" spans="1:2" x14ac:dyDescent="0.25">
      <c r="A2735" s="104"/>
      <c r="B2735" s="104"/>
    </row>
    <row r="2736" spans="1:2" x14ac:dyDescent="0.25">
      <c r="A2736" s="104"/>
      <c r="B2736" s="104"/>
    </row>
    <row r="2737" spans="1:2" x14ac:dyDescent="0.25">
      <c r="A2737" s="104"/>
      <c r="B2737" s="104"/>
    </row>
    <row r="2738" spans="1:2" x14ac:dyDescent="0.25">
      <c r="A2738" s="104"/>
      <c r="B2738" s="104"/>
    </row>
    <row r="2739" spans="1:2" x14ac:dyDescent="0.25">
      <c r="A2739" s="104"/>
      <c r="B2739" s="104"/>
    </row>
    <row r="2740" spans="1:2" x14ac:dyDescent="0.25">
      <c r="A2740" s="104"/>
      <c r="B2740" s="104"/>
    </row>
    <row r="2741" spans="1:2" x14ac:dyDescent="0.25">
      <c r="A2741" s="104"/>
      <c r="B2741" s="104"/>
    </row>
    <row r="2742" spans="1:2" x14ac:dyDescent="0.25">
      <c r="A2742" s="104"/>
      <c r="B2742" s="104"/>
    </row>
    <row r="2743" spans="1:2" x14ac:dyDescent="0.25">
      <c r="A2743" s="104"/>
      <c r="B2743" s="104"/>
    </row>
    <row r="2744" spans="1:2" x14ac:dyDescent="0.25">
      <c r="A2744" s="104"/>
      <c r="B2744" s="104"/>
    </row>
    <row r="2745" spans="1:2" x14ac:dyDescent="0.25">
      <c r="A2745" s="104"/>
      <c r="B2745" s="104"/>
    </row>
    <row r="2746" spans="1:2" x14ac:dyDescent="0.25">
      <c r="A2746" s="104"/>
      <c r="B2746" s="104"/>
    </row>
    <row r="2747" spans="1:2" x14ac:dyDescent="0.25">
      <c r="A2747" s="104"/>
      <c r="B2747" s="104"/>
    </row>
    <row r="2748" spans="1:2" x14ac:dyDescent="0.25">
      <c r="A2748" s="104"/>
      <c r="B2748" s="104"/>
    </row>
    <row r="2749" spans="1:2" x14ac:dyDescent="0.25">
      <c r="A2749" s="104"/>
      <c r="B2749" s="104"/>
    </row>
    <row r="2750" spans="1:2" x14ac:dyDescent="0.25">
      <c r="A2750" s="104"/>
      <c r="B2750" s="104"/>
    </row>
    <row r="2751" spans="1:2" x14ac:dyDescent="0.25">
      <c r="A2751" s="104"/>
      <c r="B2751" s="104"/>
    </row>
    <row r="2752" spans="1:2" x14ac:dyDescent="0.25">
      <c r="A2752" s="104"/>
      <c r="B2752" s="104"/>
    </row>
    <row r="2753" spans="1:2" x14ac:dyDescent="0.25">
      <c r="A2753" s="104"/>
      <c r="B2753" s="104"/>
    </row>
    <row r="2754" spans="1:2" x14ac:dyDescent="0.25">
      <c r="A2754" s="104"/>
      <c r="B2754" s="104"/>
    </row>
    <row r="2755" spans="1:2" x14ac:dyDescent="0.25">
      <c r="A2755" s="104"/>
      <c r="B2755" s="104"/>
    </row>
    <row r="2756" spans="1:2" x14ac:dyDescent="0.25">
      <c r="A2756" s="104"/>
      <c r="B2756" s="104"/>
    </row>
    <row r="2757" spans="1:2" x14ac:dyDescent="0.25">
      <c r="A2757" s="104"/>
      <c r="B2757" s="104"/>
    </row>
    <row r="2758" spans="1:2" x14ac:dyDescent="0.25">
      <c r="A2758" s="104"/>
      <c r="B2758" s="104"/>
    </row>
    <row r="2759" spans="1:2" x14ac:dyDescent="0.25">
      <c r="A2759" s="104"/>
      <c r="B2759" s="104"/>
    </row>
    <row r="2760" spans="1:2" x14ac:dyDescent="0.25">
      <c r="A2760" s="104"/>
      <c r="B2760" s="104"/>
    </row>
    <row r="2761" spans="1:2" x14ac:dyDescent="0.25">
      <c r="A2761" s="104"/>
      <c r="B2761" s="104"/>
    </row>
    <row r="2762" spans="1:2" x14ac:dyDescent="0.25">
      <c r="A2762" s="104"/>
      <c r="B2762" s="104"/>
    </row>
    <row r="2763" spans="1:2" x14ac:dyDescent="0.25">
      <c r="A2763" s="104"/>
      <c r="B2763" s="104"/>
    </row>
    <row r="2764" spans="1:2" x14ac:dyDescent="0.25">
      <c r="A2764" s="104"/>
      <c r="B2764" s="104"/>
    </row>
    <row r="2765" spans="1:2" x14ac:dyDescent="0.25">
      <c r="A2765" s="104"/>
      <c r="B2765" s="104"/>
    </row>
    <row r="2766" spans="1:2" x14ac:dyDescent="0.25">
      <c r="A2766" s="104"/>
      <c r="B2766" s="104"/>
    </row>
    <row r="2767" spans="1:2" x14ac:dyDescent="0.25">
      <c r="A2767" s="104"/>
      <c r="B2767" s="104"/>
    </row>
    <row r="2768" spans="1:2" x14ac:dyDescent="0.25">
      <c r="A2768" s="104"/>
      <c r="B2768" s="104"/>
    </row>
    <row r="2769" spans="1:2" x14ac:dyDescent="0.25">
      <c r="A2769" s="104"/>
      <c r="B2769" s="104"/>
    </row>
    <row r="2770" spans="1:2" x14ac:dyDescent="0.25">
      <c r="A2770" s="104"/>
      <c r="B2770" s="104"/>
    </row>
    <row r="2771" spans="1:2" x14ac:dyDescent="0.25">
      <c r="A2771" s="104"/>
      <c r="B2771" s="104"/>
    </row>
    <row r="2772" spans="1:2" x14ac:dyDescent="0.25">
      <c r="A2772" s="104"/>
      <c r="B2772" s="104"/>
    </row>
    <row r="2773" spans="1:2" x14ac:dyDescent="0.25">
      <c r="A2773" s="104"/>
      <c r="B2773" s="104"/>
    </row>
    <row r="2774" spans="1:2" x14ac:dyDescent="0.25">
      <c r="A2774" s="104"/>
      <c r="B2774" s="104"/>
    </row>
    <row r="2775" spans="1:2" x14ac:dyDescent="0.25">
      <c r="A2775" s="104"/>
      <c r="B2775" s="104"/>
    </row>
    <row r="2776" spans="1:2" x14ac:dyDescent="0.25">
      <c r="A2776" s="104"/>
      <c r="B2776" s="104"/>
    </row>
    <row r="2777" spans="1:2" x14ac:dyDescent="0.25">
      <c r="A2777" s="104"/>
      <c r="B2777" s="104"/>
    </row>
    <row r="2778" spans="1:2" x14ac:dyDescent="0.25">
      <c r="A2778" s="104"/>
      <c r="B2778" s="104"/>
    </row>
    <row r="2779" spans="1:2" x14ac:dyDescent="0.25">
      <c r="A2779" s="104"/>
      <c r="B2779" s="104"/>
    </row>
    <row r="2780" spans="1:2" x14ac:dyDescent="0.25">
      <c r="A2780" s="104"/>
      <c r="B2780" s="104"/>
    </row>
    <row r="2781" spans="1:2" x14ac:dyDescent="0.25">
      <c r="A2781" s="104"/>
      <c r="B2781" s="104"/>
    </row>
    <row r="2782" spans="1:2" x14ac:dyDescent="0.25">
      <c r="A2782" s="104"/>
      <c r="B2782" s="104"/>
    </row>
    <row r="2783" spans="1:2" x14ac:dyDescent="0.25">
      <c r="A2783" s="104"/>
      <c r="B2783" s="104"/>
    </row>
    <row r="2784" spans="1:2" x14ac:dyDescent="0.25">
      <c r="A2784" s="104"/>
      <c r="B2784" s="104"/>
    </row>
    <row r="2785" spans="1:2" x14ac:dyDescent="0.25">
      <c r="A2785" s="104"/>
      <c r="B2785" s="104"/>
    </row>
    <row r="2786" spans="1:2" x14ac:dyDescent="0.25">
      <c r="A2786" s="104"/>
      <c r="B2786" s="104"/>
    </row>
    <row r="2787" spans="1:2" x14ac:dyDescent="0.25">
      <c r="A2787" s="104"/>
      <c r="B2787" s="104"/>
    </row>
    <row r="2788" spans="1:2" x14ac:dyDescent="0.25">
      <c r="A2788" s="104"/>
      <c r="B2788" s="104"/>
    </row>
    <row r="2789" spans="1:2" x14ac:dyDescent="0.25">
      <c r="A2789" s="104"/>
      <c r="B2789" s="104"/>
    </row>
    <row r="2790" spans="1:2" x14ac:dyDescent="0.25">
      <c r="A2790" s="104"/>
      <c r="B2790" s="104"/>
    </row>
    <row r="2791" spans="1:2" x14ac:dyDescent="0.25">
      <c r="A2791" s="104"/>
      <c r="B2791" s="104"/>
    </row>
    <row r="2792" spans="1:2" x14ac:dyDescent="0.25">
      <c r="A2792" s="104"/>
      <c r="B2792" s="104"/>
    </row>
    <row r="2793" spans="1:2" x14ac:dyDescent="0.25">
      <c r="A2793" s="104"/>
      <c r="B2793" s="104"/>
    </row>
    <row r="2794" spans="1:2" x14ac:dyDescent="0.25">
      <c r="A2794" s="104"/>
      <c r="B2794" s="104"/>
    </row>
    <row r="2795" spans="1:2" x14ac:dyDescent="0.25">
      <c r="A2795" s="104"/>
      <c r="B2795" s="104"/>
    </row>
    <row r="2796" spans="1:2" x14ac:dyDescent="0.25">
      <c r="A2796" s="104"/>
      <c r="B2796" s="104"/>
    </row>
    <row r="2797" spans="1:2" x14ac:dyDescent="0.25">
      <c r="A2797" s="104"/>
      <c r="B2797" s="104"/>
    </row>
    <row r="2798" spans="1:2" x14ac:dyDescent="0.25">
      <c r="A2798" s="104"/>
      <c r="B2798" s="104"/>
    </row>
    <row r="2799" spans="1:2" x14ac:dyDescent="0.25">
      <c r="A2799" s="104"/>
      <c r="B2799" s="104"/>
    </row>
    <row r="2800" spans="1:2" x14ac:dyDescent="0.25">
      <c r="A2800" s="104"/>
      <c r="B2800" s="104"/>
    </row>
    <row r="2801" spans="1:2" x14ac:dyDescent="0.25">
      <c r="A2801" s="104"/>
      <c r="B2801" s="104"/>
    </row>
    <row r="2802" spans="1:2" x14ac:dyDescent="0.25">
      <c r="A2802" s="104"/>
      <c r="B2802" s="104"/>
    </row>
    <row r="2803" spans="1:2" x14ac:dyDescent="0.25">
      <c r="A2803" s="104"/>
      <c r="B2803" s="104"/>
    </row>
    <row r="2804" spans="1:2" x14ac:dyDescent="0.25">
      <c r="A2804" s="104"/>
      <c r="B2804" s="104"/>
    </row>
    <row r="2805" spans="1:2" x14ac:dyDescent="0.25">
      <c r="A2805" s="104"/>
      <c r="B2805" s="104"/>
    </row>
    <row r="2806" spans="1:2" x14ac:dyDescent="0.25">
      <c r="A2806" s="104"/>
      <c r="B2806" s="104"/>
    </row>
    <row r="2807" spans="1:2" x14ac:dyDescent="0.25">
      <c r="A2807" s="104"/>
      <c r="B2807" s="104"/>
    </row>
    <row r="2808" spans="1:2" x14ac:dyDescent="0.25">
      <c r="A2808" s="104"/>
      <c r="B2808" s="104"/>
    </row>
    <row r="2809" spans="1:2" x14ac:dyDescent="0.25">
      <c r="A2809" s="104"/>
      <c r="B2809" s="104"/>
    </row>
    <row r="2810" spans="1:2" x14ac:dyDescent="0.25">
      <c r="A2810" s="104"/>
      <c r="B2810" s="104"/>
    </row>
    <row r="2811" spans="1:2" x14ac:dyDescent="0.25">
      <c r="A2811" s="104"/>
      <c r="B2811" s="104"/>
    </row>
    <row r="2812" spans="1:2" x14ac:dyDescent="0.25">
      <c r="A2812" s="104"/>
      <c r="B2812" s="104"/>
    </row>
    <row r="2813" spans="1:2" x14ac:dyDescent="0.25">
      <c r="A2813" s="104"/>
      <c r="B2813" s="104"/>
    </row>
    <row r="2814" spans="1:2" x14ac:dyDescent="0.25">
      <c r="A2814" s="104"/>
      <c r="B2814" s="104"/>
    </row>
    <row r="2815" spans="1:2" x14ac:dyDescent="0.25">
      <c r="A2815" s="104"/>
      <c r="B2815" s="104"/>
    </row>
    <row r="2816" spans="1:2" x14ac:dyDescent="0.25">
      <c r="A2816" s="104"/>
      <c r="B2816" s="104"/>
    </row>
    <row r="2817" spans="1:2" x14ac:dyDescent="0.25">
      <c r="A2817" s="104"/>
      <c r="B2817" s="104"/>
    </row>
    <row r="2818" spans="1:2" x14ac:dyDescent="0.25">
      <c r="A2818" s="104"/>
      <c r="B2818" s="104"/>
    </row>
    <row r="2819" spans="1:2" x14ac:dyDescent="0.25">
      <c r="A2819" s="104"/>
      <c r="B2819" s="104"/>
    </row>
    <row r="2820" spans="1:2" x14ac:dyDescent="0.25">
      <c r="A2820" s="104"/>
      <c r="B2820" s="104"/>
    </row>
    <row r="2821" spans="1:2" x14ac:dyDescent="0.25">
      <c r="A2821" s="104"/>
      <c r="B2821" s="104"/>
    </row>
    <row r="2822" spans="1:2" x14ac:dyDescent="0.25">
      <c r="A2822" s="104"/>
      <c r="B2822" s="104"/>
    </row>
    <row r="2823" spans="1:2" x14ac:dyDescent="0.25">
      <c r="A2823" s="104"/>
      <c r="B2823" s="104"/>
    </row>
    <row r="2824" spans="1:2" x14ac:dyDescent="0.25">
      <c r="A2824" s="104"/>
      <c r="B2824" s="104"/>
    </row>
    <row r="2825" spans="1:2" x14ac:dyDescent="0.25">
      <c r="A2825" s="104"/>
      <c r="B2825" s="104"/>
    </row>
    <row r="2826" spans="1:2" x14ac:dyDescent="0.25">
      <c r="A2826" s="104"/>
      <c r="B2826" s="104"/>
    </row>
    <row r="2827" spans="1:2" x14ac:dyDescent="0.25">
      <c r="A2827" s="104"/>
      <c r="B2827" s="104"/>
    </row>
    <row r="2828" spans="1:2" x14ac:dyDescent="0.25">
      <c r="A2828" s="104"/>
      <c r="B2828" s="104"/>
    </row>
    <row r="2829" spans="1:2" x14ac:dyDescent="0.25">
      <c r="A2829" s="104"/>
      <c r="B2829" s="104"/>
    </row>
    <row r="2830" spans="1:2" x14ac:dyDescent="0.25">
      <c r="A2830" s="104"/>
      <c r="B2830" s="104"/>
    </row>
    <row r="2831" spans="1:2" x14ac:dyDescent="0.25">
      <c r="A2831" s="104"/>
      <c r="B2831" s="104"/>
    </row>
    <row r="2832" spans="1:2" x14ac:dyDescent="0.25">
      <c r="A2832" s="104"/>
      <c r="B2832" s="104"/>
    </row>
    <row r="2833" spans="1:2" x14ac:dyDescent="0.25">
      <c r="A2833" s="104"/>
      <c r="B2833" s="104"/>
    </row>
    <row r="2834" spans="1:2" x14ac:dyDescent="0.25">
      <c r="A2834" s="104"/>
      <c r="B2834" s="104"/>
    </row>
    <row r="2835" spans="1:2" x14ac:dyDescent="0.25">
      <c r="A2835" s="104"/>
      <c r="B2835" s="104"/>
    </row>
    <row r="2836" spans="1:2" x14ac:dyDescent="0.25">
      <c r="A2836" s="104"/>
      <c r="B2836" s="104"/>
    </row>
    <row r="2837" spans="1:2" x14ac:dyDescent="0.25">
      <c r="A2837" s="104"/>
      <c r="B2837" s="104"/>
    </row>
    <row r="2838" spans="1:2" x14ac:dyDescent="0.25">
      <c r="A2838" s="104"/>
      <c r="B2838" s="104"/>
    </row>
    <row r="2839" spans="1:2" x14ac:dyDescent="0.25">
      <c r="A2839" s="104"/>
      <c r="B2839" s="104"/>
    </row>
    <row r="2840" spans="1:2" x14ac:dyDescent="0.25">
      <c r="A2840" s="104"/>
      <c r="B2840" s="104"/>
    </row>
    <row r="2841" spans="1:2" x14ac:dyDescent="0.25">
      <c r="A2841" s="104"/>
      <c r="B2841" s="104"/>
    </row>
    <row r="2842" spans="1:2" x14ac:dyDescent="0.25">
      <c r="A2842" s="104"/>
      <c r="B2842" s="104"/>
    </row>
    <row r="2843" spans="1:2" x14ac:dyDescent="0.25">
      <c r="A2843" s="104"/>
      <c r="B2843" s="104"/>
    </row>
    <row r="2844" spans="1:2" x14ac:dyDescent="0.25">
      <c r="A2844" s="104"/>
      <c r="B2844" s="104"/>
    </row>
    <row r="2845" spans="1:2" x14ac:dyDescent="0.25">
      <c r="A2845" s="104"/>
      <c r="B2845" s="104"/>
    </row>
    <row r="2846" spans="1:2" x14ac:dyDescent="0.25">
      <c r="A2846" s="104"/>
      <c r="B2846" s="104"/>
    </row>
    <row r="2847" spans="1:2" x14ac:dyDescent="0.25">
      <c r="A2847" s="104"/>
      <c r="B2847" s="104"/>
    </row>
    <row r="2848" spans="1:2" x14ac:dyDescent="0.25">
      <c r="A2848" s="104"/>
      <c r="B2848" s="104"/>
    </row>
    <row r="2849" spans="1:2" x14ac:dyDescent="0.25">
      <c r="A2849" s="104"/>
      <c r="B2849" s="104"/>
    </row>
    <row r="2850" spans="1:2" x14ac:dyDescent="0.25">
      <c r="A2850" s="104"/>
      <c r="B2850" s="104"/>
    </row>
    <row r="2851" spans="1:2" x14ac:dyDescent="0.25">
      <c r="A2851" s="104"/>
      <c r="B2851" s="104"/>
    </row>
    <row r="2852" spans="1:2" x14ac:dyDescent="0.25">
      <c r="A2852" s="104"/>
      <c r="B2852" s="104"/>
    </row>
    <row r="2853" spans="1:2" x14ac:dyDescent="0.25">
      <c r="A2853" s="104"/>
      <c r="B2853" s="104"/>
    </row>
    <row r="2854" spans="1:2" x14ac:dyDescent="0.25">
      <c r="A2854" s="104"/>
      <c r="B2854" s="104"/>
    </row>
    <row r="2855" spans="1:2" x14ac:dyDescent="0.25">
      <c r="A2855" s="104"/>
      <c r="B2855" s="104"/>
    </row>
    <row r="2856" spans="1:2" x14ac:dyDescent="0.25">
      <c r="A2856" s="104"/>
      <c r="B2856" s="104"/>
    </row>
    <row r="2857" spans="1:2" x14ac:dyDescent="0.25">
      <c r="A2857" s="104"/>
      <c r="B2857" s="104"/>
    </row>
    <row r="2858" spans="1:2" x14ac:dyDescent="0.25">
      <c r="A2858" s="104"/>
      <c r="B2858" s="104"/>
    </row>
    <row r="2859" spans="1:2" x14ac:dyDescent="0.25">
      <c r="A2859" s="104"/>
      <c r="B2859" s="104"/>
    </row>
    <row r="2860" spans="1:2" x14ac:dyDescent="0.25">
      <c r="A2860" s="104"/>
      <c r="B2860" s="104"/>
    </row>
    <row r="2861" spans="1:2" x14ac:dyDescent="0.25">
      <c r="A2861" s="104"/>
      <c r="B2861" s="104"/>
    </row>
    <row r="2862" spans="1:2" x14ac:dyDescent="0.25">
      <c r="A2862" s="104"/>
      <c r="B2862" s="104"/>
    </row>
    <row r="2863" spans="1:2" x14ac:dyDescent="0.25">
      <c r="A2863" s="104"/>
      <c r="B2863" s="104"/>
    </row>
    <row r="2864" spans="1:2" x14ac:dyDescent="0.25">
      <c r="A2864" s="104"/>
      <c r="B2864" s="104"/>
    </row>
    <row r="2865" spans="1:2" x14ac:dyDescent="0.25">
      <c r="A2865" s="104"/>
      <c r="B2865" s="104"/>
    </row>
    <row r="2866" spans="1:2" x14ac:dyDescent="0.25">
      <c r="A2866" s="104"/>
      <c r="B2866" s="104"/>
    </row>
    <row r="2867" spans="1:2" x14ac:dyDescent="0.25">
      <c r="A2867" s="104"/>
      <c r="B2867" s="104"/>
    </row>
    <row r="2868" spans="1:2" x14ac:dyDescent="0.25">
      <c r="A2868" s="104"/>
      <c r="B2868" s="104"/>
    </row>
    <row r="2869" spans="1:2" x14ac:dyDescent="0.25">
      <c r="A2869" s="104"/>
      <c r="B2869" s="104"/>
    </row>
    <row r="2870" spans="1:2" x14ac:dyDescent="0.25">
      <c r="A2870" s="104"/>
      <c r="B2870" s="104"/>
    </row>
    <row r="2871" spans="1:2" x14ac:dyDescent="0.25">
      <c r="A2871" s="104"/>
      <c r="B2871" s="104"/>
    </row>
    <row r="2872" spans="1:2" x14ac:dyDescent="0.25">
      <c r="A2872" s="104"/>
      <c r="B2872" s="104"/>
    </row>
    <row r="2873" spans="1:2" x14ac:dyDescent="0.25">
      <c r="A2873" s="104"/>
      <c r="B2873" s="104"/>
    </row>
    <row r="2874" spans="1:2" x14ac:dyDescent="0.25">
      <c r="A2874" s="104"/>
      <c r="B2874" s="104"/>
    </row>
    <row r="2875" spans="1:2" x14ac:dyDescent="0.25">
      <c r="A2875" s="104"/>
      <c r="B2875" s="104"/>
    </row>
    <row r="2876" spans="1:2" x14ac:dyDescent="0.25">
      <c r="A2876" s="104"/>
      <c r="B2876" s="104"/>
    </row>
    <row r="2877" spans="1:2" x14ac:dyDescent="0.25">
      <c r="A2877" s="104"/>
      <c r="B2877" s="104"/>
    </row>
    <row r="2878" spans="1:2" x14ac:dyDescent="0.25">
      <c r="A2878" s="104"/>
      <c r="B2878" s="104"/>
    </row>
    <row r="2879" spans="1:2" x14ac:dyDescent="0.25">
      <c r="A2879" s="104"/>
      <c r="B2879" s="104"/>
    </row>
    <row r="2880" spans="1:2" x14ac:dyDescent="0.25">
      <c r="A2880" s="104"/>
      <c r="B2880" s="104"/>
    </row>
    <row r="2881" spans="1:2" x14ac:dyDescent="0.25">
      <c r="A2881" s="104"/>
      <c r="B2881" s="104"/>
    </row>
    <row r="2882" spans="1:2" x14ac:dyDescent="0.25">
      <c r="A2882" s="104"/>
      <c r="B2882" s="104"/>
    </row>
    <row r="2883" spans="1:2" x14ac:dyDescent="0.25">
      <c r="A2883" s="104"/>
      <c r="B2883" s="104"/>
    </row>
    <row r="2884" spans="1:2" x14ac:dyDescent="0.25">
      <c r="A2884" s="104"/>
      <c r="B2884" s="104"/>
    </row>
    <row r="2885" spans="1:2" x14ac:dyDescent="0.25">
      <c r="A2885" s="104"/>
      <c r="B2885" s="104"/>
    </row>
    <row r="2886" spans="1:2" x14ac:dyDescent="0.25">
      <c r="A2886" s="104"/>
      <c r="B2886" s="104"/>
    </row>
    <row r="2887" spans="1:2" x14ac:dyDescent="0.25">
      <c r="A2887" s="104"/>
      <c r="B2887" s="104"/>
    </row>
    <row r="2888" spans="1:2" x14ac:dyDescent="0.25">
      <c r="A2888" s="104"/>
      <c r="B2888" s="104"/>
    </row>
    <row r="2889" spans="1:2" x14ac:dyDescent="0.25">
      <c r="A2889" s="104"/>
      <c r="B2889" s="104"/>
    </row>
    <row r="2890" spans="1:2" x14ac:dyDescent="0.25">
      <c r="A2890" s="104"/>
      <c r="B2890" s="104"/>
    </row>
    <row r="2891" spans="1:2" x14ac:dyDescent="0.25">
      <c r="A2891" s="104"/>
      <c r="B2891" s="104"/>
    </row>
    <row r="2892" spans="1:2" x14ac:dyDescent="0.25">
      <c r="A2892" s="104"/>
      <c r="B2892" s="104"/>
    </row>
    <row r="2893" spans="1:2" x14ac:dyDescent="0.25">
      <c r="A2893" s="104"/>
      <c r="B2893" s="104"/>
    </row>
    <row r="2894" spans="1:2" x14ac:dyDescent="0.25">
      <c r="A2894" s="104"/>
      <c r="B2894" s="104"/>
    </row>
    <row r="2895" spans="1:2" x14ac:dyDescent="0.25">
      <c r="A2895" s="104"/>
      <c r="B2895" s="104"/>
    </row>
    <row r="2896" spans="1:2" x14ac:dyDescent="0.25">
      <c r="A2896" s="104"/>
      <c r="B2896" s="104"/>
    </row>
    <row r="2897" spans="1:2" x14ac:dyDescent="0.25">
      <c r="A2897" s="104"/>
      <c r="B2897" s="104"/>
    </row>
    <row r="2898" spans="1:2" x14ac:dyDescent="0.25">
      <c r="A2898" s="104"/>
      <c r="B2898" s="104"/>
    </row>
    <row r="2899" spans="1:2" x14ac:dyDescent="0.25">
      <c r="A2899" s="104"/>
      <c r="B2899" s="104"/>
    </row>
    <row r="2900" spans="1:2" x14ac:dyDescent="0.25">
      <c r="A2900" s="104"/>
      <c r="B2900" s="104"/>
    </row>
    <row r="2901" spans="1:2" x14ac:dyDescent="0.25">
      <c r="A2901" s="104"/>
      <c r="B2901" s="104"/>
    </row>
    <row r="2902" spans="1:2" x14ac:dyDescent="0.25">
      <c r="A2902" s="104"/>
      <c r="B2902" s="104"/>
    </row>
    <row r="2903" spans="1:2" x14ac:dyDescent="0.25">
      <c r="A2903" s="104"/>
      <c r="B2903" s="104"/>
    </row>
    <row r="2904" spans="1:2" x14ac:dyDescent="0.25">
      <c r="A2904" s="104"/>
      <c r="B2904" s="104"/>
    </row>
    <row r="2905" spans="1:2" x14ac:dyDescent="0.25">
      <c r="A2905" s="104"/>
      <c r="B2905" s="104"/>
    </row>
    <row r="2906" spans="1:2" x14ac:dyDescent="0.25">
      <c r="A2906" s="104"/>
      <c r="B2906" s="104"/>
    </row>
    <row r="2907" spans="1:2" x14ac:dyDescent="0.25">
      <c r="A2907" s="104"/>
      <c r="B2907" s="104"/>
    </row>
    <row r="2908" spans="1:2" x14ac:dyDescent="0.25">
      <c r="A2908" s="104"/>
      <c r="B2908" s="104"/>
    </row>
    <row r="2909" spans="1:2" x14ac:dyDescent="0.25">
      <c r="A2909" s="104"/>
      <c r="B2909" s="104"/>
    </row>
    <row r="2910" spans="1:2" x14ac:dyDescent="0.25">
      <c r="A2910" s="104"/>
      <c r="B2910" s="104"/>
    </row>
    <row r="2911" spans="1:2" x14ac:dyDescent="0.25">
      <c r="A2911" s="104"/>
      <c r="B2911" s="104"/>
    </row>
    <row r="2912" spans="1:2" x14ac:dyDescent="0.25">
      <c r="A2912" s="104"/>
      <c r="B2912" s="104"/>
    </row>
    <row r="2913" spans="1:2" x14ac:dyDescent="0.25">
      <c r="A2913" s="104"/>
      <c r="B2913" s="104"/>
    </row>
    <row r="2914" spans="1:2" x14ac:dyDescent="0.25">
      <c r="A2914" s="104"/>
      <c r="B2914" s="104"/>
    </row>
    <row r="2915" spans="1:2" x14ac:dyDescent="0.25">
      <c r="A2915" s="104"/>
      <c r="B2915" s="104"/>
    </row>
    <row r="2916" spans="1:2" x14ac:dyDescent="0.25">
      <c r="A2916" s="104"/>
      <c r="B2916" s="104"/>
    </row>
    <row r="2917" spans="1:2" x14ac:dyDescent="0.25">
      <c r="A2917" s="104"/>
      <c r="B2917" s="104"/>
    </row>
    <row r="2918" spans="1:2" x14ac:dyDescent="0.25">
      <c r="A2918" s="104"/>
      <c r="B2918" s="104"/>
    </row>
    <row r="2919" spans="1:2" x14ac:dyDescent="0.25">
      <c r="A2919" s="104"/>
      <c r="B2919" s="104"/>
    </row>
    <row r="2920" spans="1:2" x14ac:dyDescent="0.25">
      <c r="A2920" s="104"/>
      <c r="B2920" s="104"/>
    </row>
    <row r="2921" spans="1:2" x14ac:dyDescent="0.25">
      <c r="A2921" s="104"/>
      <c r="B2921" s="104"/>
    </row>
    <row r="2922" spans="1:2" x14ac:dyDescent="0.25">
      <c r="A2922" s="104"/>
      <c r="B2922" s="104"/>
    </row>
    <row r="2923" spans="1:2" x14ac:dyDescent="0.25">
      <c r="A2923" s="104"/>
      <c r="B2923" s="104"/>
    </row>
    <row r="2924" spans="1:2" x14ac:dyDescent="0.25">
      <c r="A2924" s="104"/>
      <c r="B2924" s="104"/>
    </row>
    <row r="2925" spans="1:2" x14ac:dyDescent="0.25">
      <c r="A2925" s="104"/>
      <c r="B2925" s="104"/>
    </row>
    <row r="2926" spans="1:2" x14ac:dyDescent="0.25">
      <c r="A2926" s="104"/>
      <c r="B2926" s="104"/>
    </row>
    <row r="2927" spans="1:2" x14ac:dyDescent="0.25">
      <c r="A2927" s="104"/>
      <c r="B2927" s="104"/>
    </row>
    <row r="2928" spans="1:2" x14ac:dyDescent="0.25">
      <c r="A2928" s="104"/>
      <c r="B2928" s="104"/>
    </row>
    <row r="2929" spans="1:2" x14ac:dyDescent="0.25">
      <c r="A2929" s="104"/>
      <c r="B2929" s="104"/>
    </row>
    <row r="2930" spans="1:2" x14ac:dyDescent="0.25">
      <c r="A2930" s="104"/>
      <c r="B2930" s="104"/>
    </row>
    <row r="2931" spans="1:2" x14ac:dyDescent="0.25">
      <c r="A2931" s="104"/>
      <c r="B2931" s="104"/>
    </row>
    <row r="2932" spans="1:2" x14ac:dyDescent="0.25">
      <c r="A2932" s="104"/>
      <c r="B2932" s="104"/>
    </row>
    <row r="2933" spans="1:2" x14ac:dyDescent="0.25">
      <c r="A2933" s="104"/>
      <c r="B2933" s="104"/>
    </row>
    <row r="2934" spans="1:2" x14ac:dyDescent="0.25">
      <c r="A2934" s="104"/>
      <c r="B2934" s="104"/>
    </row>
    <row r="2935" spans="1:2" x14ac:dyDescent="0.25">
      <c r="A2935" s="104"/>
      <c r="B2935" s="104"/>
    </row>
    <row r="2936" spans="1:2" x14ac:dyDescent="0.25">
      <c r="A2936" s="104"/>
      <c r="B2936" s="104"/>
    </row>
    <row r="2937" spans="1:2" x14ac:dyDescent="0.25">
      <c r="A2937" s="104"/>
      <c r="B2937" s="104"/>
    </row>
    <row r="2938" spans="1:2" x14ac:dyDescent="0.25">
      <c r="A2938" s="104"/>
      <c r="B2938" s="104"/>
    </row>
    <row r="2939" spans="1:2" x14ac:dyDescent="0.25">
      <c r="A2939" s="104"/>
      <c r="B2939" s="104"/>
    </row>
    <row r="2940" spans="1:2" x14ac:dyDescent="0.25">
      <c r="A2940" s="104"/>
      <c r="B2940" s="104"/>
    </row>
    <row r="2941" spans="1:2" x14ac:dyDescent="0.25">
      <c r="A2941" s="104"/>
      <c r="B2941" s="104"/>
    </row>
    <row r="2942" spans="1:2" x14ac:dyDescent="0.25">
      <c r="A2942" s="104"/>
      <c r="B2942" s="104"/>
    </row>
    <row r="2943" spans="1:2" x14ac:dyDescent="0.25">
      <c r="A2943" s="104"/>
      <c r="B2943" s="104"/>
    </row>
    <row r="2944" spans="1:2" x14ac:dyDescent="0.25">
      <c r="A2944" s="104"/>
      <c r="B2944" s="104"/>
    </row>
    <row r="2945" spans="1:2" x14ac:dyDescent="0.25">
      <c r="A2945" s="104"/>
      <c r="B2945" s="104"/>
    </row>
    <row r="2946" spans="1:2" x14ac:dyDescent="0.25">
      <c r="A2946" s="104"/>
      <c r="B2946" s="104"/>
    </row>
    <row r="2947" spans="1:2" x14ac:dyDescent="0.25">
      <c r="A2947" s="104"/>
      <c r="B2947" s="104"/>
    </row>
    <row r="2948" spans="1:2" x14ac:dyDescent="0.25">
      <c r="A2948" s="104"/>
      <c r="B2948" s="104"/>
    </row>
    <row r="2949" spans="1:2" x14ac:dyDescent="0.25">
      <c r="A2949" s="104"/>
      <c r="B2949" s="104"/>
    </row>
    <row r="2950" spans="1:2" x14ac:dyDescent="0.25">
      <c r="A2950" s="104"/>
      <c r="B2950" s="104"/>
    </row>
    <row r="2951" spans="1:2" x14ac:dyDescent="0.25">
      <c r="A2951" s="104"/>
      <c r="B2951" s="104"/>
    </row>
    <row r="2952" spans="1:2" x14ac:dyDescent="0.25">
      <c r="A2952" s="104"/>
      <c r="B2952" s="104"/>
    </row>
    <row r="2953" spans="1:2" x14ac:dyDescent="0.25">
      <c r="A2953" s="104"/>
      <c r="B2953" s="104"/>
    </row>
    <row r="2954" spans="1:2" x14ac:dyDescent="0.25">
      <c r="A2954" s="104"/>
      <c r="B2954" s="104"/>
    </row>
    <row r="2955" spans="1:2" x14ac:dyDescent="0.25">
      <c r="A2955" s="104"/>
      <c r="B2955" s="104"/>
    </row>
    <row r="2956" spans="1:2" x14ac:dyDescent="0.25">
      <c r="A2956" s="104"/>
      <c r="B2956" s="104"/>
    </row>
    <row r="2957" spans="1:2" x14ac:dyDescent="0.25">
      <c r="A2957" s="104"/>
      <c r="B2957" s="104"/>
    </row>
    <row r="2958" spans="1:2" x14ac:dyDescent="0.25">
      <c r="A2958" s="104"/>
      <c r="B2958" s="104"/>
    </row>
    <row r="2959" spans="1:2" x14ac:dyDescent="0.25">
      <c r="A2959" s="104"/>
      <c r="B2959" s="104"/>
    </row>
    <row r="2960" spans="1:2" x14ac:dyDescent="0.25">
      <c r="A2960" s="104"/>
      <c r="B2960" s="104"/>
    </row>
    <row r="2961" spans="1:2" x14ac:dyDescent="0.25">
      <c r="A2961" s="104"/>
      <c r="B2961" s="104"/>
    </row>
    <row r="2962" spans="1:2" x14ac:dyDescent="0.25">
      <c r="A2962" s="104"/>
      <c r="B2962" s="104"/>
    </row>
    <row r="2963" spans="1:2" x14ac:dyDescent="0.25">
      <c r="A2963" s="104"/>
      <c r="B2963" s="104"/>
    </row>
    <row r="2964" spans="1:2" x14ac:dyDescent="0.25">
      <c r="A2964" s="104"/>
      <c r="B2964" s="104"/>
    </row>
    <row r="2965" spans="1:2" x14ac:dyDescent="0.25">
      <c r="A2965" s="104"/>
      <c r="B2965" s="104"/>
    </row>
    <row r="2966" spans="1:2" x14ac:dyDescent="0.25">
      <c r="A2966" s="104"/>
      <c r="B2966" s="104"/>
    </row>
    <row r="2967" spans="1:2" x14ac:dyDescent="0.25">
      <c r="A2967" s="104"/>
      <c r="B2967" s="104"/>
    </row>
    <row r="2968" spans="1:2" x14ac:dyDescent="0.25">
      <c r="A2968" s="104"/>
      <c r="B2968" s="104"/>
    </row>
    <row r="2969" spans="1:2" x14ac:dyDescent="0.25">
      <c r="A2969" s="104"/>
      <c r="B2969" s="104"/>
    </row>
    <row r="2970" spans="1:2" x14ac:dyDescent="0.25">
      <c r="A2970" s="104"/>
      <c r="B2970" s="104"/>
    </row>
    <row r="2971" spans="1:2" x14ac:dyDescent="0.25">
      <c r="A2971" s="104"/>
      <c r="B2971" s="104"/>
    </row>
    <row r="2972" spans="1:2" x14ac:dyDescent="0.25">
      <c r="A2972" s="104"/>
      <c r="B2972" s="104"/>
    </row>
    <row r="2973" spans="1:2" x14ac:dyDescent="0.25">
      <c r="A2973" s="104"/>
      <c r="B2973" s="104"/>
    </row>
    <row r="2974" spans="1:2" x14ac:dyDescent="0.25">
      <c r="A2974" s="104"/>
      <c r="B2974" s="104"/>
    </row>
    <row r="2975" spans="1:2" x14ac:dyDescent="0.25">
      <c r="A2975" s="104"/>
      <c r="B2975" s="104"/>
    </row>
    <row r="2976" spans="1:2" x14ac:dyDescent="0.25">
      <c r="A2976" s="104"/>
      <c r="B2976" s="104"/>
    </row>
    <row r="2977" spans="1:2" x14ac:dyDescent="0.25">
      <c r="A2977" s="104"/>
      <c r="B2977" s="104"/>
    </row>
    <row r="2978" spans="1:2" x14ac:dyDescent="0.25">
      <c r="A2978" s="104"/>
      <c r="B2978" s="104"/>
    </row>
    <row r="2979" spans="1:2" x14ac:dyDescent="0.25">
      <c r="A2979" s="104"/>
      <c r="B2979" s="104"/>
    </row>
    <row r="2980" spans="1:2" x14ac:dyDescent="0.25">
      <c r="A2980" s="104"/>
      <c r="B2980" s="104"/>
    </row>
    <row r="2981" spans="1:2" x14ac:dyDescent="0.25">
      <c r="A2981" s="104"/>
      <c r="B2981" s="104"/>
    </row>
    <row r="2982" spans="1:2" x14ac:dyDescent="0.25">
      <c r="A2982" s="104"/>
      <c r="B2982" s="104"/>
    </row>
    <row r="2983" spans="1:2" x14ac:dyDescent="0.25">
      <c r="A2983" s="104"/>
      <c r="B2983" s="104"/>
    </row>
    <row r="2984" spans="1:2" x14ac:dyDescent="0.25">
      <c r="A2984" s="104"/>
      <c r="B2984" s="104"/>
    </row>
    <row r="2985" spans="1:2" x14ac:dyDescent="0.25">
      <c r="A2985" s="104"/>
      <c r="B2985" s="104"/>
    </row>
    <row r="2986" spans="1:2" x14ac:dyDescent="0.25">
      <c r="A2986" s="104"/>
      <c r="B2986" s="104"/>
    </row>
    <row r="2987" spans="1:2" x14ac:dyDescent="0.25">
      <c r="A2987" s="104"/>
      <c r="B2987" s="104"/>
    </row>
    <row r="2988" spans="1:2" x14ac:dyDescent="0.25">
      <c r="A2988" s="104"/>
      <c r="B2988" s="104"/>
    </row>
    <row r="2989" spans="1:2" x14ac:dyDescent="0.25">
      <c r="A2989" s="104"/>
      <c r="B2989" s="104"/>
    </row>
    <row r="2990" spans="1:2" x14ac:dyDescent="0.25">
      <c r="A2990" s="104"/>
      <c r="B2990" s="104"/>
    </row>
    <row r="2991" spans="1:2" x14ac:dyDescent="0.25">
      <c r="A2991" s="104"/>
      <c r="B2991" s="104"/>
    </row>
    <row r="2992" spans="1:2" x14ac:dyDescent="0.25">
      <c r="A2992" s="104"/>
      <c r="B2992" s="104"/>
    </row>
    <row r="2993" spans="1:2" x14ac:dyDescent="0.25">
      <c r="A2993" s="104"/>
      <c r="B2993" s="104"/>
    </row>
    <row r="2994" spans="1:2" x14ac:dyDescent="0.25">
      <c r="A2994" s="104"/>
      <c r="B2994" s="104"/>
    </row>
    <row r="2995" spans="1:2" x14ac:dyDescent="0.25">
      <c r="A2995" s="104"/>
      <c r="B2995" s="104"/>
    </row>
    <row r="2996" spans="1:2" x14ac:dyDescent="0.25">
      <c r="A2996" s="104"/>
      <c r="B2996" s="104"/>
    </row>
    <row r="2997" spans="1:2" x14ac:dyDescent="0.25">
      <c r="A2997" s="104"/>
      <c r="B2997" s="104"/>
    </row>
    <row r="2998" spans="1:2" x14ac:dyDescent="0.25">
      <c r="A2998" s="104"/>
      <c r="B2998" s="104"/>
    </row>
    <row r="2999" spans="1:2" x14ac:dyDescent="0.25">
      <c r="A2999" s="104"/>
      <c r="B2999" s="104"/>
    </row>
    <row r="3000" spans="1:2" x14ac:dyDescent="0.25">
      <c r="A3000" s="104"/>
      <c r="B3000" s="104"/>
    </row>
    <row r="3001" spans="1:2" x14ac:dyDescent="0.25">
      <c r="A3001" s="104"/>
      <c r="B3001" s="104"/>
    </row>
    <row r="3002" spans="1:2" x14ac:dyDescent="0.25">
      <c r="A3002" s="104"/>
      <c r="B3002" s="104"/>
    </row>
    <row r="3003" spans="1:2" x14ac:dyDescent="0.25">
      <c r="A3003" s="104"/>
      <c r="B3003" s="104"/>
    </row>
    <row r="3004" spans="1:2" x14ac:dyDescent="0.25">
      <c r="A3004" s="104"/>
      <c r="B3004" s="104"/>
    </row>
    <row r="3005" spans="1:2" x14ac:dyDescent="0.25">
      <c r="A3005" s="104"/>
      <c r="B3005" s="104"/>
    </row>
    <row r="3006" spans="1:2" x14ac:dyDescent="0.25">
      <c r="A3006" s="104"/>
      <c r="B3006" s="104"/>
    </row>
    <row r="3007" spans="1:2" x14ac:dyDescent="0.25">
      <c r="A3007" s="104"/>
      <c r="B3007" s="104"/>
    </row>
    <row r="3008" spans="1:2" x14ac:dyDescent="0.25">
      <c r="A3008" s="104"/>
      <c r="B3008" s="104"/>
    </row>
    <row r="3009" spans="1:2" x14ac:dyDescent="0.25">
      <c r="A3009" s="104"/>
      <c r="B3009" s="104"/>
    </row>
    <row r="3010" spans="1:2" x14ac:dyDescent="0.25">
      <c r="A3010" s="104"/>
      <c r="B3010" s="104"/>
    </row>
    <row r="3011" spans="1:2" x14ac:dyDescent="0.25">
      <c r="A3011" s="104"/>
      <c r="B3011" s="104"/>
    </row>
    <row r="3012" spans="1:2" x14ac:dyDescent="0.25">
      <c r="A3012" s="104"/>
      <c r="B3012" s="104"/>
    </row>
    <row r="3013" spans="1:2" x14ac:dyDescent="0.25">
      <c r="A3013" s="104"/>
      <c r="B3013" s="104"/>
    </row>
    <row r="3014" spans="1:2" x14ac:dyDescent="0.25">
      <c r="A3014" s="104"/>
      <c r="B3014" s="104"/>
    </row>
    <row r="3015" spans="1:2" x14ac:dyDescent="0.25">
      <c r="A3015" s="104"/>
      <c r="B3015" s="104"/>
    </row>
    <row r="3016" spans="1:2" x14ac:dyDescent="0.25">
      <c r="A3016" s="104"/>
      <c r="B3016" s="104"/>
    </row>
    <row r="3017" spans="1:2" x14ac:dyDescent="0.25">
      <c r="A3017" s="104"/>
      <c r="B3017" s="104"/>
    </row>
    <row r="3018" spans="1:2" x14ac:dyDescent="0.25">
      <c r="A3018" s="104"/>
      <c r="B3018" s="104"/>
    </row>
    <row r="3019" spans="1:2" x14ac:dyDescent="0.25">
      <c r="A3019" s="104"/>
      <c r="B3019" s="104"/>
    </row>
    <row r="3020" spans="1:2" x14ac:dyDescent="0.25">
      <c r="A3020" s="104"/>
      <c r="B3020" s="104"/>
    </row>
    <row r="3021" spans="1:2" x14ac:dyDescent="0.25">
      <c r="A3021" s="104"/>
      <c r="B3021" s="104"/>
    </row>
    <row r="3022" spans="1:2" x14ac:dyDescent="0.25">
      <c r="A3022" s="104"/>
      <c r="B3022" s="104"/>
    </row>
    <row r="3023" spans="1:2" x14ac:dyDescent="0.25">
      <c r="A3023" s="104"/>
      <c r="B3023" s="104"/>
    </row>
    <row r="3024" spans="1:2" x14ac:dyDescent="0.25">
      <c r="A3024" s="104"/>
      <c r="B3024" s="104"/>
    </row>
    <row r="3025" spans="1:2" x14ac:dyDescent="0.25">
      <c r="A3025" s="104"/>
      <c r="B3025" s="104"/>
    </row>
    <row r="3026" spans="1:2" x14ac:dyDescent="0.25">
      <c r="A3026" s="104"/>
      <c r="B3026" s="104"/>
    </row>
    <row r="3027" spans="1:2" x14ac:dyDescent="0.25">
      <c r="A3027" s="104"/>
      <c r="B3027" s="104"/>
    </row>
    <row r="3028" spans="1:2" x14ac:dyDescent="0.25">
      <c r="A3028" s="104"/>
      <c r="B3028" s="104"/>
    </row>
    <row r="3029" spans="1:2" x14ac:dyDescent="0.25">
      <c r="A3029" s="104"/>
      <c r="B3029" s="104"/>
    </row>
    <row r="3030" spans="1:2" x14ac:dyDescent="0.25">
      <c r="A3030" s="104"/>
      <c r="B3030" s="104"/>
    </row>
    <row r="3031" spans="1:2" x14ac:dyDescent="0.25">
      <c r="A3031" s="104"/>
      <c r="B3031" s="104"/>
    </row>
    <row r="3032" spans="1:2" x14ac:dyDescent="0.25">
      <c r="A3032" s="104"/>
      <c r="B3032" s="104"/>
    </row>
    <row r="3033" spans="1:2" x14ac:dyDescent="0.25">
      <c r="A3033" s="104"/>
      <c r="B3033" s="104"/>
    </row>
    <row r="3034" spans="1:2" x14ac:dyDescent="0.25">
      <c r="A3034" s="104"/>
      <c r="B3034" s="104"/>
    </row>
    <row r="3035" spans="1:2" x14ac:dyDescent="0.25">
      <c r="A3035" s="104"/>
      <c r="B3035" s="104"/>
    </row>
    <row r="3036" spans="1:2" x14ac:dyDescent="0.25">
      <c r="A3036" s="104"/>
      <c r="B3036" s="104"/>
    </row>
    <row r="3037" spans="1:2" x14ac:dyDescent="0.25">
      <c r="A3037" s="104"/>
      <c r="B3037" s="104"/>
    </row>
    <row r="3038" spans="1:2" x14ac:dyDescent="0.25">
      <c r="A3038" s="104"/>
      <c r="B3038" s="104"/>
    </row>
    <row r="3039" spans="1:2" x14ac:dyDescent="0.25">
      <c r="A3039" s="104"/>
      <c r="B3039" s="104"/>
    </row>
    <row r="3040" spans="1:2" x14ac:dyDescent="0.25">
      <c r="A3040" s="104"/>
      <c r="B3040" s="104"/>
    </row>
    <row r="3041" spans="1:2" x14ac:dyDescent="0.25">
      <c r="A3041" s="104"/>
      <c r="B3041" s="104"/>
    </row>
    <row r="3042" spans="1:2" x14ac:dyDescent="0.25">
      <c r="A3042" s="104"/>
      <c r="B3042" s="104"/>
    </row>
    <row r="3043" spans="1:2" x14ac:dyDescent="0.25">
      <c r="A3043" s="104"/>
      <c r="B3043" s="104"/>
    </row>
    <row r="3044" spans="1:2" x14ac:dyDescent="0.25">
      <c r="A3044" s="104"/>
      <c r="B3044" s="104"/>
    </row>
    <row r="3045" spans="1:2" x14ac:dyDescent="0.25">
      <c r="A3045" s="104"/>
      <c r="B3045" s="104"/>
    </row>
    <row r="3046" spans="1:2" x14ac:dyDescent="0.25">
      <c r="A3046" s="104"/>
      <c r="B3046" s="104"/>
    </row>
    <row r="3047" spans="1:2" x14ac:dyDescent="0.25">
      <c r="A3047" s="104"/>
      <c r="B3047" s="104"/>
    </row>
    <row r="3048" spans="1:2" x14ac:dyDescent="0.25">
      <c r="A3048" s="104"/>
      <c r="B3048" s="104"/>
    </row>
    <row r="3049" spans="1:2" x14ac:dyDescent="0.25">
      <c r="A3049" s="104"/>
      <c r="B3049" s="104"/>
    </row>
    <row r="3050" spans="1:2" x14ac:dyDescent="0.25">
      <c r="A3050" s="104"/>
      <c r="B3050" s="104"/>
    </row>
    <row r="3051" spans="1:2" x14ac:dyDescent="0.25">
      <c r="A3051" s="104"/>
      <c r="B3051" s="104"/>
    </row>
    <row r="3052" spans="1:2" x14ac:dyDescent="0.25">
      <c r="A3052" s="104"/>
      <c r="B3052" s="104"/>
    </row>
    <row r="3053" spans="1:2" x14ac:dyDescent="0.25">
      <c r="A3053" s="104"/>
      <c r="B3053" s="104"/>
    </row>
    <row r="3054" spans="1:2" x14ac:dyDescent="0.25">
      <c r="A3054" s="104"/>
      <c r="B3054" s="104"/>
    </row>
    <row r="3055" spans="1:2" x14ac:dyDescent="0.25">
      <c r="A3055" s="104"/>
      <c r="B3055" s="104"/>
    </row>
    <row r="3056" spans="1:2" x14ac:dyDescent="0.25">
      <c r="A3056" s="104"/>
      <c r="B3056" s="104"/>
    </row>
    <row r="3057" spans="1:2" x14ac:dyDescent="0.25">
      <c r="A3057" s="104"/>
      <c r="B3057" s="104"/>
    </row>
    <row r="3058" spans="1:2" x14ac:dyDescent="0.25">
      <c r="A3058" s="104"/>
      <c r="B3058" s="104"/>
    </row>
    <row r="3059" spans="1:2" x14ac:dyDescent="0.25">
      <c r="A3059" s="104"/>
      <c r="B3059" s="104"/>
    </row>
    <row r="3060" spans="1:2" x14ac:dyDescent="0.25">
      <c r="A3060" s="104"/>
      <c r="B3060" s="104"/>
    </row>
    <row r="3061" spans="1:2" x14ac:dyDescent="0.25">
      <c r="A3061" s="104"/>
      <c r="B3061" s="104"/>
    </row>
    <row r="3062" spans="1:2" x14ac:dyDescent="0.25">
      <c r="A3062" s="104"/>
      <c r="B3062" s="104"/>
    </row>
    <row r="3063" spans="1:2" x14ac:dyDescent="0.25">
      <c r="A3063" s="104"/>
      <c r="B3063" s="104"/>
    </row>
    <row r="3064" spans="1:2" x14ac:dyDescent="0.25">
      <c r="A3064" s="104"/>
      <c r="B3064" s="104"/>
    </row>
    <row r="3065" spans="1:2" x14ac:dyDescent="0.25">
      <c r="A3065" s="104"/>
      <c r="B3065" s="104"/>
    </row>
    <row r="3066" spans="1:2" x14ac:dyDescent="0.25">
      <c r="A3066" s="104"/>
      <c r="B3066" s="104"/>
    </row>
    <row r="3067" spans="1:2" x14ac:dyDescent="0.25">
      <c r="A3067" s="104"/>
      <c r="B3067" s="104"/>
    </row>
    <row r="3068" spans="1:2" x14ac:dyDescent="0.25">
      <c r="A3068" s="104"/>
      <c r="B3068" s="104"/>
    </row>
    <row r="3069" spans="1:2" x14ac:dyDescent="0.25">
      <c r="A3069" s="104"/>
      <c r="B3069" s="104"/>
    </row>
    <row r="3070" spans="1:2" x14ac:dyDescent="0.25">
      <c r="A3070" s="104"/>
      <c r="B3070" s="104"/>
    </row>
    <row r="3071" spans="1:2" x14ac:dyDescent="0.25">
      <c r="A3071" s="104"/>
      <c r="B3071" s="104"/>
    </row>
    <row r="3072" spans="1:2" x14ac:dyDescent="0.25">
      <c r="A3072" s="104"/>
      <c r="B3072" s="104"/>
    </row>
    <row r="3073" spans="1:2" x14ac:dyDescent="0.25">
      <c r="A3073" s="104"/>
      <c r="B3073" s="104"/>
    </row>
    <row r="3074" spans="1:2" x14ac:dyDescent="0.25">
      <c r="A3074" s="104"/>
      <c r="B3074" s="104"/>
    </row>
    <row r="3075" spans="1:2" x14ac:dyDescent="0.25">
      <c r="A3075" s="104"/>
      <c r="B3075" s="104"/>
    </row>
    <row r="3076" spans="1:2" x14ac:dyDescent="0.25">
      <c r="A3076" s="104"/>
      <c r="B3076" s="104"/>
    </row>
    <row r="3077" spans="1:2" x14ac:dyDescent="0.25">
      <c r="A3077" s="104"/>
      <c r="B3077" s="104"/>
    </row>
    <row r="3078" spans="1:2" x14ac:dyDescent="0.25">
      <c r="A3078" s="104"/>
      <c r="B3078" s="104"/>
    </row>
    <row r="3079" spans="1:2" x14ac:dyDescent="0.25">
      <c r="A3079" s="104"/>
      <c r="B3079" s="104"/>
    </row>
    <row r="3080" spans="1:2" x14ac:dyDescent="0.25">
      <c r="A3080" s="104"/>
      <c r="B3080" s="104"/>
    </row>
    <row r="3081" spans="1:2" x14ac:dyDescent="0.25">
      <c r="A3081" s="104"/>
      <c r="B3081" s="104"/>
    </row>
    <row r="3082" spans="1:2" x14ac:dyDescent="0.25">
      <c r="A3082" s="104"/>
      <c r="B3082" s="104"/>
    </row>
    <row r="3083" spans="1:2" x14ac:dyDescent="0.25">
      <c r="A3083" s="104"/>
      <c r="B3083" s="104"/>
    </row>
    <row r="3084" spans="1:2" x14ac:dyDescent="0.25">
      <c r="A3084" s="104"/>
      <c r="B3084" s="104"/>
    </row>
    <row r="3085" spans="1:2" x14ac:dyDescent="0.25">
      <c r="A3085" s="104"/>
      <c r="B3085" s="104"/>
    </row>
    <row r="3086" spans="1:2" x14ac:dyDescent="0.25">
      <c r="A3086" s="104"/>
      <c r="B3086" s="104"/>
    </row>
    <row r="3087" spans="1:2" x14ac:dyDescent="0.25">
      <c r="A3087" s="104"/>
      <c r="B3087" s="104"/>
    </row>
    <row r="3088" spans="1:2" x14ac:dyDescent="0.25">
      <c r="A3088" s="104"/>
      <c r="B3088" s="104"/>
    </row>
    <row r="3089" spans="1:2" x14ac:dyDescent="0.25">
      <c r="A3089" s="104"/>
      <c r="B3089" s="104"/>
    </row>
    <row r="3090" spans="1:2" x14ac:dyDescent="0.25">
      <c r="A3090" s="104"/>
      <c r="B3090" s="104"/>
    </row>
    <row r="3091" spans="1:2" x14ac:dyDescent="0.25">
      <c r="A3091" s="104"/>
      <c r="B3091" s="104"/>
    </row>
    <row r="3092" spans="1:2" x14ac:dyDescent="0.25">
      <c r="A3092" s="104"/>
      <c r="B3092" s="104"/>
    </row>
    <row r="3093" spans="1:2" x14ac:dyDescent="0.25">
      <c r="A3093" s="104"/>
      <c r="B3093" s="104"/>
    </row>
    <row r="3094" spans="1:2" x14ac:dyDescent="0.25">
      <c r="A3094" s="104"/>
      <c r="B3094" s="104"/>
    </row>
    <row r="3095" spans="1:2" x14ac:dyDescent="0.25">
      <c r="A3095" s="104"/>
      <c r="B3095" s="104"/>
    </row>
    <row r="3096" spans="1:2" x14ac:dyDescent="0.25">
      <c r="A3096" s="104"/>
      <c r="B3096" s="104"/>
    </row>
    <row r="3097" spans="1:2" x14ac:dyDescent="0.25">
      <c r="A3097" s="104"/>
      <c r="B3097" s="104"/>
    </row>
    <row r="3098" spans="1:2" x14ac:dyDescent="0.25">
      <c r="A3098" s="104"/>
      <c r="B3098" s="104"/>
    </row>
    <row r="3099" spans="1:2" x14ac:dyDescent="0.25">
      <c r="A3099" s="104"/>
      <c r="B3099" s="104"/>
    </row>
    <row r="3100" spans="1:2" x14ac:dyDescent="0.25">
      <c r="A3100" s="104"/>
      <c r="B3100" s="104"/>
    </row>
    <row r="3101" spans="1:2" x14ac:dyDescent="0.25">
      <c r="A3101" s="104"/>
      <c r="B3101" s="104"/>
    </row>
    <row r="3102" spans="1:2" x14ac:dyDescent="0.25">
      <c r="A3102" s="104"/>
      <c r="B3102" s="104"/>
    </row>
    <row r="3103" spans="1:2" x14ac:dyDescent="0.25">
      <c r="A3103" s="104"/>
      <c r="B3103" s="104"/>
    </row>
    <row r="3104" spans="1:2" x14ac:dyDescent="0.25">
      <c r="A3104" s="104"/>
      <c r="B3104" s="104"/>
    </row>
    <row r="3105" spans="1:2" x14ac:dyDescent="0.25">
      <c r="A3105" s="104"/>
      <c r="B3105" s="104"/>
    </row>
    <row r="3106" spans="1:2" x14ac:dyDescent="0.25">
      <c r="A3106" s="104"/>
      <c r="B3106" s="104"/>
    </row>
    <row r="3107" spans="1:2" x14ac:dyDescent="0.25">
      <c r="A3107" s="104"/>
      <c r="B3107" s="104"/>
    </row>
    <row r="3108" spans="1:2" x14ac:dyDescent="0.25">
      <c r="A3108" s="104"/>
      <c r="B3108" s="104"/>
    </row>
    <row r="3109" spans="1:2" x14ac:dyDescent="0.25">
      <c r="A3109" s="104"/>
      <c r="B3109" s="104"/>
    </row>
    <row r="3110" spans="1:2" x14ac:dyDescent="0.25">
      <c r="A3110" s="104"/>
      <c r="B3110" s="104"/>
    </row>
    <row r="3111" spans="1:2" x14ac:dyDescent="0.25">
      <c r="A3111" s="104"/>
      <c r="B3111" s="104"/>
    </row>
    <row r="3112" spans="1:2" x14ac:dyDescent="0.25">
      <c r="A3112" s="104"/>
      <c r="B3112" s="104"/>
    </row>
    <row r="3113" spans="1:2" x14ac:dyDescent="0.25">
      <c r="A3113" s="104"/>
      <c r="B3113" s="104"/>
    </row>
    <row r="3114" spans="1:2" x14ac:dyDescent="0.25">
      <c r="A3114" s="104"/>
      <c r="B3114" s="104"/>
    </row>
    <row r="3115" spans="1:2" x14ac:dyDescent="0.25">
      <c r="A3115" s="104"/>
      <c r="B3115" s="104"/>
    </row>
    <row r="3116" spans="1:2" x14ac:dyDescent="0.25">
      <c r="A3116" s="104"/>
      <c r="B3116" s="104"/>
    </row>
    <row r="3117" spans="1:2" x14ac:dyDescent="0.25">
      <c r="A3117" s="104"/>
      <c r="B3117" s="104"/>
    </row>
    <row r="3118" spans="1:2" x14ac:dyDescent="0.25">
      <c r="A3118" s="104"/>
      <c r="B3118" s="104"/>
    </row>
    <row r="3119" spans="1:2" x14ac:dyDescent="0.25">
      <c r="A3119" s="104"/>
      <c r="B3119" s="104"/>
    </row>
    <row r="3120" spans="1:2" x14ac:dyDescent="0.25">
      <c r="A3120" s="104"/>
      <c r="B3120" s="104"/>
    </row>
    <row r="3121" spans="1:2" x14ac:dyDescent="0.25">
      <c r="A3121" s="104"/>
      <c r="B3121" s="104"/>
    </row>
    <row r="3122" spans="1:2" x14ac:dyDescent="0.25">
      <c r="A3122" s="104"/>
      <c r="B3122" s="104"/>
    </row>
    <row r="3123" spans="1:2" x14ac:dyDescent="0.25">
      <c r="A3123" s="104"/>
      <c r="B3123" s="104"/>
    </row>
    <row r="3124" spans="1:2" x14ac:dyDescent="0.25">
      <c r="A3124" s="104"/>
      <c r="B3124" s="104"/>
    </row>
    <row r="3125" spans="1:2" x14ac:dyDescent="0.25">
      <c r="A3125" s="104"/>
      <c r="B3125" s="104"/>
    </row>
    <row r="3126" spans="1:2" x14ac:dyDescent="0.25">
      <c r="A3126" s="104"/>
      <c r="B3126" s="104"/>
    </row>
    <row r="3127" spans="1:2" x14ac:dyDescent="0.25">
      <c r="A3127" s="104"/>
      <c r="B3127" s="104"/>
    </row>
    <row r="3128" spans="1:2" x14ac:dyDescent="0.25">
      <c r="A3128" s="104"/>
      <c r="B3128" s="104"/>
    </row>
    <row r="3129" spans="1:2" x14ac:dyDescent="0.25">
      <c r="A3129" s="104"/>
      <c r="B3129" s="104"/>
    </row>
    <row r="3130" spans="1:2" x14ac:dyDescent="0.25">
      <c r="A3130" s="104"/>
      <c r="B3130" s="104"/>
    </row>
    <row r="3131" spans="1:2" x14ac:dyDescent="0.25">
      <c r="A3131" s="104"/>
      <c r="B3131" s="104"/>
    </row>
    <row r="3132" spans="1:2" x14ac:dyDescent="0.25">
      <c r="A3132" s="104"/>
      <c r="B3132" s="104"/>
    </row>
    <row r="3133" spans="1:2" x14ac:dyDescent="0.25">
      <c r="A3133" s="104"/>
      <c r="B3133" s="104"/>
    </row>
    <row r="3134" spans="1:2" x14ac:dyDescent="0.25">
      <c r="A3134" s="104"/>
      <c r="B3134" s="104"/>
    </row>
    <row r="3135" spans="1:2" x14ac:dyDescent="0.25">
      <c r="A3135" s="104"/>
      <c r="B3135" s="104"/>
    </row>
    <row r="3136" spans="1:2" x14ac:dyDescent="0.25">
      <c r="A3136" s="104"/>
      <c r="B3136" s="104"/>
    </row>
    <row r="3137" spans="1:2" x14ac:dyDescent="0.25">
      <c r="A3137" s="104"/>
      <c r="B3137" s="104"/>
    </row>
    <row r="3138" spans="1:2" x14ac:dyDescent="0.25">
      <c r="A3138" s="104"/>
      <c r="B3138" s="104"/>
    </row>
    <row r="3139" spans="1:2" x14ac:dyDescent="0.25">
      <c r="A3139" s="104"/>
      <c r="B3139" s="104"/>
    </row>
    <row r="3140" spans="1:2" x14ac:dyDescent="0.25">
      <c r="A3140" s="104"/>
      <c r="B3140" s="104"/>
    </row>
    <row r="3141" spans="1:2" x14ac:dyDescent="0.25">
      <c r="A3141" s="104"/>
      <c r="B3141" s="104"/>
    </row>
    <row r="3142" spans="1:2" x14ac:dyDescent="0.25">
      <c r="A3142" s="104"/>
      <c r="B3142" s="104"/>
    </row>
    <row r="3143" spans="1:2" x14ac:dyDescent="0.25">
      <c r="A3143" s="104"/>
      <c r="B3143" s="104"/>
    </row>
    <row r="3144" spans="1:2" x14ac:dyDescent="0.25">
      <c r="A3144" s="104"/>
      <c r="B3144" s="104"/>
    </row>
    <row r="3145" spans="1:2" x14ac:dyDescent="0.25">
      <c r="A3145" s="104"/>
      <c r="B3145" s="104"/>
    </row>
    <row r="3146" spans="1:2" x14ac:dyDescent="0.25">
      <c r="A3146" s="104"/>
      <c r="B3146" s="104"/>
    </row>
    <row r="3147" spans="1:2" x14ac:dyDescent="0.25">
      <c r="A3147" s="104"/>
      <c r="B3147" s="104"/>
    </row>
    <row r="3148" spans="1:2" x14ac:dyDescent="0.25">
      <c r="A3148" s="104"/>
      <c r="B3148" s="104"/>
    </row>
    <row r="3149" spans="1:2" x14ac:dyDescent="0.25">
      <c r="A3149" s="104"/>
      <c r="B3149" s="104"/>
    </row>
    <row r="3150" spans="1:2" x14ac:dyDescent="0.25">
      <c r="A3150" s="104"/>
      <c r="B3150" s="104"/>
    </row>
    <row r="3151" spans="1:2" x14ac:dyDescent="0.25">
      <c r="A3151" s="104"/>
      <c r="B3151" s="104"/>
    </row>
    <row r="3152" spans="1:2" x14ac:dyDescent="0.25">
      <c r="A3152" s="104"/>
      <c r="B3152" s="104"/>
    </row>
    <row r="3153" spans="1:2" x14ac:dyDescent="0.25">
      <c r="A3153" s="104"/>
      <c r="B3153" s="104"/>
    </row>
    <row r="3154" spans="1:2" x14ac:dyDescent="0.25">
      <c r="A3154" s="104"/>
      <c r="B3154" s="104"/>
    </row>
    <row r="3155" spans="1:2" x14ac:dyDescent="0.25">
      <c r="A3155" s="104"/>
      <c r="B3155" s="104"/>
    </row>
    <row r="3156" spans="1:2" x14ac:dyDescent="0.25">
      <c r="A3156" s="104"/>
      <c r="B3156" s="104"/>
    </row>
    <row r="3157" spans="1:2" x14ac:dyDescent="0.25">
      <c r="A3157" s="104"/>
      <c r="B3157" s="104"/>
    </row>
    <row r="3158" spans="1:2" x14ac:dyDescent="0.25">
      <c r="A3158" s="104"/>
      <c r="B3158" s="104"/>
    </row>
    <row r="3159" spans="1:2" x14ac:dyDescent="0.25">
      <c r="A3159" s="104"/>
      <c r="B3159" s="104"/>
    </row>
    <row r="3160" spans="1:2" x14ac:dyDescent="0.25">
      <c r="A3160" s="104"/>
      <c r="B3160" s="104"/>
    </row>
    <row r="3161" spans="1:2" x14ac:dyDescent="0.25">
      <c r="A3161" s="104"/>
      <c r="B3161" s="104"/>
    </row>
    <row r="3162" spans="1:2" x14ac:dyDescent="0.25">
      <c r="A3162" s="104"/>
      <c r="B3162" s="104"/>
    </row>
    <row r="3163" spans="1:2" x14ac:dyDescent="0.25">
      <c r="A3163" s="104"/>
      <c r="B3163" s="104"/>
    </row>
    <row r="3164" spans="1:2" x14ac:dyDescent="0.25">
      <c r="A3164" s="104"/>
      <c r="B3164" s="104"/>
    </row>
    <row r="3165" spans="1:2" x14ac:dyDescent="0.25">
      <c r="A3165" s="104"/>
      <c r="B3165" s="104"/>
    </row>
    <row r="3166" spans="1:2" x14ac:dyDescent="0.25">
      <c r="A3166" s="104"/>
      <c r="B3166" s="104"/>
    </row>
    <row r="3167" spans="1:2" x14ac:dyDescent="0.25">
      <c r="A3167" s="104"/>
      <c r="B3167" s="104"/>
    </row>
    <row r="3168" spans="1:2" x14ac:dyDescent="0.25">
      <c r="A3168" s="104"/>
      <c r="B3168" s="104"/>
    </row>
    <row r="3169" spans="1:2" x14ac:dyDescent="0.25">
      <c r="A3169" s="104"/>
      <c r="B3169" s="104"/>
    </row>
    <row r="3170" spans="1:2" x14ac:dyDescent="0.25">
      <c r="A3170" s="104"/>
      <c r="B3170" s="104"/>
    </row>
    <row r="3171" spans="1:2" x14ac:dyDescent="0.25">
      <c r="A3171" s="104"/>
      <c r="B3171" s="104"/>
    </row>
    <row r="3172" spans="1:2" x14ac:dyDescent="0.25">
      <c r="A3172" s="104"/>
      <c r="B3172" s="104"/>
    </row>
    <row r="3173" spans="1:2" x14ac:dyDescent="0.25">
      <c r="A3173" s="104"/>
      <c r="B3173" s="104"/>
    </row>
    <row r="3174" spans="1:2" x14ac:dyDescent="0.25">
      <c r="A3174" s="104"/>
      <c r="B3174" s="104"/>
    </row>
    <row r="3175" spans="1:2" x14ac:dyDescent="0.25">
      <c r="A3175" s="104"/>
      <c r="B3175" s="104"/>
    </row>
    <row r="3176" spans="1:2" x14ac:dyDescent="0.25">
      <c r="A3176" s="104"/>
      <c r="B3176" s="104"/>
    </row>
    <row r="3177" spans="1:2" x14ac:dyDescent="0.25">
      <c r="A3177" s="104"/>
      <c r="B3177" s="104"/>
    </row>
    <row r="3178" spans="1:2" x14ac:dyDescent="0.25">
      <c r="A3178" s="104"/>
      <c r="B3178" s="104"/>
    </row>
    <row r="3179" spans="1:2" x14ac:dyDescent="0.25">
      <c r="A3179" s="104"/>
      <c r="B3179" s="104"/>
    </row>
    <row r="3180" spans="1:2" x14ac:dyDescent="0.25">
      <c r="A3180" s="104"/>
      <c r="B3180" s="104"/>
    </row>
    <row r="3181" spans="1:2" x14ac:dyDescent="0.25">
      <c r="A3181" s="104"/>
      <c r="B3181" s="104"/>
    </row>
    <row r="3182" spans="1:2" x14ac:dyDescent="0.25">
      <c r="A3182" s="104"/>
      <c r="B3182" s="104"/>
    </row>
    <row r="3183" spans="1:2" x14ac:dyDescent="0.25">
      <c r="A3183" s="104"/>
      <c r="B3183" s="104"/>
    </row>
    <row r="3184" spans="1:2" x14ac:dyDescent="0.25">
      <c r="A3184" s="104"/>
      <c r="B3184" s="104"/>
    </row>
    <row r="3185" spans="1:2" x14ac:dyDescent="0.25">
      <c r="A3185" s="104"/>
      <c r="B3185" s="104"/>
    </row>
    <row r="3186" spans="1:2" x14ac:dyDescent="0.25">
      <c r="A3186" s="104"/>
      <c r="B3186" s="104"/>
    </row>
    <row r="3187" spans="1:2" x14ac:dyDescent="0.25">
      <c r="A3187" s="104"/>
      <c r="B3187" s="104"/>
    </row>
    <row r="3188" spans="1:2" x14ac:dyDescent="0.25">
      <c r="A3188" s="104"/>
      <c r="B3188" s="104"/>
    </row>
    <row r="3189" spans="1:2" x14ac:dyDescent="0.25">
      <c r="A3189" s="104"/>
      <c r="B3189" s="104"/>
    </row>
    <row r="3190" spans="1:2" x14ac:dyDescent="0.25">
      <c r="A3190" s="104"/>
      <c r="B3190" s="104"/>
    </row>
    <row r="3191" spans="1:2" x14ac:dyDescent="0.25">
      <c r="A3191" s="104"/>
      <c r="B3191" s="104"/>
    </row>
    <row r="3192" spans="1:2" x14ac:dyDescent="0.25">
      <c r="A3192" s="104"/>
      <c r="B3192" s="104"/>
    </row>
    <row r="3193" spans="1:2" x14ac:dyDescent="0.25">
      <c r="A3193" s="104"/>
      <c r="B3193" s="104"/>
    </row>
    <row r="3194" spans="1:2" x14ac:dyDescent="0.25">
      <c r="A3194" s="104"/>
      <c r="B3194" s="104"/>
    </row>
    <row r="3195" spans="1:2" x14ac:dyDescent="0.25">
      <c r="A3195" s="104"/>
      <c r="B3195" s="104"/>
    </row>
    <row r="3196" spans="1:2" x14ac:dyDescent="0.25">
      <c r="A3196" s="104"/>
      <c r="B3196" s="104"/>
    </row>
    <row r="3197" spans="1:2" x14ac:dyDescent="0.25">
      <c r="A3197" s="104"/>
      <c r="B3197" s="104"/>
    </row>
    <row r="3198" spans="1:2" x14ac:dyDescent="0.25">
      <c r="A3198" s="104"/>
      <c r="B3198" s="104"/>
    </row>
    <row r="3199" spans="1:2" x14ac:dyDescent="0.25">
      <c r="A3199" s="104"/>
      <c r="B3199" s="104"/>
    </row>
    <row r="3200" spans="1:2" x14ac:dyDescent="0.25">
      <c r="A3200" s="104"/>
      <c r="B3200" s="104"/>
    </row>
    <row r="3201" spans="1:2" x14ac:dyDescent="0.25">
      <c r="A3201" s="104"/>
      <c r="B3201" s="104"/>
    </row>
    <row r="3202" spans="1:2" x14ac:dyDescent="0.25">
      <c r="A3202" s="104"/>
      <c r="B3202" s="104"/>
    </row>
    <row r="3203" spans="1:2" x14ac:dyDescent="0.25">
      <c r="A3203" s="104"/>
      <c r="B3203" s="104"/>
    </row>
    <row r="3204" spans="1:2" x14ac:dyDescent="0.25">
      <c r="A3204" s="104"/>
      <c r="B3204" s="104"/>
    </row>
    <row r="3205" spans="1:2" x14ac:dyDescent="0.25">
      <c r="A3205" s="104"/>
      <c r="B3205" s="104"/>
    </row>
    <row r="3206" spans="1:2" x14ac:dyDescent="0.25">
      <c r="A3206" s="104"/>
      <c r="B3206" s="104"/>
    </row>
    <row r="3207" spans="1:2" x14ac:dyDescent="0.25">
      <c r="A3207" s="104"/>
      <c r="B3207" s="104"/>
    </row>
    <row r="3208" spans="1:2" x14ac:dyDescent="0.25">
      <c r="A3208" s="104"/>
      <c r="B3208" s="104"/>
    </row>
    <row r="3209" spans="1:2" x14ac:dyDescent="0.25">
      <c r="A3209" s="104"/>
      <c r="B3209" s="104"/>
    </row>
    <row r="3210" spans="1:2" x14ac:dyDescent="0.25">
      <c r="A3210" s="104"/>
      <c r="B3210" s="104"/>
    </row>
    <row r="3211" spans="1:2" x14ac:dyDescent="0.25">
      <c r="A3211" s="104"/>
      <c r="B3211" s="104"/>
    </row>
    <row r="3212" spans="1:2" x14ac:dyDescent="0.25">
      <c r="A3212" s="104"/>
      <c r="B3212" s="104"/>
    </row>
    <row r="3213" spans="1:2" x14ac:dyDescent="0.25">
      <c r="A3213" s="104"/>
      <c r="B3213" s="104"/>
    </row>
    <row r="3214" spans="1:2" x14ac:dyDescent="0.25">
      <c r="A3214" s="104"/>
      <c r="B3214" s="104"/>
    </row>
    <row r="3215" spans="1:2" x14ac:dyDescent="0.25">
      <c r="A3215" s="104"/>
      <c r="B3215" s="104"/>
    </row>
    <row r="3216" spans="1:2" x14ac:dyDescent="0.25">
      <c r="A3216" s="104"/>
      <c r="B3216" s="104"/>
    </row>
    <row r="3217" spans="1:2" x14ac:dyDescent="0.25">
      <c r="A3217" s="104"/>
      <c r="B3217" s="104"/>
    </row>
    <row r="3218" spans="1:2" x14ac:dyDescent="0.25">
      <c r="A3218" s="104"/>
      <c r="B3218" s="104"/>
    </row>
    <row r="3219" spans="1:2" x14ac:dyDescent="0.25">
      <c r="A3219" s="104"/>
      <c r="B3219" s="104"/>
    </row>
    <row r="3220" spans="1:2" x14ac:dyDescent="0.25">
      <c r="A3220" s="104"/>
      <c r="B3220" s="104"/>
    </row>
    <row r="3221" spans="1:2" x14ac:dyDescent="0.25">
      <c r="A3221" s="104"/>
      <c r="B3221" s="104"/>
    </row>
    <row r="3222" spans="1:2" x14ac:dyDescent="0.25">
      <c r="A3222" s="104"/>
      <c r="B3222" s="104"/>
    </row>
    <row r="3223" spans="1:2" x14ac:dyDescent="0.25">
      <c r="A3223" s="104"/>
      <c r="B3223" s="104"/>
    </row>
    <row r="3224" spans="1:2" x14ac:dyDescent="0.25">
      <c r="A3224" s="104"/>
      <c r="B3224" s="104"/>
    </row>
    <row r="3225" spans="1:2" x14ac:dyDescent="0.25">
      <c r="A3225" s="104"/>
      <c r="B3225" s="104"/>
    </row>
    <row r="3226" spans="1:2" x14ac:dyDescent="0.25">
      <c r="A3226" s="104"/>
      <c r="B3226" s="104"/>
    </row>
    <row r="3227" spans="1:2" x14ac:dyDescent="0.25">
      <c r="A3227" s="104"/>
      <c r="B3227" s="104"/>
    </row>
    <row r="3228" spans="1:2" x14ac:dyDescent="0.25">
      <c r="A3228" s="104"/>
      <c r="B3228" s="104"/>
    </row>
    <row r="3229" spans="1:2" x14ac:dyDescent="0.25">
      <c r="A3229" s="104"/>
      <c r="B3229" s="104"/>
    </row>
    <row r="3230" spans="1:2" x14ac:dyDescent="0.25">
      <c r="A3230" s="104"/>
      <c r="B3230" s="104"/>
    </row>
    <row r="3231" spans="1:2" x14ac:dyDescent="0.25">
      <c r="A3231" s="104"/>
      <c r="B3231" s="104"/>
    </row>
    <row r="3232" spans="1:2" x14ac:dyDescent="0.25">
      <c r="A3232" s="104"/>
      <c r="B3232" s="104"/>
    </row>
    <row r="3233" spans="1:2" x14ac:dyDescent="0.25">
      <c r="A3233" s="104"/>
      <c r="B3233" s="104"/>
    </row>
    <row r="3234" spans="1:2" x14ac:dyDescent="0.25">
      <c r="A3234" s="104"/>
      <c r="B3234" s="104"/>
    </row>
    <row r="3235" spans="1:2" x14ac:dyDescent="0.25">
      <c r="A3235" s="104"/>
      <c r="B3235" s="104"/>
    </row>
    <row r="3236" spans="1:2" x14ac:dyDescent="0.25">
      <c r="A3236" s="104"/>
      <c r="B3236" s="104"/>
    </row>
    <row r="3237" spans="1:2" x14ac:dyDescent="0.25">
      <c r="A3237" s="104"/>
      <c r="B3237" s="104"/>
    </row>
    <row r="3238" spans="1:2" x14ac:dyDescent="0.25">
      <c r="A3238" s="104"/>
      <c r="B3238" s="104"/>
    </row>
    <row r="3239" spans="1:2" x14ac:dyDescent="0.25">
      <c r="A3239" s="104"/>
      <c r="B3239" s="104"/>
    </row>
    <row r="3240" spans="1:2" x14ac:dyDescent="0.25">
      <c r="A3240" s="104"/>
      <c r="B3240" s="104"/>
    </row>
    <row r="3241" spans="1:2" x14ac:dyDescent="0.25">
      <c r="A3241" s="104"/>
      <c r="B3241" s="104"/>
    </row>
    <row r="3242" spans="1:2" x14ac:dyDescent="0.25">
      <c r="A3242" s="104"/>
      <c r="B3242" s="104"/>
    </row>
    <row r="3243" spans="1:2" x14ac:dyDescent="0.25">
      <c r="A3243" s="104"/>
      <c r="B3243" s="104"/>
    </row>
    <row r="3244" spans="1:2" x14ac:dyDescent="0.25">
      <c r="A3244" s="104"/>
      <c r="B3244" s="104"/>
    </row>
    <row r="3245" spans="1:2" x14ac:dyDescent="0.25">
      <c r="A3245" s="104"/>
      <c r="B3245" s="104"/>
    </row>
    <row r="3246" spans="1:2" x14ac:dyDescent="0.25">
      <c r="A3246" s="104"/>
      <c r="B3246" s="104"/>
    </row>
    <row r="3247" spans="1:2" x14ac:dyDescent="0.25">
      <c r="A3247" s="104"/>
      <c r="B3247" s="104"/>
    </row>
    <row r="3248" spans="1:2" x14ac:dyDescent="0.25">
      <c r="A3248" s="104"/>
      <c r="B3248" s="104"/>
    </row>
    <row r="3249" spans="1:2" x14ac:dyDescent="0.25">
      <c r="A3249" s="104"/>
      <c r="B3249" s="104"/>
    </row>
    <row r="3250" spans="1:2" x14ac:dyDescent="0.25">
      <c r="A3250" s="104"/>
      <c r="B3250" s="104"/>
    </row>
    <row r="3251" spans="1:2" x14ac:dyDescent="0.25">
      <c r="A3251" s="104"/>
      <c r="B3251" s="104"/>
    </row>
    <row r="3252" spans="1:2" x14ac:dyDescent="0.25">
      <c r="A3252" s="104"/>
      <c r="B3252" s="104"/>
    </row>
    <row r="3253" spans="1:2" x14ac:dyDescent="0.25">
      <c r="A3253" s="104"/>
      <c r="B3253" s="104"/>
    </row>
    <row r="3254" spans="1:2" x14ac:dyDescent="0.25">
      <c r="A3254" s="104"/>
      <c r="B3254" s="104"/>
    </row>
    <row r="3255" spans="1:2" x14ac:dyDescent="0.25">
      <c r="A3255" s="104"/>
      <c r="B3255" s="104"/>
    </row>
    <row r="3256" spans="1:2" x14ac:dyDescent="0.25">
      <c r="A3256" s="104"/>
      <c r="B3256" s="104"/>
    </row>
    <row r="3257" spans="1:2" x14ac:dyDescent="0.25">
      <c r="A3257" s="104"/>
      <c r="B3257" s="104"/>
    </row>
    <row r="3258" spans="1:2" x14ac:dyDescent="0.25">
      <c r="A3258" s="104"/>
      <c r="B3258" s="104"/>
    </row>
    <row r="3259" spans="1:2" x14ac:dyDescent="0.25">
      <c r="A3259" s="104"/>
      <c r="B3259" s="104"/>
    </row>
    <row r="3260" spans="1:2" x14ac:dyDescent="0.25">
      <c r="A3260" s="104"/>
      <c r="B3260" s="104"/>
    </row>
    <row r="3261" spans="1:2" x14ac:dyDescent="0.25">
      <c r="A3261" s="104"/>
      <c r="B3261" s="104"/>
    </row>
    <row r="3262" spans="1:2" x14ac:dyDescent="0.25">
      <c r="A3262" s="104"/>
      <c r="B3262" s="104"/>
    </row>
    <row r="3263" spans="1:2" x14ac:dyDescent="0.25">
      <c r="A3263" s="104"/>
      <c r="B3263" s="104"/>
    </row>
    <row r="3264" spans="1:2" x14ac:dyDescent="0.25">
      <c r="A3264" s="104"/>
      <c r="B3264" s="104"/>
    </row>
    <row r="3265" spans="1:2" x14ac:dyDescent="0.25">
      <c r="A3265" s="104"/>
      <c r="B3265" s="104"/>
    </row>
    <row r="3266" spans="1:2" x14ac:dyDescent="0.25">
      <c r="A3266" s="104"/>
      <c r="B3266" s="104"/>
    </row>
    <row r="3267" spans="1:2" x14ac:dyDescent="0.25">
      <c r="A3267" s="104"/>
      <c r="B3267" s="104"/>
    </row>
    <row r="3268" spans="1:2" x14ac:dyDescent="0.25">
      <c r="A3268" s="104"/>
      <c r="B3268" s="104"/>
    </row>
    <row r="3269" spans="1:2" x14ac:dyDescent="0.25">
      <c r="A3269" s="104"/>
      <c r="B3269" s="104"/>
    </row>
    <row r="3270" spans="1:2" x14ac:dyDescent="0.25">
      <c r="A3270" s="104"/>
      <c r="B3270" s="104"/>
    </row>
    <row r="3271" spans="1:2" x14ac:dyDescent="0.25">
      <c r="A3271" s="104"/>
      <c r="B3271" s="104"/>
    </row>
    <row r="3272" spans="1:2" x14ac:dyDescent="0.25">
      <c r="A3272" s="104"/>
      <c r="B3272" s="104"/>
    </row>
    <row r="3273" spans="1:2" x14ac:dyDescent="0.25">
      <c r="A3273" s="104"/>
      <c r="B3273" s="104"/>
    </row>
    <row r="3274" spans="1:2" x14ac:dyDescent="0.25">
      <c r="A3274" s="104"/>
      <c r="B3274" s="104"/>
    </row>
    <row r="3275" spans="1:2" x14ac:dyDescent="0.25">
      <c r="A3275" s="104"/>
      <c r="B3275" s="104"/>
    </row>
    <row r="3276" spans="1:2" x14ac:dyDescent="0.25">
      <c r="A3276" s="104"/>
      <c r="B3276" s="104"/>
    </row>
    <row r="3277" spans="1:2" x14ac:dyDescent="0.25">
      <c r="A3277" s="104"/>
      <c r="B3277" s="104"/>
    </row>
    <row r="3278" spans="1:2" x14ac:dyDescent="0.25">
      <c r="A3278" s="104"/>
      <c r="B3278" s="104"/>
    </row>
    <row r="3279" spans="1:2" x14ac:dyDescent="0.25">
      <c r="A3279" s="104"/>
      <c r="B3279" s="104"/>
    </row>
    <row r="3280" spans="1:2" x14ac:dyDescent="0.25">
      <c r="A3280" s="104"/>
      <c r="B3280" s="104"/>
    </row>
    <row r="3281" spans="1:2" x14ac:dyDescent="0.25">
      <c r="A3281" s="104"/>
      <c r="B3281" s="104"/>
    </row>
    <row r="3282" spans="1:2" x14ac:dyDescent="0.25">
      <c r="A3282" s="104"/>
      <c r="B3282" s="104"/>
    </row>
    <row r="3283" spans="1:2" x14ac:dyDescent="0.25">
      <c r="A3283" s="104"/>
      <c r="B3283" s="104"/>
    </row>
    <row r="3284" spans="1:2" x14ac:dyDescent="0.25">
      <c r="A3284" s="104"/>
      <c r="B3284" s="104"/>
    </row>
    <row r="3285" spans="1:2" x14ac:dyDescent="0.25">
      <c r="A3285" s="104"/>
      <c r="B3285" s="104"/>
    </row>
    <row r="3286" spans="1:2" x14ac:dyDescent="0.25">
      <c r="A3286" s="104"/>
      <c r="B3286" s="104"/>
    </row>
    <row r="3287" spans="1:2" x14ac:dyDescent="0.25">
      <c r="A3287" s="104"/>
      <c r="B3287" s="104"/>
    </row>
    <row r="3288" spans="1:2" x14ac:dyDescent="0.25">
      <c r="A3288" s="104"/>
      <c r="B3288" s="104"/>
    </row>
    <row r="3289" spans="1:2" x14ac:dyDescent="0.25">
      <c r="A3289" s="104"/>
      <c r="B3289" s="104"/>
    </row>
    <row r="3290" spans="1:2" x14ac:dyDescent="0.25">
      <c r="A3290" s="104"/>
      <c r="B3290" s="104"/>
    </row>
    <row r="3291" spans="1:2" x14ac:dyDescent="0.25">
      <c r="A3291" s="104"/>
      <c r="B3291" s="104"/>
    </row>
    <row r="3292" spans="1:2" x14ac:dyDescent="0.25">
      <c r="A3292" s="104"/>
      <c r="B3292" s="104"/>
    </row>
    <row r="3293" spans="1:2" x14ac:dyDescent="0.25">
      <c r="A3293" s="104"/>
      <c r="B3293" s="104"/>
    </row>
    <row r="3294" spans="1:2" x14ac:dyDescent="0.25">
      <c r="A3294" s="104"/>
      <c r="B3294" s="104"/>
    </row>
    <row r="3295" spans="1:2" x14ac:dyDescent="0.25">
      <c r="A3295" s="104"/>
      <c r="B3295" s="104"/>
    </row>
    <row r="3296" spans="1:2" x14ac:dyDescent="0.25">
      <c r="A3296" s="104"/>
      <c r="B3296" s="104"/>
    </row>
    <row r="3297" spans="1:2" x14ac:dyDescent="0.25">
      <c r="A3297" s="104"/>
      <c r="B3297" s="104"/>
    </row>
    <row r="3298" spans="1:2" x14ac:dyDescent="0.25">
      <c r="A3298" s="104"/>
      <c r="B3298" s="104"/>
    </row>
    <row r="3299" spans="1:2" x14ac:dyDescent="0.25">
      <c r="A3299" s="104"/>
      <c r="B3299" s="104"/>
    </row>
    <row r="3300" spans="1:2" x14ac:dyDescent="0.25">
      <c r="A3300" s="104"/>
      <c r="B3300" s="104"/>
    </row>
    <row r="3301" spans="1:2" x14ac:dyDescent="0.25">
      <c r="A3301" s="104"/>
      <c r="B3301" s="104"/>
    </row>
    <row r="3302" spans="1:2" x14ac:dyDescent="0.25">
      <c r="A3302" s="104"/>
      <c r="B3302" s="104"/>
    </row>
    <row r="3303" spans="1:2" x14ac:dyDescent="0.25">
      <c r="A3303" s="104"/>
      <c r="B3303" s="104"/>
    </row>
    <row r="3304" spans="1:2" x14ac:dyDescent="0.25">
      <c r="A3304" s="104"/>
      <c r="B3304" s="104"/>
    </row>
    <row r="3305" spans="1:2" x14ac:dyDescent="0.25">
      <c r="A3305" s="104"/>
      <c r="B3305" s="104"/>
    </row>
    <row r="3306" spans="1:2" x14ac:dyDescent="0.25">
      <c r="A3306" s="104"/>
      <c r="B3306" s="104"/>
    </row>
    <row r="3307" spans="1:2" x14ac:dyDescent="0.25">
      <c r="A3307" s="104"/>
      <c r="B3307" s="104"/>
    </row>
    <row r="3308" spans="1:2" x14ac:dyDescent="0.25">
      <c r="A3308" s="104"/>
      <c r="B3308" s="104"/>
    </row>
    <row r="3309" spans="1:2" x14ac:dyDescent="0.25">
      <c r="A3309" s="104"/>
      <c r="B3309" s="104"/>
    </row>
    <row r="3310" spans="1:2" x14ac:dyDescent="0.25">
      <c r="A3310" s="104"/>
      <c r="B3310" s="104"/>
    </row>
    <row r="3311" spans="1:2" x14ac:dyDescent="0.25">
      <c r="A3311" s="104"/>
      <c r="B3311" s="104"/>
    </row>
    <row r="3312" spans="1:2" x14ac:dyDescent="0.25">
      <c r="A3312" s="104"/>
      <c r="B3312" s="104"/>
    </row>
    <row r="3313" spans="1:2" x14ac:dyDescent="0.25">
      <c r="A3313" s="104"/>
      <c r="B3313" s="104"/>
    </row>
    <row r="3314" spans="1:2" x14ac:dyDescent="0.25">
      <c r="A3314" s="104"/>
      <c r="B3314" s="104"/>
    </row>
    <row r="3315" spans="1:2" x14ac:dyDescent="0.25">
      <c r="A3315" s="104"/>
      <c r="B3315" s="104"/>
    </row>
    <row r="3316" spans="1:2" x14ac:dyDescent="0.25">
      <c r="A3316" s="104"/>
      <c r="B3316" s="104"/>
    </row>
    <row r="3317" spans="1:2" x14ac:dyDescent="0.25">
      <c r="A3317" s="104"/>
      <c r="B3317" s="104"/>
    </row>
    <row r="3318" spans="1:2" x14ac:dyDescent="0.25">
      <c r="A3318" s="104"/>
      <c r="B3318" s="104"/>
    </row>
    <row r="3319" spans="1:2" x14ac:dyDescent="0.25">
      <c r="A3319" s="104"/>
      <c r="B3319" s="104"/>
    </row>
    <row r="3320" spans="1:2" x14ac:dyDescent="0.25">
      <c r="A3320" s="104"/>
      <c r="B3320" s="104"/>
    </row>
    <row r="3321" spans="1:2" x14ac:dyDescent="0.25">
      <c r="A3321" s="104"/>
      <c r="B3321" s="104"/>
    </row>
    <row r="3322" spans="1:2" x14ac:dyDescent="0.25">
      <c r="A3322" s="104"/>
      <c r="B3322" s="104"/>
    </row>
    <row r="3323" spans="1:2" x14ac:dyDescent="0.25">
      <c r="A3323" s="104"/>
      <c r="B3323" s="104"/>
    </row>
    <row r="3324" spans="1:2" x14ac:dyDescent="0.25">
      <c r="A3324" s="104"/>
      <c r="B3324" s="104"/>
    </row>
    <row r="3325" spans="1:2" x14ac:dyDescent="0.25">
      <c r="A3325" s="104"/>
      <c r="B3325" s="104"/>
    </row>
    <row r="3326" spans="1:2" x14ac:dyDescent="0.25">
      <c r="A3326" s="104"/>
      <c r="B3326" s="104"/>
    </row>
    <row r="3327" spans="1:2" x14ac:dyDescent="0.25">
      <c r="A3327" s="104"/>
      <c r="B3327" s="104"/>
    </row>
    <row r="3328" spans="1:2" x14ac:dyDescent="0.25">
      <c r="A3328" s="104"/>
      <c r="B3328" s="104"/>
    </row>
    <row r="3329" spans="1:2" x14ac:dyDescent="0.25">
      <c r="A3329" s="104"/>
      <c r="B3329" s="104"/>
    </row>
    <row r="3330" spans="1:2" x14ac:dyDescent="0.25">
      <c r="A3330" s="104"/>
      <c r="B3330" s="104"/>
    </row>
    <row r="3331" spans="1:2" x14ac:dyDescent="0.25">
      <c r="A3331" s="104"/>
      <c r="B3331" s="104"/>
    </row>
    <row r="3332" spans="1:2" x14ac:dyDescent="0.25">
      <c r="A3332" s="104"/>
      <c r="B3332" s="104"/>
    </row>
    <row r="3333" spans="1:2" x14ac:dyDescent="0.25">
      <c r="A3333" s="104"/>
      <c r="B3333" s="104"/>
    </row>
    <row r="3334" spans="1:2" x14ac:dyDescent="0.25">
      <c r="A3334" s="104"/>
      <c r="B3334" s="104"/>
    </row>
    <row r="3335" spans="1:2" x14ac:dyDescent="0.25">
      <c r="A3335" s="104"/>
      <c r="B3335" s="104"/>
    </row>
    <row r="3336" spans="1:2" x14ac:dyDescent="0.25">
      <c r="A3336" s="104"/>
      <c r="B3336" s="104"/>
    </row>
    <row r="3337" spans="1:2" x14ac:dyDescent="0.25">
      <c r="A3337" s="104"/>
      <c r="B3337" s="104"/>
    </row>
    <row r="3338" spans="1:2" x14ac:dyDescent="0.25">
      <c r="A3338" s="104"/>
      <c r="B3338" s="104"/>
    </row>
    <row r="3339" spans="1:2" x14ac:dyDescent="0.25">
      <c r="A3339" s="104"/>
      <c r="B3339" s="104"/>
    </row>
    <row r="3340" spans="1:2" x14ac:dyDescent="0.25">
      <c r="A3340" s="104"/>
      <c r="B3340" s="104"/>
    </row>
    <row r="3341" spans="1:2" x14ac:dyDescent="0.25">
      <c r="A3341" s="104"/>
      <c r="B3341" s="104"/>
    </row>
    <row r="3342" spans="1:2" x14ac:dyDescent="0.25">
      <c r="A3342" s="104"/>
      <c r="B3342" s="104"/>
    </row>
    <row r="3343" spans="1:2" x14ac:dyDescent="0.25">
      <c r="A3343" s="104"/>
      <c r="B3343" s="104"/>
    </row>
    <row r="3344" spans="1:2" x14ac:dyDescent="0.25">
      <c r="A3344" s="104"/>
      <c r="B3344" s="104"/>
    </row>
    <row r="3345" spans="1:2" x14ac:dyDescent="0.25">
      <c r="A3345" s="104"/>
      <c r="B3345" s="104"/>
    </row>
    <row r="3346" spans="1:2" x14ac:dyDescent="0.25">
      <c r="A3346" s="104"/>
      <c r="B3346" s="104"/>
    </row>
    <row r="3347" spans="1:2" x14ac:dyDescent="0.25">
      <c r="A3347" s="104"/>
      <c r="B3347" s="104"/>
    </row>
    <row r="3348" spans="1:2" x14ac:dyDescent="0.25">
      <c r="A3348" s="104"/>
      <c r="B3348" s="104"/>
    </row>
    <row r="3349" spans="1:2" x14ac:dyDescent="0.25">
      <c r="A3349" s="104"/>
      <c r="B3349" s="104"/>
    </row>
    <row r="3350" spans="1:2" x14ac:dyDescent="0.25">
      <c r="A3350" s="104"/>
      <c r="B3350" s="104"/>
    </row>
    <row r="3351" spans="1:2" x14ac:dyDescent="0.25">
      <c r="A3351" s="104"/>
      <c r="B3351" s="104"/>
    </row>
    <row r="3352" spans="1:2" x14ac:dyDescent="0.25">
      <c r="A3352" s="104"/>
      <c r="B3352" s="104"/>
    </row>
    <row r="3353" spans="1:2" x14ac:dyDescent="0.25">
      <c r="A3353" s="104"/>
      <c r="B3353" s="104"/>
    </row>
    <row r="3354" spans="1:2" x14ac:dyDescent="0.25">
      <c r="A3354" s="104"/>
      <c r="B3354" s="104"/>
    </row>
    <row r="3355" spans="1:2" x14ac:dyDescent="0.25">
      <c r="A3355" s="104"/>
      <c r="B3355" s="104"/>
    </row>
    <row r="3356" spans="1:2" x14ac:dyDescent="0.25">
      <c r="A3356" s="104"/>
      <c r="B3356" s="104"/>
    </row>
    <row r="3357" spans="1:2" x14ac:dyDescent="0.25">
      <c r="A3357" s="104"/>
      <c r="B3357" s="104"/>
    </row>
    <row r="3358" spans="1:2" x14ac:dyDescent="0.25">
      <c r="A3358" s="104"/>
      <c r="B3358" s="104"/>
    </row>
    <row r="3359" spans="1:2" x14ac:dyDescent="0.25">
      <c r="A3359" s="104"/>
      <c r="B3359" s="104"/>
    </row>
    <row r="3360" spans="1:2" x14ac:dyDescent="0.25">
      <c r="A3360" s="104"/>
      <c r="B3360" s="104"/>
    </row>
    <row r="3361" spans="1:2" x14ac:dyDescent="0.25">
      <c r="A3361" s="104"/>
      <c r="B3361" s="104"/>
    </row>
    <row r="3362" spans="1:2" x14ac:dyDescent="0.25">
      <c r="A3362" s="104"/>
      <c r="B3362" s="104"/>
    </row>
    <row r="3363" spans="1:2" x14ac:dyDescent="0.25">
      <c r="A3363" s="104"/>
      <c r="B3363" s="104"/>
    </row>
    <row r="3364" spans="1:2" x14ac:dyDescent="0.25">
      <c r="A3364" s="104"/>
      <c r="B3364" s="104"/>
    </row>
    <row r="3365" spans="1:2" x14ac:dyDescent="0.25">
      <c r="A3365" s="104"/>
      <c r="B3365" s="104"/>
    </row>
    <row r="3366" spans="1:2" x14ac:dyDescent="0.25">
      <c r="A3366" s="104"/>
      <c r="B3366" s="104"/>
    </row>
    <row r="3367" spans="1:2" x14ac:dyDescent="0.25">
      <c r="A3367" s="104"/>
      <c r="B3367" s="104"/>
    </row>
    <row r="3368" spans="1:2" x14ac:dyDescent="0.25">
      <c r="A3368" s="104"/>
      <c r="B3368" s="104"/>
    </row>
    <row r="3369" spans="1:2" x14ac:dyDescent="0.25">
      <c r="A3369" s="104"/>
      <c r="B3369" s="104"/>
    </row>
    <row r="3370" spans="1:2" x14ac:dyDescent="0.25">
      <c r="A3370" s="104"/>
      <c r="B3370" s="104"/>
    </row>
    <row r="3371" spans="1:2" x14ac:dyDescent="0.25">
      <c r="A3371" s="104"/>
      <c r="B3371" s="104"/>
    </row>
    <row r="3372" spans="1:2" x14ac:dyDescent="0.25">
      <c r="A3372" s="104"/>
      <c r="B3372" s="104"/>
    </row>
    <row r="3373" spans="1:2" x14ac:dyDescent="0.25">
      <c r="A3373" s="104"/>
      <c r="B3373" s="104"/>
    </row>
    <row r="3374" spans="1:2" x14ac:dyDescent="0.25">
      <c r="A3374" s="104"/>
      <c r="B3374" s="104"/>
    </row>
    <row r="3375" spans="1:2" x14ac:dyDescent="0.25">
      <c r="A3375" s="104"/>
      <c r="B3375" s="104"/>
    </row>
    <row r="3376" spans="1:2" x14ac:dyDescent="0.25">
      <c r="A3376" s="104"/>
      <c r="B3376" s="104"/>
    </row>
    <row r="3377" spans="1:2" x14ac:dyDescent="0.25">
      <c r="A3377" s="104"/>
      <c r="B3377" s="104"/>
    </row>
    <row r="3378" spans="1:2" x14ac:dyDescent="0.25">
      <c r="A3378" s="104"/>
      <c r="B3378" s="104"/>
    </row>
    <row r="3379" spans="1:2" x14ac:dyDescent="0.25">
      <c r="A3379" s="104"/>
      <c r="B3379" s="104"/>
    </row>
    <row r="3380" spans="1:2" x14ac:dyDescent="0.25">
      <c r="A3380" s="104"/>
      <c r="B3380" s="104"/>
    </row>
    <row r="3381" spans="1:2" x14ac:dyDescent="0.25">
      <c r="A3381" s="104"/>
      <c r="B3381" s="104"/>
    </row>
    <row r="3382" spans="1:2" x14ac:dyDescent="0.25">
      <c r="A3382" s="104"/>
      <c r="B3382" s="104"/>
    </row>
    <row r="3383" spans="1:2" x14ac:dyDescent="0.25">
      <c r="A3383" s="104"/>
      <c r="B3383" s="104"/>
    </row>
    <row r="3384" spans="1:2" x14ac:dyDescent="0.25">
      <c r="A3384" s="104"/>
      <c r="B3384" s="104"/>
    </row>
    <row r="3385" spans="1:2" x14ac:dyDescent="0.25">
      <c r="A3385" s="104"/>
      <c r="B3385" s="104"/>
    </row>
    <row r="3386" spans="1:2" x14ac:dyDescent="0.25">
      <c r="A3386" s="104"/>
      <c r="B3386" s="104"/>
    </row>
    <row r="3387" spans="1:2" x14ac:dyDescent="0.25">
      <c r="A3387" s="104"/>
      <c r="B3387" s="104"/>
    </row>
    <row r="3388" spans="1:2" x14ac:dyDescent="0.25">
      <c r="A3388" s="104"/>
      <c r="B3388" s="104"/>
    </row>
    <row r="3389" spans="1:2" x14ac:dyDescent="0.25">
      <c r="A3389" s="104"/>
      <c r="B3389" s="104"/>
    </row>
    <row r="3390" spans="1:2" x14ac:dyDescent="0.25">
      <c r="A3390" s="104"/>
      <c r="B3390" s="104"/>
    </row>
    <row r="3391" spans="1:2" x14ac:dyDescent="0.25">
      <c r="A3391" s="104"/>
      <c r="B3391" s="104"/>
    </row>
    <row r="3392" spans="1:2" x14ac:dyDescent="0.25">
      <c r="A3392" s="104"/>
      <c r="B3392" s="104"/>
    </row>
    <row r="3393" spans="1:2" x14ac:dyDescent="0.25">
      <c r="A3393" s="104"/>
      <c r="B3393" s="104"/>
    </row>
    <row r="3394" spans="1:2" x14ac:dyDescent="0.25">
      <c r="A3394" s="104"/>
      <c r="B3394" s="104"/>
    </row>
    <row r="3395" spans="1:2" x14ac:dyDescent="0.25">
      <c r="A3395" s="104"/>
      <c r="B3395" s="104"/>
    </row>
    <row r="3396" spans="1:2" x14ac:dyDescent="0.25">
      <c r="A3396" s="104"/>
      <c r="B3396" s="104"/>
    </row>
    <row r="3397" spans="1:2" x14ac:dyDescent="0.25">
      <c r="A3397" s="104"/>
      <c r="B3397" s="104"/>
    </row>
    <row r="3398" spans="1:2" x14ac:dyDescent="0.25">
      <c r="A3398" s="104"/>
      <c r="B3398" s="104"/>
    </row>
    <row r="3399" spans="1:2" x14ac:dyDescent="0.25">
      <c r="A3399" s="104"/>
      <c r="B3399" s="104"/>
    </row>
    <row r="3400" spans="1:2" x14ac:dyDescent="0.25">
      <c r="A3400" s="104"/>
      <c r="B3400" s="104"/>
    </row>
    <row r="3401" spans="1:2" x14ac:dyDescent="0.25">
      <c r="A3401" s="104"/>
      <c r="B3401" s="104"/>
    </row>
    <row r="3402" spans="1:2" x14ac:dyDescent="0.25">
      <c r="A3402" s="104"/>
      <c r="B3402" s="104"/>
    </row>
    <row r="3403" spans="1:2" x14ac:dyDescent="0.25">
      <c r="A3403" s="104"/>
      <c r="B3403" s="104"/>
    </row>
    <row r="3404" spans="1:2" x14ac:dyDescent="0.25">
      <c r="A3404" s="104"/>
      <c r="B3404" s="104"/>
    </row>
    <row r="3405" spans="1:2" x14ac:dyDescent="0.25">
      <c r="A3405" s="104"/>
      <c r="B3405" s="104"/>
    </row>
    <row r="3406" spans="1:2" x14ac:dyDescent="0.25">
      <c r="A3406" s="104"/>
      <c r="B3406" s="104"/>
    </row>
    <row r="3407" spans="1:2" x14ac:dyDescent="0.25">
      <c r="A3407" s="104"/>
      <c r="B3407" s="104"/>
    </row>
    <row r="3408" spans="1:2" x14ac:dyDescent="0.25">
      <c r="A3408" s="104"/>
      <c r="B3408" s="104"/>
    </row>
    <row r="3409" spans="1:2" x14ac:dyDescent="0.25">
      <c r="A3409" s="104"/>
      <c r="B3409" s="104"/>
    </row>
    <row r="3410" spans="1:2" x14ac:dyDescent="0.25">
      <c r="A3410" s="104"/>
      <c r="B3410" s="104"/>
    </row>
    <row r="3411" spans="1:2" x14ac:dyDescent="0.25">
      <c r="A3411" s="104"/>
      <c r="B3411" s="104"/>
    </row>
    <row r="3412" spans="1:2" x14ac:dyDescent="0.25">
      <c r="A3412" s="104"/>
      <c r="B3412" s="104"/>
    </row>
    <row r="3413" spans="1:2" x14ac:dyDescent="0.25">
      <c r="A3413" s="104"/>
      <c r="B3413" s="104"/>
    </row>
    <row r="3414" spans="1:2" x14ac:dyDescent="0.25">
      <c r="A3414" s="104"/>
      <c r="B3414" s="104"/>
    </row>
    <row r="3415" spans="1:2" x14ac:dyDescent="0.25">
      <c r="A3415" s="104"/>
      <c r="B3415" s="104"/>
    </row>
    <row r="3416" spans="1:2" x14ac:dyDescent="0.25">
      <c r="A3416" s="104"/>
      <c r="B3416" s="104"/>
    </row>
    <row r="3417" spans="1:2" x14ac:dyDescent="0.25">
      <c r="A3417" s="104"/>
      <c r="B3417" s="104"/>
    </row>
    <row r="3418" spans="1:2" x14ac:dyDescent="0.25">
      <c r="A3418" s="104"/>
      <c r="B3418" s="104"/>
    </row>
    <row r="3419" spans="1:2" x14ac:dyDescent="0.25">
      <c r="A3419" s="104"/>
      <c r="B3419" s="104"/>
    </row>
    <row r="3420" spans="1:2" x14ac:dyDescent="0.25">
      <c r="A3420" s="104"/>
      <c r="B3420" s="104"/>
    </row>
    <row r="3421" spans="1:2" x14ac:dyDescent="0.25">
      <c r="A3421" s="104"/>
      <c r="B3421" s="104"/>
    </row>
    <row r="3422" spans="1:2" x14ac:dyDescent="0.25">
      <c r="A3422" s="104"/>
      <c r="B3422" s="104"/>
    </row>
    <row r="3423" spans="1:2" x14ac:dyDescent="0.25">
      <c r="A3423" s="104"/>
      <c r="B3423" s="104"/>
    </row>
    <row r="3424" spans="1:2" x14ac:dyDescent="0.25">
      <c r="A3424" s="104"/>
      <c r="B3424" s="104"/>
    </row>
    <row r="3425" spans="1:2" x14ac:dyDescent="0.25">
      <c r="A3425" s="104"/>
      <c r="B3425" s="104"/>
    </row>
    <row r="3426" spans="1:2" x14ac:dyDescent="0.25">
      <c r="A3426" s="104"/>
      <c r="B3426" s="104"/>
    </row>
    <row r="3427" spans="1:2" x14ac:dyDescent="0.25">
      <c r="A3427" s="104"/>
      <c r="B3427" s="104"/>
    </row>
    <row r="3428" spans="1:2" x14ac:dyDescent="0.25">
      <c r="A3428" s="104"/>
      <c r="B3428" s="104"/>
    </row>
    <row r="3429" spans="1:2" x14ac:dyDescent="0.25">
      <c r="A3429" s="104"/>
      <c r="B3429" s="104"/>
    </row>
    <row r="3430" spans="1:2" x14ac:dyDescent="0.25">
      <c r="A3430" s="104"/>
      <c r="B3430" s="104"/>
    </row>
    <row r="3431" spans="1:2" x14ac:dyDescent="0.25">
      <c r="A3431" s="104"/>
      <c r="B3431" s="104"/>
    </row>
    <row r="3432" spans="1:2" x14ac:dyDescent="0.25">
      <c r="A3432" s="104"/>
      <c r="B3432" s="104"/>
    </row>
    <row r="3433" spans="1:2" x14ac:dyDescent="0.25">
      <c r="A3433" s="104"/>
      <c r="B3433" s="104"/>
    </row>
    <row r="3434" spans="1:2" x14ac:dyDescent="0.25">
      <c r="A3434" s="104"/>
      <c r="B3434" s="104"/>
    </row>
    <row r="3435" spans="1:2" x14ac:dyDescent="0.25">
      <c r="A3435" s="104"/>
      <c r="B3435" s="104"/>
    </row>
    <row r="3436" spans="1:2" x14ac:dyDescent="0.25">
      <c r="A3436" s="104"/>
      <c r="B3436" s="104"/>
    </row>
    <row r="3437" spans="1:2" x14ac:dyDescent="0.25">
      <c r="A3437" s="104"/>
      <c r="B3437" s="104"/>
    </row>
    <row r="3438" spans="1:2" x14ac:dyDescent="0.25">
      <c r="A3438" s="104"/>
      <c r="B3438" s="104"/>
    </row>
    <row r="3439" spans="1:2" x14ac:dyDescent="0.25">
      <c r="A3439" s="104"/>
      <c r="B3439" s="104"/>
    </row>
    <row r="3440" spans="1:2" x14ac:dyDescent="0.25">
      <c r="A3440" s="104"/>
      <c r="B3440" s="104"/>
    </row>
    <row r="3441" spans="1:2" x14ac:dyDescent="0.25">
      <c r="A3441" s="104"/>
      <c r="B3441" s="104"/>
    </row>
    <row r="3442" spans="1:2" x14ac:dyDescent="0.25">
      <c r="A3442" s="104"/>
      <c r="B3442" s="104"/>
    </row>
    <row r="3443" spans="1:2" x14ac:dyDescent="0.25">
      <c r="A3443" s="104"/>
      <c r="B3443" s="104"/>
    </row>
    <row r="3444" spans="1:2" x14ac:dyDescent="0.25">
      <c r="A3444" s="104"/>
      <c r="B3444" s="104"/>
    </row>
    <row r="3445" spans="1:2" x14ac:dyDescent="0.25">
      <c r="A3445" s="104"/>
      <c r="B3445" s="104"/>
    </row>
    <row r="3446" spans="1:2" x14ac:dyDescent="0.25">
      <c r="A3446" s="104"/>
      <c r="B3446" s="104"/>
    </row>
    <row r="3447" spans="1:2" x14ac:dyDescent="0.25">
      <c r="A3447" s="104"/>
      <c r="B3447" s="104"/>
    </row>
    <row r="3448" spans="1:2" x14ac:dyDescent="0.25">
      <c r="A3448" s="104"/>
      <c r="B3448" s="104"/>
    </row>
    <row r="3449" spans="1:2" x14ac:dyDescent="0.25">
      <c r="A3449" s="104"/>
      <c r="B3449" s="104"/>
    </row>
    <row r="3450" spans="1:2" x14ac:dyDescent="0.25">
      <c r="A3450" s="104"/>
      <c r="B3450" s="104"/>
    </row>
    <row r="3451" spans="1:2" x14ac:dyDescent="0.25">
      <c r="A3451" s="104"/>
      <c r="B3451" s="104"/>
    </row>
    <row r="3452" spans="1:2" x14ac:dyDescent="0.25">
      <c r="A3452" s="104"/>
      <c r="B3452" s="104"/>
    </row>
    <row r="3453" spans="1:2" x14ac:dyDescent="0.25">
      <c r="A3453" s="104"/>
      <c r="B3453" s="104"/>
    </row>
    <row r="3454" spans="1:2" x14ac:dyDescent="0.25">
      <c r="A3454" s="104"/>
      <c r="B3454" s="104"/>
    </row>
    <row r="3455" spans="1:2" x14ac:dyDescent="0.25">
      <c r="A3455" s="104"/>
      <c r="B3455" s="104"/>
    </row>
    <row r="3456" spans="1:2" x14ac:dyDescent="0.25">
      <c r="A3456" s="104"/>
      <c r="B3456" s="104"/>
    </row>
    <row r="3457" spans="1:2" x14ac:dyDescent="0.25">
      <c r="A3457" s="104"/>
      <c r="B3457" s="104"/>
    </row>
    <row r="3458" spans="1:2" x14ac:dyDescent="0.25">
      <c r="A3458" s="104"/>
      <c r="B3458" s="104"/>
    </row>
    <row r="3459" spans="1:2" x14ac:dyDescent="0.25">
      <c r="A3459" s="104"/>
      <c r="B3459" s="104"/>
    </row>
    <row r="3460" spans="1:2" x14ac:dyDescent="0.25">
      <c r="A3460" s="104"/>
      <c r="B3460" s="104"/>
    </row>
    <row r="3461" spans="1:2" x14ac:dyDescent="0.25">
      <c r="A3461" s="104"/>
      <c r="B3461" s="104"/>
    </row>
    <row r="3462" spans="1:2" x14ac:dyDescent="0.25">
      <c r="A3462" s="104"/>
      <c r="B3462" s="104"/>
    </row>
    <row r="3463" spans="1:2" x14ac:dyDescent="0.25">
      <c r="A3463" s="104"/>
      <c r="B3463" s="104"/>
    </row>
    <row r="3464" spans="1:2" x14ac:dyDescent="0.25">
      <c r="A3464" s="104"/>
      <c r="B3464" s="104"/>
    </row>
    <row r="3465" spans="1:2" x14ac:dyDescent="0.25">
      <c r="A3465" s="104"/>
      <c r="B3465" s="104"/>
    </row>
    <row r="3466" spans="1:2" x14ac:dyDescent="0.25">
      <c r="A3466" s="104"/>
      <c r="B3466" s="104"/>
    </row>
    <row r="3467" spans="1:2" x14ac:dyDescent="0.25">
      <c r="A3467" s="104"/>
      <c r="B3467" s="104"/>
    </row>
    <row r="3468" spans="1:2" x14ac:dyDescent="0.25">
      <c r="A3468" s="104"/>
      <c r="B3468" s="104"/>
    </row>
    <row r="3469" spans="1:2" x14ac:dyDescent="0.25">
      <c r="A3469" s="104"/>
      <c r="B3469" s="104"/>
    </row>
    <row r="3470" spans="1:2" x14ac:dyDescent="0.25">
      <c r="A3470" s="104"/>
      <c r="B3470" s="104"/>
    </row>
    <row r="3471" spans="1:2" x14ac:dyDescent="0.25">
      <c r="A3471" s="104"/>
      <c r="B3471" s="104"/>
    </row>
    <row r="3472" spans="1:2" x14ac:dyDescent="0.25">
      <c r="A3472" s="104"/>
      <c r="B3472" s="104"/>
    </row>
    <row r="3473" spans="1:2" x14ac:dyDescent="0.25">
      <c r="A3473" s="104"/>
      <c r="B3473" s="104"/>
    </row>
    <row r="3474" spans="1:2" x14ac:dyDescent="0.25">
      <c r="A3474" s="104"/>
      <c r="B3474" s="104"/>
    </row>
    <row r="3475" spans="1:2" x14ac:dyDescent="0.25">
      <c r="A3475" s="104"/>
      <c r="B3475" s="104"/>
    </row>
    <row r="3476" spans="1:2" x14ac:dyDescent="0.25">
      <c r="A3476" s="104"/>
      <c r="B3476" s="104"/>
    </row>
    <row r="3477" spans="1:2" x14ac:dyDescent="0.25">
      <c r="A3477" s="104"/>
      <c r="B3477" s="104"/>
    </row>
    <row r="3478" spans="1:2" x14ac:dyDescent="0.25">
      <c r="A3478" s="104"/>
      <c r="B3478" s="104"/>
    </row>
    <row r="3479" spans="1:2" x14ac:dyDescent="0.25">
      <c r="A3479" s="104"/>
      <c r="B3479" s="104"/>
    </row>
    <row r="3480" spans="1:2" x14ac:dyDescent="0.25">
      <c r="A3480" s="104"/>
      <c r="B3480" s="104"/>
    </row>
    <row r="3481" spans="1:2" x14ac:dyDescent="0.25">
      <c r="A3481" s="104"/>
      <c r="B3481" s="104"/>
    </row>
    <row r="3482" spans="1:2" x14ac:dyDescent="0.25">
      <c r="A3482" s="104"/>
      <c r="B3482" s="104"/>
    </row>
    <row r="3483" spans="1:2" x14ac:dyDescent="0.25">
      <c r="A3483" s="104"/>
      <c r="B3483" s="104"/>
    </row>
    <row r="3484" spans="1:2" x14ac:dyDescent="0.25">
      <c r="A3484" s="104"/>
      <c r="B3484" s="104"/>
    </row>
    <row r="3485" spans="1:2" x14ac:dyDescent="0.25">
      <c r="A3485" s="104"/>
      <c r="B3485" s="104"/>
    </row>
    <row r="3486" spans="1:2" x14ac:dyDescent="0.25">
      <c r="A3486" s="104"/>
      <c r="B3486" s="104"/>
    </row>
    <row r="3487" spans="1:2" x14ac:dyDescent="0.25">
      <c r="A3487" s="104"/>
      <c r="B3487" s="104"/>
    </row>
    <row r="3488" spans="1:2" x14ac:dyDescent="0.25">
      <c r="A3488" s="104"/>
      <c r="B3488" s="104"/>
    </row>
    <row r="3489" spans="1:2" x14ac:dyDescent="0.25">
      <c r="A3489" s="104"/>
      <c r="B3489" s="104"/>
    </row>
    <row r="3490" spans="1:2" x14ac:dyDescent="0.25">
      <c r="A3490" s="104"/>
      <c r="B3490" s="104"/>
    </row>
    <row r="3491" spans="1:2" x14ac:dyDescent="0.25">
      <c r="A3491" s="104"/>
      <c r="B3491" s="104"/>
    </row>
    <row r="3492" spans="1:2" x14ac:dyDescent="0.25">
      <c r="A3492" s="104"/>
      <c r="B3492" s="104"/>
    </row>
    <row r="3493" spans="1:2" x14ac:dyDescent="0.25">
      <c r="A3493" s="104"/>
      <c r="B3493" s="104"/>
    </row>
    <row r="3494" spans="1:2" x14ac:dyDescent="0.25">
      <c r="A3494" s="104"/>
      <c r="B3494" s="104"/>
    </row>
    <row r="3495" spans="1:2" x14ac:dyDescent="0.25">
      <c r="A3495" s="104"/>
      <c r="B3495" s="104"/>
    </row>
    <row r="3496" spans="1:2" x14ac:dyDescent="0.25">
      <c r="A3496" s="104"/>
      <c r="B3496" s="104"/>
    </row>
    <row r="3497" spans="1:2" x14ac:dyDescent="0.25">
      <c r="A3497" s="104"/>
      <c r="B3497" s="104"/>
    </row>
    <row r="3498" spans="1:2" x14ac:dyDescent="0.25">
      <c r="A3498" s="104"/>
      <c r="B3498" s="104"/>
    </row>
    <row r="3499" spans="1:2" x14ac:dyDescent="0.25">
      <c r="A3499" s="104"/>
      <c r="B3499" s="104"/>
    </row>
    <row r="3500" spans="1:2" x14ac:dyDescent="0.25">
      <c r="A3500" s="104"/>
      <c r="B3500" s="104"/>
    </row>
    <row r="3501" spans="1:2" x14ac:dyDescent="0.25">
      <c r="A3501" s="104"/>
      <c r="B3501" s="104"/>
    </row>
    <row r="3502" spans="1:2" x14ac:dyDescent="0.25">
      <c r="A3502" s="104"/>
      <c r="B3502" s="104"/>
    </row>
    <row r="3503" spans="1:2" x14ac:dyDescent="0.25">
      <c r="A3503" s="104"/>
      <c r="B3503" s="104"/>
    </row>
    <row r="3504" spans="1:2" x14ac:dyDescent="0.25">
      <c r="A3504" s="104"/>
      <c r="B3504" s="104"/>
    </row>
    <row r="3505" spans="1:2" x14ac:dyDescent="0.25">
      <c r="A3505" s="104"/>
      <c r="B3505" s="104"/>
    </row>
    <row r="3506" spans="1:2" x14ac:dyDescent="0.25">
      <c r="A3506" s="104"/>
      <c r="B3506" s="104"/>
    </row>
    <row r="3507" spans="1:2" x14ac:dyDescent="0.25">
      <c r="A3507" s="104"/>
      <c r="B3507" s="104"/>
    </row>
    <row r="3508" spans="1:2" x14ac:dyDescent="0.25">
      <c r="A3508" s="104"/>
      <c r="B3508" s="104"/>
    </row>
    <row r="3509" spans="1:2" x14ac:dyDescent="0.25">
      <c r="A3509" s="104"/>
      <c r="B3509" s="104"/>
    </row>
    <row r="3510" spans="1:2" x14ac:dyDescent="0.25">
      <c r="A3510" s="104"/>
      <c r="B3510" s="104"/>
    </row>
    <row r="3511" spans="1:2" x14ac:dyDescent="0.25">
      <c r="A3511" s="104"/>
      <c r="B3511" s="104"/>
    </row>
    <row r="3512" spans="1:2" x14ac:dyDescent="0.25">
      <c r="A3512" s="104"/>
      <c r="B3512" s="104"/>
    </row>
    <row r="3513" spans="1:2" x14ac:dyDescent="0.25">
      <c r="A3513" s="104"/>
      <c r="B3513" s="104"/>
    </row>
    <row r="3514" spans="1:2" x14ac:dyDescent="0.25">
      <c r="A3514" s="104"/>
      <c r="B3514" s="104"/>
    </row>
    <row r="3515" spans="1:2" x14ac:dyDescent="0.25">
      <c r="A3515" s="104"/>
      <c r="B3515" s="104"/>
    </row>
    <row r="3516" spans="1:2" x14ac:dyDescent="0.25">
      <c r="A3516" s="104"/>
      <c r="B3516" s="104"/>
    </row>
    <row r="3517" spans="1:2" x14ac:dyDescent="0.25">
      <c r="A3517" s="104"/>
      <c r="B3517" s="104"/>
    </row>
    <row r="3518" spans="1:2" x14ac:dyDescent="0.25">
      <c r="A3518" s="104"/>
      <c r="B3518" s="104"/>
    </row>
    <row r="3519" spans="1:2" x14ac:dyDescent="0.25">
      <c r="A3519" s="104"/>
      <c r="B3519" s="104"/>
    </row>
    <row r="3520" spans="1:2" x14ac:dyDescent="0.25">
      <c r="A3520" s="104"/>
      <c r="B3520" s="104"/>
    </row>
    <row r="3521" spans="1:2" x14ac:dyDescent="0.25">
      <c r="A3521" s="104"/>
      <c r="B3521" s="104"/>
    </row>
    <row r="3522" spans="1:2" x14ac:dyDescent="0.25">
      <c r="A3522" s="104"/>
      <c r="B3522" s="104"/>
    </row>
    <row r="3523" spans="1:2" x14ac:dyDescent="0.25">
      <c r="A3523" s="104"/>
      <c r="B3523" s="104"/>
    </row>
    <row r="3524" spans="1:2" x14ac:dyDescent="0.25">
      <c r="A3524" s="104"/>
      <c r="B3524" s="104"/>
    </row>
    <row r="3525" spans="1:2" x14ac:dyDescent="0.25">
      <c r="A3525" s="104"/>
      <c r="B3525" s="104"/>
    </row>
    <row r="3526" spans="1:2" x14ac:dyDescent="0.25">
      <c r="A3526" s="104"/>
      <c r="B3526" s="104"/>
    </row>
    <row r="3527" spans="1:2" x14ac:dyDescent="0.25">
      <c r="A3527" s="104"/>
      <c r="B3527" s="104"/>
    </row>
    <row r="3528" spans="1:2" x14ac:dyDescent="0.25">
      <c r="A3528" s="104"/>
      <c r="B3528" s="104"/>
    </row>
    <row r="3529" spans="1:2" x14ac:dyDescent="0.25">
      <c r="A3529" s="104"/>
      <c r="B3529" s="104"/>
    </row>
    <row r="3530" spans="1:2" x14ac:dyDescent="0.25">
      <c r="A3530" s="104"/>
      <c r="B3530" s="104"/>
    </row>
    <row r="3531" spans="1:2" x14ac:dyDescent="0.25">
      <c r="A3531" s="104"/>
      <c r="B3531" s="104"/>
    </row>
    <row r="3532" spans="1:2" x14ac:dyDescent="0.25">
      <c r="A3532" s="104"/>
      <c r="B3532" s="104"/>
    </row>
    <row r="3533" spans="1:2" x14ac:dyDescent="0.25">
      <c r="A3533" s="104"/>
      <c r="B3533" s="104"/>
    </row>
    <row r="3534" spans="1:2" x14ac:dyDescent="0.25">
      <c r="A3534" s="104"/>
      <c r="B3534" s="104"/>
    </row>
    <row r="3535" spans="1:2" x14ac:dyDescent="0.25">
      <c r="A3535" s="104"/>
      <c r="B3535" s="104"/>
    </row>
    <row r="3536" spans="1:2" x14ac:dyDescent="0.25">
      <c r="A3536" s="104"/>
      <c r="B3536" s="104"/>
    </row>
    <row r="3537" spans="1:2" x14ac:dyDescent="0.25">
      <c r="A3537" s="104"/>
      <c r="B3537" s="104"/>
    </row>
    <row r="3538" spans="1:2" x14ac:dyDescent="0.25">
      <c r="A3538" s="104"/>
      <c r="B3538" s="104"/>
    </row>
    <row r="3539" spans="1:2" x14ac:dyDescent="0.25">
      <c r="A3539" s="104"/>
      <c r="B3539" s="104"/>
    </row>
    <row r="3540" spans="1:2" x14ac:dyDescent="0.25">
      <c r="A3540" s="104"/>
      <c r="B3540" s="104"/>
    </row>
    <row r="3541" spans="1:2" x14ac:dyDescent="0.25">
      <c r="A3541" s="104"/>
      <c r="B3541" s="104"/>
    </row>
    <row r="3542" spans="1:2" x14ac:dyDescent="0.25">
      <c r="A3542" s="104"/>
      <c r="B3542" s="104"/>
    </row>
    <row r="3543" spans="1:2" x14ac:dyDescent="0.25">
      <c r="A3543" s="104"/>
      <c r="B3543" s="104"/>
    </row>
    <row r="3544" spans="1:2" x14ac:dyDescent="0.25">
      <c r="A3544" s="104"/>
      <c r="B3544" s="104"/>
    </row>
    <row r="3545" spans="1:2" x14ac:dyDescent="0.25">
      <c r="A3545" s="104"/>
      <c r="B3545" s="104"/>
    </row>
    <row r="3546" spans="1:2" x14ac:dyDescent="0.25">
      <c r="A3546" s="104"/>
      <c r="B3546" s="104"/>
    </row>
    <row r="3547" spans="1:2" x14ac:dyDescent="0.25">
      <c r="A3547" s="104"/>
      <c r="B3547" s="104"/>
    </row>
    <row r="3548" spans="1:2" x14ac:dyDescent="0.25">
      <c r="A3548" s="104"/>
      <c r="B3548" s="104"/>
    </row>
    <row r="3549" spans="1:2" x14ac:dyDescent="0.25">
      <c r="A3549" s="104"/>
      <c r="B3549" s="104"/>
    </row>
    <row r="3550" spans="1:2" x14ac:dyDescent="0.25">
      <c r="A3550" s="104"/>
      <c r="B3550" s="104"/>
    </row>
    <row r="3551" spans="1:2" x14ac:dyDescent="0.25">
      <c r="A3551" s="104"/>
      <c r="B3551" s="104"/>
    </row>
    <row r="3552" spans="1:2" x14ac:dyDescent="0.25">
      <c r="A3552" s="104"/>
      <c r="B3552" s="104"/>
    </row>
    <row r="3553" spans="1:2" x14ac:dyDescent="0.25">
      <c r="A3553" s="104"/>
      <c r="B3553" s="104"/>
    </row>
    <row r="3554" spans="1:2" x14ac:dyDescent="0.25">
      <c r="A3554" s="104"/>
      <c r="B3554" s="104"/>
    </row>
    <row r="3555" spans="1:2" x14ac:dyDescent="0.25">
      <c r="A3555" s="104"/>
      <c r="B3555" s="104"/>
    </row>
    <row r="3556" spans="1:2" x14ac:dyDescent="0.25">
      <c r="A3556" s="104"/>
      <c r="B3556" s="104"/>
    </row>
    <row r="3557" spans="1:2" x14ac:dyDescent="0.25">
      <c r="A3557" s="104"/>
      <c r="B3557" s="104"/>
    </row>
    <row r="3558" spans="1:2" x14ac:dyDescent="0.25">
      <c r="A3558" s="104"/>
      <c r="B3558" s="104"/>
    </row>
    <row r="3559" spans="1:2" x14ac:dyDescent="0.25">
      <c r="A3559" s="104"/>
      <c r="B3559" s="104"/>
    </row>
    <row r="3560" spans="1:2" x14ac:dyDescent="0.25">
      <c r="A3560" s="104"/>
      <c r="B3560" s="104"/>
    </row>
    <row r="3561" spans="1:2" x14ac:dyDescent="0.25">
      <c r="A3561" s="104"/>
      <c r="B3561" s="104"/>
    </row>
    <row r="3562" spans="1:2" x14ac:dyDescent="0.25">
      <c r="A3562" s="104"/>
      <c r="B3562" s="104"/>
    </row>
    <row r="3563" spans="1:2" x14ac:dyDescent="0.25">
      <c r="A3563" s="104"/>
      <c r="B3563" s="104"/>
    </row>
    <row r="3564" spans="1:2" x14ac:dyDescent="0.25">
      <c r="A3564" s="104"/>
      <c r="B3564" s="104"/>
    </row>
    <row r="3565" spans="1:2" x14ac:dyDescent="0.25">
      <c r="A3565" s="104"/>
      <c r="B3565" s="104"/>
    </row>
    <row r="3566" spans="1:2" x14ac:dyDescent="0.25">
      <c r="A3566" s="104"/>
      <c r="B3566" s="104"/>
    </row>
    <row r="3567" spans="1:2" x14ac:dyDescent="0.25">
      <c r="A3567" s="104"/>
      <c r="B3567" s="104"/>
    </row>
    <row r="3568" spans="1:2" x14ac:dyDescent="0.25">
      <c r="A3568" s="104"/>
      <c r="B3568" s="104"/>
    </row>
    <row r="3569" spans="1:2" x14ac:dyDescent="0.25">
      <c r="A3569" s="104"/>
      <c r="B3569" s="104"/>
    </row>
    <row r="3570" spans="1:2" x14ac:dyDescent="0.25">
      <c r="A3570" s="104"/>
      <c r="B3570" s="104"/>
    </row>
    <row r="3571" spans="1:2" x14ac:dyDescent="0.25">
      <c r="A3571" s="104"/>
      <c r="B3571" s="104"/>
    </row>
    <row r="3572" spans="1:2" x14ac:dyDescent="0.25">
      <c r="A3572" s="104"/>
      <c r="B3572" s="104"/>
    </row>
    <row r="3573" spans="1:2" x14ac:dyDescent="0.25">
      <c r="A3573" s="104"/>
      <c r="B3573" s="104"/>
    </row>
    <row r="3574" spans="1:2" x14ac:dyDescent="0.25">
      <c r="A3574" s="104"/>
      <c r="B3574" s="104"/>
    </row>
    <row r="3575" spans="1:2" x14ac:dyDescent="0.25">
      <c r="A3575" s="104"/>
      <c r="B3575" s="104"/>
    </row>
    <row r="3576" spans="1:2" x14ac:dyDescent="0.25">
      <c r="A3576" s="104"/>
      <c r="B3576" s="104"/>
    </row>
    <row r="3577" spans="1:2" x14ac:dyDescent="0.25">
      <c r="A3577" s="104"/>
      <c r="B3577" s="104"/>
    </row>
    <row r="3578" spans="1:2" x14ac:dyDescent="0.25">
      <c r="A3578" s="104"/>
      <c r="B3578" s="104"/>
    </row>
    <row r="3579" spans="1:2" x14ac:dyDescent="0.25">
      <c r="A3579" s="104"/>
      <c r="B3579" s="104"/>
    </row>
    <row r="3580" spans="1:2" x14ac:dyDescent="0.25">
      <c r="A3580" s="104"/>
      <c r="B3580" s="104"/>
    </row>
    <row r="3581" spans="1:2" x14ac:dyDescent="0.25">
      <c r="A3581" s="104"/>
      <c r="B3581" s="104"/>
    </row>
    <row r="3582" spans="1:2" x14ac:dyDescent="0.25">
      <c r="A3582" s="104"/>
      <c r="B3582" s="104"/>
    </row>
    <row r="3583" spans="1:2" x14ac:dyDescent="0.25">
      <c r="A3583" s="104"/>
      <c r="B3583" s="104"/>
    </row>
    <row r="3584" spans="1:2" x14ac:dyDescent="0.25">
      <c r="A3584" s="104"/>
      <c r="B3584" s="104"/>
    </row>
    <row r="3585" spans="1:2" x14ac:dyDescent="0.25">
      <c r="A3585" s="104"/>
      <c r="B3585" s="104"/>
    </row>
    <row r="3586" spans="1:2" x14ac:dyDescent="0.25">
      <c r="A3586" s="104"/>
      <c r="B3586" s="104"/>
    </row>
    <row r="3587" spans="1:2" x14ac:dyDescent="0.25">
      <c r="A3587" s="104"/>
      <c r="B3587" s="104"/>
    </row>
    <row r="3588" spans="1:2" x14ac:dyDescent="0.25">
      <c r="A3588" s="104"/>
      <c r="B3588" s="104"/>
    </row>
    <row r="3589" spans="1:2" x14ac:dyDescent="0.25">
      <c r="A3589" s="104"/>
      <c r="B3589" s="104"/>
    </row>
    <row r="3590" spans="1:2" x14ac:dyDescent="0.25">
      <c r="A3590" s="104"/>
      <c r="B3590" s="104"/>
    </row>
    <row r="3591" spans="1:2" x14ac:dyDescent="0.25">
      <c r="A3591" s="104"/>
      <c r="B3591" s="104"/>
    </row>
    <row r="3592" spans="1:2" x14ac:dyDescent="0.25">
      <c r="A3592" s="104"/>
      <c r="B3592" s="104"/>
    </row>
    <row r="3593" spans="1:2" x14ac:dyDescent="0.25">
      <c r="A3593" s="104"/>
      <c r="B3593" s="104"/>
    </row>
    <row r="3594" spans="1:2" x14ac:dyDescent="0.25">
      <c r="A3594" s="104"/>
      <c r="B3594" s="104"/>
    </row>
    <row r="3595" spans="1:2" x14ac:dyDescent="0.25">
      <c r="A3595" s="104"/>
      <c r="B3595" s="104"/>
    </row>
    <row r="3596" spans="1:2" x14ac:dyDescent="0.25">
      <c r="A3596" s="104"/>
      <c r="B3596" s="104"/>
    </row>
    <row r="3597" spans="1:2" x14ac:dyDescent="0.25">
      <c r="A3597" s="104"/>
      <c r="B3597" s="104"/>
    </row>
    <row r="3598" spans="1:2" x14ac:dyDescent="0.25">
      <c r="A3598" s="104"/>
      <c r="B3598" s="104"/>
    </row>
    <row r="3599" spans="1:2" x14ac:dyDescent="0.25">
      <c r="A3599" s="104"/>
      <c r="B3599" s="104"/>
    </row>
    <row r="3600" spans="1:2" x14ac:dyDescent="0.25">
      <c r="A3600" s="104"/>
      <c r="B3600" s="104"/>
    </row>
    <row r="3601" spans="1:2" x14ac:dyDescent="0.25">
      <c r="A3601" s="104"/>
      <c r="B3601" s="104"/>
    </row>
    <row r="3602" spans="1:2" x14ac:dyDescent="0.25">
      <c r="A3602" s="104"/>
      <c r="B3602" s="104"/>
    </row>
    <row r="3603" spans="1:2" x14ac:dyDescent="0.25">
      <c r="A3603" s="104"/>
      <c r="B3603" s="104"/>
    </row>
    <row r="3604" spans="1:2" x14ac:dyDescent="0.25">
      <c r="A3604" s="104"/>
      <c r="B3604" s="104"/>
    </row>
    <row r="3605" spans="1:2" x14ac:dyDescent="0.25">
      <c r="A3605" s="104"/>
      <c r="B3605" s="104"/>
    </row>
    <row r="3606" spans="1:2" x14ac:dyDescent="0.25">
      <c r="A3606" s="104"/>
      <c r="B3606" s="104"/>
    </row>
    <row r="3607" spans="1:2" x14ac:dyDescent="0.25">
      <c r="A3607" s="104"/>
      <c r="B3607" s="104"/>
    </row>
    <row r="3608" spans="1:2" x14ac:dyDescent="0.25">
      <c r="A3608" s="104"/>
      <c r="B3608" s="104"/>
    </row>
    <row r="3609" spans="1:2" x14ac:dyDescent="0.25">
      <c r="A3609" s="104"/>
      <c r="B3609" s="104"/>
    </row>
    <row r="3610" spans="1:2" x14ac:dyDescent="0.25">
      <c r="A3610" s="104"/>
      <c r="B3610" s="104"/>
    </row>
    <row r="3611" spans="1:2" x14ac:dyDescent="0.25">
      <c r="A3611" s="104"/>
      <c r="B3611" s="104"/>
    </row>
    <row r="3612" spans="1:2" x14ac:dyDescent="0.25">
      <c r="A3612" s="104"/>
      <c r="B3612" s="104"/>
    </row>
    <row r="3613" spans="1:2" x14ac:dyDescent="0.25">
      <c r="A3613" s="104"/>
      <c r="B3613" s="104"/>
    </row>
    <row r="3614" spans="1:2" x14ac:dyDescent="0.25">
      <c r="A3614" s="104"/>
      <c r="B3614" s="104"/>
    </row>
    <row r="3615" spans="1:2" x14ac:dyDescent="0.25">
      <c r="A3615" s="104"/>
      <c r="B3615" s="104"/>
    </row>
    <row r="3616" spans="1:2" x14ac:dyDescent="0.25">
      <c r="A3616" s="104"/>
      <c r="B3616" s="104"/>
    </row>
    <row r="3617" spans="1:2" x14ac:dyDescent="0.25">
      <c r="A3617" s="104"/>
      <c r="B3617" s="104"/>
    </row>
    <row r="3618" spans="1:2" x14ac:dyDescent="0.25">
      <c r="A3618" s="104"/>
      <c r="B3618" s="104"/>
    </row>
    <row r="3619" spans="1:2" x14ac:dyDescent="0.25">
      <c r="A3619" s="104"/>
      <c r="B3619" s="104"/>
    </row>
    <row r="3620" spans="1:2" x14ac:dyDescent="0.25">
      <c r="A3620" s="104"/>
      <c r="B3620" s="104"/>
    </row>
    <row r="3621" spans="1:2" x14ac:dyDescent="0.25">
      <c r="A3621" s="104"/>
      <c r="B3621" s="104"/>
    </row>
    <row r="3622" spans="1:2" x14ac:dyDescent="0.25">
      <c r="A3622" s="104"/>
      <c r="B3622" s="104"/>
    </row>
    <row r="3623" spans="1:2" x14ac:dyDescent="0.25">
      <c r="A3623" s="104"/>
      <c r="B3623" s="104"/>
    </row>
    <row r="3624" spans="1:2" x14ac:dyDescent="0.25">
      <c r="A3624" s="104"/>
      <c r="B3624" s="104"/>
    </row>
    <row r="3625" spans="1:2" x14ac:dyDescent="0.25">
      <c r="A3625" s="104"/>
      <c r="B3625" s="104"/>
    </row>
    <row r="3626" spans="1:2" x14ac:dyDescent="0.25">
      <c r="A3626" s="104"/>
      <c r="B3626" s="104"/>
    </row>
    <row r="3627" spans="1:2" x14ac:dyDescent="0.25">
      <c r="A3627" s="104"/>
      <c r="B3627" s="104"/>
    </row>
    <row r="3628" spans="1:2" x14ac:dyDescent="0.25">
      <c r="A3628" s="104"/>
      <c r="B3628" s="104"/>
    </row>
    <row r="3629" spans="1:2" x14ac:dyDescent="0.25">
      <c r="A3629" s="104"/>
      <c r="B3629" s="104"/>
    </row>
    <row r="3630" spans="1:2" x14ac:dyDescent="0.25">
      <c r="A3630" s="104"/>
      <c r="B3630" s="104"/>
    </row>
    <row r="3631" spans="1:2" x14ac:dyDescent="0.25">
      <c r="A3631" s="104"/>
      <c r="B3631" s="104"/>
    </row>
    <row r="3632" spans="1:2" x14ac:dyDescent="0.25">
      <c r="A3632" s="104"/>
      <c r="B3632" s="104"/>
    </row>
    <row r="3633" spans="1:2" x14ac:dyDescent="0.25">
      <c r="A3633" s="104"/>
      <c r="B3633" s="104"/>
    </row>
    <row r="3634" spans="1:2" x14ac:dyDescent="0.25">
      <c r="A3634" s="104"/>
      <c r="B3634" s="104"/>
    </row>
    <row r="3635" spans="1:2" x14ac:dyDescent="0.25">
      <c r="A3635" s="104"/>
      <c r="B3635" s="104"/>
    </row>
    <row r="3636" spans="1:2" x14ac:dyDescent="0.25">
      <c r="A3636" s="104"/>
      <c r="B3636" s="104"/>
    </row>
    <row r="3637" spans="1:2" x14ac:dyDescent="0.25">
      <c r="A3637" s="104"/>
      <c r="B3637" s="104"/>
    </row>
    <row r="3638" spans="1:2" x14ac:dyDescent="0.25">
      <c r="A3638" s="104"/>
      <c r="B3638" s="104"/>
    </row>
    <row r="3639" spans="1:2" x14ac:dyDescent="0.25">
      <c r="A3639" s="104"/>
      <c r="B3639" s="104"/>
    </row>
    <row r="3640" spans="1:2" x14ac:dyDescent="0.25">
      <c r="A3640" s="104"/>
      <c r="B3640" s="104"/>
    </row>
    <row r="3641" spans="1:2" x14ac:dyDescent="0.25">
      <c r="A3641" s="104"/>
      <c r="B3641" s="104"/>
    </row>
    <row r="3642" spans="1:2" x14ac:dyDescent="0.25">
      <c r="A3642" s="104"/>
      <c r="B3642" s="104"/>
    </row>
    <row r="3643" spans="1:2" x14ac:dyDescent="0.25">
      <c r="A3643" s="104"/>
      <c r="B3643" s="104"/>
    </row>
    <row r="3644" spans="1:2" x14ac:dyDescent="0.25">
      <c r="A3644" s="104"/>
      <c r="B3644" s="104"/>
    </row>
    <row r="3645" spans="1:2" x14ac:dyDescent="0.25">
      <c r="A3645" s="104"/>
      <c r="B3645" s="104"/>
    </row>
    <row r="3646" spans="1:2" x14ac:dyDescent="0.25">
      <c r="A3646" s="104"/>
      <c r="B3646" s="104"/>
    </row>
    <row r="3647" spans="1:2" x14ac:dyDescent="0.25">
      <c r="A3647" s="104"/>
      <c r="B3647" s="104"/>
    </row>
    <row r="3648" spans="1:2" x14ac:dyDescent="0.25">
      <c r="A3648" s="104"/>
      <c r="B3648" s="104"/>
    </row>
    <row r="3649" spans="1:2" x14ac:dyDescent="0.25">
      <c r="A3649" s="104"/>
      <c r="B3649" s="104"/>
    </row>
    <row r="3650" spans="1:2" x14ac:dyDescent="0.25">
      <c r="A3650" s="104"/>
      <c r="B3650" s="104"/>
    </row>
    <row r="3651" spans="1:2" x14ac:dyDescent="0.25">
      <c r="A3651" s="104"/>
      <c r="B3651" s="104"/>
    </row>
    <row r="3652" spans="1:2" x14ac:dyDescent="0.25">
      <c r="A3652" s="104"/>
      <c r="B3652" s="104"/>
    </row>
    <row r="3653" spans="1:2" x14ac:dyDescent="0.25">
      <c r="A3653" s="104"/>
      <c r="B3653" s="104"/>
    </row>
    <row r="3654" spans="1:2" x14ac:dyDescent="0.25">
      <c r="A3654" s="104"/>
      <c r="B3654" s="104"/>
    </row>
    <row r="3655" spans="1:2" x14ac:dyDescent="0.25">
      <c r="A3655" s="104"/>
      <c r="B3655" s="104"/>
    </row>
    <row r="3656" spans="1:2" x14ac:dyDescent="0.25">
      <c r="A3656" s="104"/>
      <c r="B3656" s="104"/>
    </row>
    <row r="3657" spans="1:2" x14ac:dyDescent="0.25">
      <c r="A3657" s="104"/>
      <c r="B3657" s="104"/>
    </row>
    <row r="3658" spans="1:2" x14ac:dyDescent="0.25">
      <c r="A3658" s="104"/>
      <c r="B3658" s="104"/>
    </row>
    <row r="3659" spans="1:2" x14ac:dyDescent="0.25">
      <c r="A3659" s="104"/>
      <c r="B3659" s="104"/>
    </row>
    <row r="3660" spans="1:2" x14ac:dyDescent="0.25">
      <c r="A3660" s="104"/>
      <c r="B3660" s="104"/>
    </row>
    <row r="3661" spans="1:2" x14ac:dyDescent="0.25">
      <c r="A3661" s="104"/>
      <c r="B3661" s="104"/>
    </row>
    <row r="3662" spans="1:2" x14ac:dyDescent="0.25">
      <c r="A3662" s="104"/>
      <c r="B3662" s="104"/>
    </row>
    <row r="3663" spans="1:2" x14ac:dyDescent="0.25">
      <c r="A3663" s="104"/>
      <c r="B3663" s="104"/>
    </row>
    <row r="3664" spans="1:2" x14ac:dyDescent="0.25">
      <c r="A3664" s="104"/>
      <c r="B3664" s="104"/>
    </row>
    <row r="3665" spans="1:2" x14ac:dyDescent="0.25">
      <c r="A3665" s="104"/>
      <c r="B3665" s="104"/>
    </row>
    <row r="3666" spans="1:2" x14ac:dyDescent="0.25">
      <c r="A3666" s="104"/>
      <c r="B3666" s="104"/>
    </row>
    <row r="3667" spans="1:2" x14ac:dyDescent="0.25">
      <c r="A3667" s="104"/>
      <c r="B3667" s="104"/>
    </row>
    <row r="3668" spans="1:2" x14ac:dyDescent="0.25">
      <c r="A3668" s="104"/>
      <c r="B3668" s="104"/>
    </row>
    <row r="3669" spans="1:2" x14ac:dyDescent="0.25">
      <c r="A3669" s="104"/>
      <c r="B3669" s="104"/>
    </row>
    <row r="3670" spans="1:2" x14ac:dyDescent="0.25">
      <c r="A3670" s="104"/>
      <c r="B3670" s="104"/>
    </row>
    <row r="3671" spans="1:2" x14ac:dyDescent="0.25">
      <c r="A3671" s="104"/>
      <c r="B3671" s="104"/>
    </row>
    <row r="3672" spans="1:2" x14ac:dyDescent="0.25">
      <c r="A3672" s="104"/>
      <c r="B3672" s="104"/>
    </row>
    <row r="3673" spans="1:2" x14ac:dyDescent="0.25">
      <c r="A3673" s="104"/>
      <c r="B3673" s="104"/>
    </row>
    <row r="3674" spans="1:2" x14ac:dyDescent="0.25">
      <c r="A3674" s="104"/>
      <c r="B3674" s="104"/>
    </row>
    <row r="3675" spans="1:2" x14ac:dyDescent="0.25">
      <c r="A3675" s="104"/>
      <c r="B3675" s="104"/>
    </row>
    <row r="3676" spans="1:2" x14ac:dyDescent="0.25">
      <c r="A3676" s="104"/>
      <c r="B3676" s="104"/>
    </row>
    <row r="3677" spans="1:2" x14ac:dyDescent="0.25">
      <c r="A3677" s="104"/>
      <c r="B3677" s="104"/>
    </row>
    <row r="3678" spans="1:2" x14ac:dyDescent="0.25">
      <c r="A3678" s="104"/>
      <c r="B3678" s="104"/>
    </row>
    <row r="3679" spans="1:2" x14ac:dyDescent="0.25">
      <c r="A3679" s="104"/>
      <c r="B3679" s="104"/>
    </row>
    <row r="3680" spans="1:2" x14ac:dyDescent="0.25">
      <c r="A3680" s="104"/>
      <c r="B3680" s="104"/>
    </row>
    <row r="3681" spans="1:2" x14ac:dyDescent="0.25">
      <c r="A3681" s="104"/>
      <c r="B3681" s="104"/>
    </row>
    <row r="3682" spans="1:2" x14ac:dyDescent="0.25">
      <c r="A3682" s="104"/>
      <c r="B3682" s="104"/>
    </row>
    <row r="3683" spans="1:2" x14ac:dyDescent="0.25">
      <c r="A3683" s="104"/>
      <c r="B3683" s="104"/>
    </row>
    <row r="3684" spans="1:2" x14ac:dyDescent="0.25">
      <c r="A3684" s="104"/>
      <c r="B3684" s="104"/>
    </row>
    <row r="3685" spans="1:2" x14ac:dyDescent="0.25">
      <c r="A3685" s="104"/>
      <c r="B3685" s="104"/>
    </row>
    <row r="3686" spans="1:2" x14ac:dyDescent="0.25">
      <c r="A3686" s="104"/>
      <c r="B3686" s="104"/>
    </row>
    <row r="3687" spans="1:2" x14ac:dyDescent="0.25">
      <c r="A3687" s="104"/>
      <c r="B3687" s="104"/>
    </row>
    <row r="3688" spans="1:2" x14ac:dyDescent="0.25">
      <c r="A3688" s="104"/>
      <c r="B3688" s="104"/>
    </row>
    <row r="3689" spans="1:2" x14ac:dyDescent="0.25">
      <c r="A3689" s="104"/>
      <c r="B3689" s="104"/>
    </row>
    <row r="3690" spans="1:2" x14ac:dyDescent="0.25">
      <c r="A3690" s="104"/>
      <c r="B3690" s="104"/>
    </row>
    <row r="3691" spans="1:2" x14ac:dyDescent="0.25">
      <c r="A3691" s="104"/>
      <c r="B3691" s="104"/>
    </row>
    <row r="3692" spans="1:2" x14ac:dyDescent="0.25">
      <c r="A3692" s="104"/>
      <c r="B3692" s="104"/>
    </row>
    <row r="3693" spans="1:2" x14ac:dyDescent="0.25">
      <c r="A3693" s="104"/>
      <c r="B3693" s="104"/>
    </row>
    <row r="3694" spans="1:2" x14ac:dyDescent="0.25">
      <c r="A3694" s="104"/>
      <c r="B3694" s="104"/>
    </row>
    <row r="3695" spans="1:2" x14ac:dyDescent="0.25">
      <c r="A3695" s="104"/>
      <c r="B3695" s="104"/>
    </row>
    <row r="3696" spans="1:2" x14ac:dyDescent="0.25">
      <c r="A3696" s="104"/>
      <c r="B3696" s="104"/>
    </row>
    <row r="3697" spans="1:2" x14ac:dyDescent="0.25">
      <c r="A3697" s="104"/>
      <c r="B3697" s="104"/>
    </row>
    <row r="3698" spans="1:2" x14ac:dyDescent="0.25">
      <c r="A3698" s="104"/>
      <c r="B3698" s="104"/>
    </row>
    <row r="3699" spans="1:2" x14ac:dyDescent="0.25">
      <c r="A3699" s="104"/>
      <c r="B3699" s="104"/>
    </row>
    <row r="3700" spans="1:2" x14ac:dyDescent="0.25">
      <c r="A3700" s="104"/>
      <c r="B3700" s="104"/>
    </row>
    <row r="3701" spans="1:2" x14ac:dyDescent="0.25">
      <c r="A3701" s="104"/>
      <c r="B3701" s="104"/>
    </row>
    <row r="3702" spans="1:2" x14ac:dyDescent="0.25">
      <c r="A3702" s="104"/>
      <c r="B3702" s="104"/>
    </row>
    <row r="3703" spans="1:2" x14ac:dyDescent="0.25">
      <c r="A3703" s="104"/>
      <c r="B3703" s="104"/>
    </row>
    <row r="3704" spans="1:2" x14ac:dyDescent="0.25">
      <c r="A3704" s="104"/>
      <c r="B3704" s="104"/>
    </row>
    <row r="3705" spans="1:2" x14ac:dyDescent="0.25">
      <c r="A3705" s="104"/>
      <c r="B3705" s="104"/>
    </row>
    <row r="3706" spans="1:2" x14ac:dyDescent="0.25">
      <c r="A3706" s="104"/>
      <c r="B3706" s="104"/>
    </row>
    <row r="3707" spans="1:2" x14ac:dyDescent="0.25">
      <c r="A3707" s="104"/>
      <c r="B3707" s="104"/>
    </row>
    <row r="3708" spans="1:2" x14ac:dyDescent="0.25">
      <c r="A3708" s="104"/>
      <c r="B3708" s="104"/>
    </row>
    <row r="3709" spans="1:2" x14ac:dyDescent="0.25">
      <c r="A3709" s="104"/>
      <c r="B3709" s="104"/>
    </row>
    <row r="3710" spans="1:2" x14ac:dyDescent="0.25">
      <c r="A3710" s="104"/>
      <c r="B3710" s="104"/>
    </row>
    <row r="3711" spans="1:2" x14ac:dyDescent="0.25">
      <c r="A3711" s="104"/>
      <c r="B3711" s="104"/>
    </row>
    <row r="3712" spans="1:2" x14ac:dyDescent="0.25">
      <c r="A3712" s="104"/>
      <c r="B3712" s="104"/>
    </row>
    <row r="3713" spans="1:2" x14ac:dyDescent="0.25">
      <c r="A3713" s="104"/>
      <c r="B3713" s="104"/>
    </row>
    <row r="3714" spans="1:2" x14ac:dyDescent="0.25">
      <c r="A3714" s="104"/>
      <c r="B3714" s="104"/>
    </row>
    <row r="3715" spans="1:2" x14ac:dyDescent="0.25">
      <c r="A3715" s="104"/>
      <c r="B3715" s="104"/>
    </row>
    <row r="3716" spans="1:2" x14ac:dyDescent="0.25">
      <c r="A3716" s="104"/>
      <c r="B3716" s="104"/>
    </row>
    <row r="3717" spans="1:2" x14ac:dyDescent="0.25">
      <c r="A3717" s="104"/>
      <c r="B3717" s="104"/>
    </row>
    <row r="3718" spans="1:2" x14ac:dyDescent="0.25">
      <c r="A3718" s="104"/>
      <c r="B3718" s="104"/>
    </row>
    <row r="3719" spans="1:2" x14ac:dyDescent="0.25">
      <c r="A3719" s="104"/>
      <c r="B3719" s="104"/>
    </row>
    <row r="3720" spans="1:2" x14ac:dyDescent="0.25">
      <c r="A3720" s="104"/>
      <c r="B3720" s="104"/>
    </row>
    <row r="3721" spans="1:2" x14ac:dyDescent="0.25">
      <c r="A3721" s="104"/>
      <c r="B3721" s="104"/>
    </row>
    <row r="3722" spans="1:2" x14ac:dyDescent="0.25">
      <c r="A3722" s="104"/>
      <c r="B3722" s="104"/>
    </row>
    <row r="3723" spans="1:2" x14ac:dyDescent="0.25">
      <c r="A3723" s="104"/>
      <c r="B3723" s="104"/>
    </row>
    <row r="3724" spans="1:2" x14ac:dyDescent="0.25">
      <c r="A3724" s="104"/>
      <c r="B3724" s="104"/>
    </row>
    <row r="3725" spans="1:2" x14ac:dyDescent="0.25">
      <c r="A3725" s="104"/>
      <c r="B3725" s="104"/>
    </row>
    <row r="3726" spans="1:2" x14ac:dyDescent="0.25">
      <c r="A3726" s="104"/>
      <c r="B3726" s="104"/>
    </row>
    <row r="3727" spans="1:2" x14ac:dyDescent="0.25">
      <c r="A3727" s="104"/>
      <c r="B3727" s="104"/>
    </row>
    <row r="3728" spans="1:2" x14ac:dyDescent="0.25">
      <c r="A3728" s="104"/>
      <c r="B3728" s="104"/>
    </row>
    <row r="3729" spans="1:2" x14ac:dyDescent="0.25">
      <c r="A3729" s="104"/>
      <c r="B3729" s="104"/>
    </row>
    <row r="3730" spans="1:2" x14ac:dyDescent="0.25">
      <c r="A3730" s="104"/>
      <c r="B3730" s="104"/>
    </row>
    <row r="3731" spans="1:2" x14ac:dyDescent="0.25">
      <c r="A3731" s="104"/>
      <c r="B3731" s="104"/>
    </row>
    <row r="3732" spans="1:2" x14ac:dyDescent="0.25">
      <c r="A3732" s="104"/>
      <c r="B3732" s="104"/>
    </row>
    <row r="3733" spans="1:2" x14ac:dyDescent="0.25">
      <c r="A3733" s="104"/>
      <c r="B3733" s="104"/>
    </row>
    <row r="3734" spans="1:2" x14ac:dyDescent="0.25">
      <c r="A3734" s="104"/>
      <c r="B3734" s="104"/>
    </row>
    <row r="3735" spans="1:2" x14ac:dyDescent="0.25">
      <c r="A3735" s="104"/>
      <c r="B3735" s="104"/>
    </row>
    <row r="3736" spans="1:2" x14ac:dyDescent="0.25">
      <c r="A3736" s="104"/>
      <c r="B3736" s="104"/>
    </row>
    <row r="3737" spans="1:2" x14ac:dyDescent="0.25">
      <c r="A3737" s="104"/>
      <c r="B3737" s="104"/>
    </row>
    <row r="3738" spans="1:2" x14ac:dyDescent="0.25">
      <c r="A3738" s="104"/>
      <c r="B3738" s="104"/>
    </row>
    <row r="3739" spans="1:2" x14ac:dyDescent="0.25">
      <c r="A3739" s="104"/>
      <c r="B3739" s="104"/>
    </row>
    <row r="3740" spans="1:2" x14ac:dyDescent="0.25">
      <c r="A3740" s="104"/>
      <c r="B3740" s="104"/>
    </row>
    <row r="3741" spans="1:2" x14ac:dyDescent="0.25">
      <c r="A3741" s="104"/>
      <c r="B3741" s="104"/>
    </row>
    <row r="3742" spans="1:2" x14ac:dyDescent="0.25">
      <c r="A3742" s="104"/>
      <c r="B3742" s="104"/>
    </row>
    <row r="3743" spans="1:2" x14ac:dyDescent="0.25">
      <c r="A3743" s="104"/>
      <c r="B3743" s="104"/>
    </row>
    <row r="3744" spans="1:2" x14ac:dyDescent="0.25">
      <c r="A3744" s="104"/>
      <c r="B3744" s="104"/>
    </row>
    <row r="3745" spans="1:2" x14ac:dyDescent="0.25">
      <c r="A3745" s="104"/>
      <c r="B3745" s="104"/>
    </row>
    <row r="3746" spans="1:2" x14ac:dyDescent="0.25">
      <c r="A3746" s="104"/>
      <c r="B3746" s="104"/>
    </row>
    <row r="3747" spans="1:2" x14ac:dyDescent="0.25">
      <c r="A3747" s="104"/>
      <c r="B3747" s="104"/>
    </row>
    <row r="3748" spans="1:2" x14ac:dyDescent="0.25">
      <c r="A3748" s="104"/>
      <c r="B3748" s="104"/>
    </row>
    <row r="3749" spans="1:2" x14ac:dyDescent="0.25">
      <c r="A3749" s="104"/>
      <c r="B3749" s="104"/>
    </row>
    <row r="3750" spans="1:2" x14ac:dyDescent="0.25">
      <c r="A3750" s="104"/>
      <c r="B3750" s="104"/>
    </row>
    <row r="3751" spans="1:2" x14ac:dyDescent="0.25">
      <c r="A3751" s="104"/>
      <c r="B3751" s="104"/>
    </row>
    <row r="3752" spans="1:2" x14ac:dyDescent="0.25">
      <c r="A3752" s="104"/>
      <c r="B3752" s="104"/>
    </row>
    <row r="3753" spans="1:2" x14ac:dyDescent="0.25">
      <c r="A3753" s="104"/>
      <c r="B3753" s="104"/>
    </row>
    <row r="3754" spans="1:2" x14ac:dyDescent="0.25">
      <c r="A3754" s="104"/>
      <c r="B3754" s="104"/>
    </row>
    <row r="3755" spans="1:2" x14ac:dyDescent="0.25">
      <c r="A3755" s="104"/>
      <c r="B3755" s="104"/>
    </row>
    <row r="3756" spans="1:2" x14ac:dyDescent="0.25">
      <c r="A3756" s="104"/>
      <c r="B3756" s="104"/>
    </row>
    <row r="3757" spans="1:2" x14ac:dyDescent="0.25">
      <c r="A3757" s="104"/>
      <c r="B3757" s="104"/>
    </row>
    <row r="3758" spans="1:2" x14ac:dyDescent="0.25">
      <c r="A3758" s="104"/>
      <c r="B3758" s="104"/>
    </row>
    <row r="3759" spans="1:2" x14ac:dyDescent="0.25">
      <c r="A3759" s="104"/>
      <c r="B3759" s="104"/>
    </row>
    <row r="3760" spans="1:2" x14ac:dyDescent="0.25">
      <c r="A3760" s="104"/>
      <c r="B3760" s="104"/>
    </row>
    <row r="3761" spans="1:2" x14ac:dyDescent="0.25">
      <c r="A3761" s="104"/>
      <c r="B3761" s="104"/>
    </row>
    <row r="3762" spans="1:2" x14ac:dyDescent="0.25">
      <c r="A3762" s="104"/>
      <c r="B3762" s="104"/>
    </row>
    <row r="3763" spans="1:2" x14ac:dyDescent="0.25">
      <c r="A3763" s="104"/>
      <c r="B3763" s="104"/>
    </row>
    <row r="3764" spans="1:2" x14ac:dyDescent="0.25">
      <c r="A3764" s="104"/>
      <c r="B3764" s="104"/>
    </row>
    <row r="3765" spans="1:2" x14ac:dyDescent="0.25">
      <c r="A3765" s="104"/>
      <c r="B3765" s="104"/>
    </row>
    <row r="3766" spans="1:2" x14ac:dyDescent="0.25">
      <c r="A3766" s="104"/>
      <c r="B3766" s="104"/>
    </row>
    <row r="3767" spans="1:2" x14ac:dyDescent="0.25">
      <c r="A3767" s="104"/>
      <c r="B3767" s="104"/>
    </row>
    <row r="3768" spans="1:2" x14ac:dyDescent="0.25">
      <c r="A3768" s="104"/>
      <c r="B3768" s="104"/>
    </row>
    <row r="3769" spans="1:2" x14ac:dyDescent="0.25">
      <c r="A3769" s="104"/>
      <c r="B3769" s="104"/>
    </row>
    <row r="3770" spans="1:2" x14ac:dyDescent="0.25">
      <c r="A3770" s="104"/>
      <c r="B3770" s="104"/>
    </row>
    <row r="3771" spans="1:2" x14ac:dyDescent="0.25">
      <c r="A3771" s="104"/>
      <c r="B3771" s="104"/>
    </row>
    <row r="3772" spans="1:2" x14ac:dyDescent="0.25">
      <c r="A3772" s="104"/>
      <c r="B3772" s="104"/>
    </row>
    <row r="3773" spans="1:2" x14ac:dyDescent="0.25">
      <c r="A3773" s="104"/>
      <c r="B3773" s="104"/>
    </row>
    <row r="3774" spans="1:2" x14ac:dyDescent="0.25">
      <c r="A3774" s="104"/>
      <c r="B3774" s="104"/>
    </row>
    <row r="3775" spans="1:2" x14ac:dyDescent="0.25">
      <c r="A3775" s="104"/>
      <c r="B3775" s="104"/>
    </row>
    <row r="3776" spans="1:2" x14ac:dyDescent="0.25">
      <c r="A3776" s="104"/>
      <c r="B3776" s="104"/>
    </row>
    <row r="3777" spans="1:2" x14ac:dyDescent="0.25">
      <c r="A3777" s="104"/>
      <c r="B3777" s="104"/>
    </row>
    <row r="3778" spans="1:2" x14ac:dyDescent="0.25">
      <c r="A3778" s="104"/>
      <c r="B3778" s="104"/>
    </row>
    <row r="3779" spans="1:2" x14ac:dyDescent="0.25">
      <c r="A3779" s="104"/>
      <c r="B3779" s="104"/>
    </row>
    <row r="3780" spans="1:2" x14ac:dyDescent="0.25">
      <c r="A3780" s="104"/>
      <c r="B3780" s="104"/>
    </row>
    <row r="3781" spans="1:2" x14ac:dyDescent="0.25">
      <c r="A3781" s="104"/>
      <c r="B3781" s="104"/>
    </row>
    <row r="3782" spans="1:2" x14ac:dyDescent="0.25">
      <c r="A3782" s="104"/>
      <c r="B3782" s="104"/>
    </row>
    <row r="3783" spans="1:2" x14ac:dyDescent="0.25">
      <c r="A3783" s="104"/>
      <c r="B3783" s="104"/>
    </row>
    <row r="3784" spans="1:2" x14ac:dyDescent="0.25">
      <c r="A3784" s="104"/>
      <c r="B3784" s="104"/>
    </row>
    <row r="3785" spans="1:2" x14ac:dyDescent="0.25">
      <c r="A3785" s="104"/>
      <c r="B3785" s="104"/>
    </row>
    <row r="3786" spans="1:2" x14ac:dyDescent="0.25">
      <c r="A3786" s="104"/>
      <c r="B3786" s="104"/>
    </row>
    <row r="3787" spans="1:2" x14ac:dyDescent="0.25">
      <c r="A3787" s="104"/>
      <c r="B3787" s="104"/>
    </row>
    <row r="3788" spans="1:2" x14ac:dyDescent="0.25">
      <c r="A3788" s="104"/>
      <c r="B3788" s="104"/>
    </row>
    <row r="3789" spans="1:2" x14ac:dyDescent="0.25">
      <c r="A3789" s="104"/>
      <c r="B3789" s="104"/>
    </row>
    <row r="3790" spans="1:2" x14ac:dyDescent="0.25">
      <c r="A3790" s="104"/>
      <c r="B3790" s="104"/>
    </row>
    <row r="3791" spans="1:2" x14ac:dyDescent="0.25">
      <c r="A3791" s="104"/>
      <c r="B3791" s="104"/>
    </row>
    <row r="3792" spans="1:2" x14ac:dyDescent="0.25">
      <c r="A3792" s="104"/>
      <c r="B3792" s="104"/>
    </row>
    <row r="3793" spans="1:2" x14ac:dyDescent="0.25">
      <c r="A3793" s="104"/>
      <c r="B3793" s="104"/>
    </row>
    <row r="3794" spans="1:2" x14ac:dyDescent="0.25">
      <c r="A3794" s="104"/>
      <c r="B3794" s="104"/>
    </row>
    <row r="3795" spans="1:2" x14ac:dyDescent="0.25">
      <c r="A3795" s="104"/>
      <c r="B3795" s="104"/>
    </row>
    <row r="3796" spans="1:2" x14ac:dyDescent="0.25">
      <c r="A3796" s="104"/>
      <c r="B3796" s="104"/>
    </row>
    <row r="3797" spans="1:2" x14ac:dyDescent="0.25">
      <c r="A3797" s="104"/>
      <c r="B3797" s="104"/>
    </row>
    <row r="3798" spans="1:2" x14ac:dyDescent="0.25">
      <c r="A3798" s="104"/>
      <c r="B3798" s="104"/>
    </row>
    <row r="3799" spans="1:2" x14ac:dyDescent="0.25">
      <c r="A3799" s="104"/>
      <c r="B3799" s="104"/>
    </row>
    <row r="3800" spans="1:2" x14ac:dyDescent="0.25">
      <c r="A3800" s="104"/>
      <c r="B3800" s="104"/>
    </row>
    <row r="3801" spans="1:2" x14ac:dyDescent="0.25">
      <c r="A3801" s="104"/>
      <c r="B3801" s="104"/>
    </row>
    <row r="3802" spans="1:2" x14ac:dyDescent="0.25">
      <c r="A3802" s="104"/>
      <c r="B3802" s="104"/>
    </row>
    <row r="3803" spans="1:2" x14ac:dyDescent="0.25">
      <c r="A3803" s="104"/>
      <c r="B3803" s="104"/>
    </row>
    <row r="3804" spans="1:2" x14ac:dyDescent="0.25">
      <c r="A3804" s="104"/>
      <c r="B3804" s="104"/>
    </row>
    <row r="3805" spans="1:2" x14ac:dyDescent="0.25">
      <c r="A3805" s="104"/>
      <c r="B3805" s="104"/>
    </row>
    <row r="3806" spans="1:2" x14ac:dyDescent="0.25">
      <c r="A3806" s="104"/>
      <c r="B3806" s="104"/>
    </row>
    <row r="3807" spans="1:2" x14ac:dyDescent="0.25">
      <c r="A3807" s="104"/>
      <c r="B3807" s="104"/>
    </row>
    <row r="3808" spans="1:2" x14ac:dyDescent="0.25">
      <c r="A3808" s="104"/>
      <c r="B3808" s="104"/>
    </row>
    <row r="3809" spans="1:2" x14ac:dyDescent="0.25">
      <c r="A3809" s="104"/>
      <c r="B3809" s="104"/>
    </row>
    <row r="3810" spans="1:2" x14ac:dyDescent="0.25">
      <c r="A3810" s="104"/>
      <c r="B3810" s="104"/>
    </row>
    <row r="3811" spans="1:2" x14ac:dyDescent="0.25">
      <c r="A3811" s="104"/>
      <c r="B3811" s="104"/>
    </row>
    <row r="3812" spans="1:2" x14ac:dyDescent="0.25">
      <c r="A3812" s="104"/>
      <c r="B3812" s="104"/>
    </row>
    <row r="3813" spans="1:2" x14ac:dyDescent="0.25">
      <c r="A3813" s="104"/>
      <c r="B3813" s="104"/>
    </row>
    <row r="3814" spans="1:2" x14ac:dyDescent="0.25">
      <c r="A3814" s="104"/>
      <c r="B3814" s="104"/>
    </row>
    <row r="3815" spans="1:2" x14ac:dyDescent="0.25">
      <c r="A3815" s="104"/>
      <c r="B3815" s="104"/>
    </row>
    <row r="3816" spans="1:2" x14ac:dyDescent="0.25">
      <c r="A3816" s="104"/>
      <c r="B3816" s="104"/>
    </row>
    <row r="3817" spans="1:2" x14ac:dyDescent="0.25">
      <c r="A3817" s="104"/>
      <c r="B3817" s="104"/>
    </row>
    <row r="3818" spans="1:2" x14ac:dyDescent="0.25">
      <c r="A3818" s="104"/>
      <c r="B3818" s="104"/>
    </row>
    <row r="3819" spans="1:2" x14ac:dyDescent="0.25">
      <c r="A3819" s="104"/>
      <c r="B3819" s="104"/>
    </row>
    <row r="3820" spans="1:2" x14ac:dyDescent="0.25">
      <c r="A3820" s="104"/>
      <c r="B3820" s="104"/>
    </row>
    <row r="3821" spans="1:2" x14ac:dyDescent="0.25">
      <c r="A3821" s="104"/>
      <c r="B3821" s="104"/>
    </row>
    <row r="3822" spans="1:2" x14ac:dyDescent="0.25">
      <c r="A3822" s="104"/>
      <c r="B3822" s="104"/>
    </row>
    <row r="3823" spans="1:2" x14ac:dyDescent="0.25">
      <c r="A3823" s="104"/>
      <c r="B3823" s="104"/>
    </row>
    <row r="3824" spans="1:2" x14ac:dyDescent="0.25">
      <c r="A3824" s="104"/>
      <c r="B3824" s="104"/>
    </row>
    <row r="3825" spans="1:2" x14ac:dyDescent="0.25">
      <c r="A3825" s="104"/>
      <c r="B3825" s="104"/>
    </row>
    <row r="3826" spans="1:2" x14ac:dyDescent="0.25">
      <c r="A3826" s="104"/>
      <c r="B3826" s="104"/>
    </row>
    <row r="3827" spans="1:2" x14ac:dyDescent="0.25">
      <c r="A3827" s="104"/>
      <c r="B3827" s="104"/>
    </row>
    <row r="3828" spans="1:2" x14ac:dyDescent="0.25">
      <c r="A3828" s="104"/>
      <c r="B3828" s="104"/>
    </row>
    <row r="3829" spans="1:2" x14ac:dyDescent="0.25">
      <c r="A3829" s="104"/>
      <c r="B3829" s="104"/>
    </row>
    <row r="3830" spans="1:2" x14ac:dyDescent="0.25">
      <c r="A3830" s="104"/>
      <c r="B3830" s="104"/>
    </row>
    <row r="3831" spans="1:2" x14ac:dyDescent="0.25">
      <c r="A3831" s="104"/>
      <c r="B3831" s="104"/>
    </row>
    <row r="3832" spans="1:2" x14ac:dyDescent="0.25">
      <c r="A3832" s="104"/>
      <c r="B3832" s="104"/>
    </row>
    <row r="3833" spans="1:2" x14ac:dyDescent="0.25">
      <c r="A3833" s="104"/>
      <c r="B3833" s="104"/>
    </row>
    <row r="3834" spans="1:2" x14ac:dyDescent="0.25">
      <c r="A3834" s="104"/>
      <c r="B3834" s="104"/>
    </row>
    <row r="3835" spans="1:2" x14ac:dyDescent="0.25">
      <c r="A3835" s="104"/>
      <c r="B3835" s="104"/>
    </row>
    <row r="3836" spans="1:2" x14ac:dyDescent="0.25">
      <c r="A3836" s="104"/>
      <c r="B3836" s="104"/>
    </row>
    <row r="3837" spans="1:2" x14ac:dyDescent="0.25">
      <c r="A3837" s="104"/>
      <c r="B3837" s="104"/>
    </row>
    <row r="3838" spans="1:2" x14ac:dyDescent="0.25">
      <c r="A3838" s="104"/>
      <c r="B3838" s="104"/>
    </row>
    <row r="3839" spans="1:2" x14ac:dyDescent="0.25">
      <c r="A3839" s="104"/>
      <c r="B3839" s="104"/>
    </row>
    <row r="3840" spans="1:2" x14ac:dyDescent="0.25">
      <c r="A3840" s="104"/>
      <c r="B3840" s="104"/>
    </row>
    <row r="3841" spans="1:2" x14ac:dyDescent="0.25">
      <c r="A3841" s="104"/>
      <c r="B3841" s="104"/>
    </row>
    <row r="3842" spans="1:2" x14ac:dyDescent="0.25">
      <c r="A3842" s="104"/>
      <c r="B3842" s="104"/>
    </row>
    <row r="3843" spans="1:2" x14ac:dyDescent="0.25">
      <c r="A3843" s="104"/>
      <c r="B3843" s="104"/>
    </row>
    <row r="3844" spans="1:2" x14ac:dyDescent="0.25">
      <c r="A3844" s="104"/>
      <c r="B3844" s="104"/>
    </row>
    <row r="3845" spans="1:2" x14ac:dyDescent="0.25">
      <c r="A3845" s="104"/>
      <c r="B3845" s="104"/>
    </row>
    <row r="3846" spans="1:2" x14ac:dyDescent="0.25">
      <c r="A3846" s="104"/>
      <c r="B3846" s="104"/>
    </row>
    <row r="3847" spans="1:2" x14ac:dyDescent="0.25">
      <c r="A3847" s="104"/>
      <c r="B3847" s="104"/>
    </row>
    <row r="3848" spans="1:2" x14ac:dyDescent="0.25">
      <c r="A3848" s="104"/>
      <c r="B3848" s="104"/>
    </row>
    <row r="3849" spans="1:2" x14ac:dyDescent="0.25">
      <c r="A3849" s="104"/>
      <c r="B3849" s="104"/>
    </row>
    <row r="3850" spans="1:2" x14ac:dyDescent="0.25">
      <c r="A3850" s="104"/>
      <c r="B3850" s="104"/>
    </row>
    <row r="3851" spans="1:2" x14ac:dyDescent="0.25">
      <c r="A3851" s="104"/>
      <c r="B3851" s="104"/>
    </row>
    <row r="3852" spans="1:2" x14ac:dyDescent="0.25">
      <c r="A3852" s="104"/>
      <c r="B3852" s="104"/>
    </row>
    <row r="3853" spans="1:2" x14ac:dyDescent="0.25">
      <c r="A3853" s="104"/>
      <c r="B3853" s="104"/>
    </row>
    <row r="3854" spans="1:2" x14ac:dyDescent="0.25">
      <c r="A3854" s="104"/>
      <c r="B3854" s="104"/>
    </row>
    <row r="3855" spans="1:2" x14ac:dyDescent="0.25">
      <c r="A3855" s="104"/>
      <c r="B3855" s="104"/>
    </row>
    <row r="3856" spans="1:2" x14ac:dyDescent="0.25">
      <c r="A3856" s="104"/>
      <c r="B3856" s="104"/>
    </row>
    <row r="3857" spans="1:2" x14ac:dyDescent="0.25">
      <c r="A3857" s="104"/>
      <c r="B3857" s="104"/>
    </row>
    <row r="3858" spans="1:2" x14ac:dyDescent="0.25">
      <c r="A3858" s="104"/>
      <c r="B3858" s="104"/>
    </row>
    <row r="3859" spans="1:2" x14ac:dyDescent="0.25">
      <c r="A3859" s="104"/>
      <c r="B3859" s="104"/>
    </row>
    <row r="3860" spans="1:2" x14ac:dyDescent="0.25">
      <c r="A3860" s="104"/>
      <c r="B3860" s="104"/>
    </row>
    <row r="3861" spans="1:2" x14ac:dyDescent="0.25">
      <c r="A3861" s="104"/>
      <c r="B3861" s="104"/>
    </row>
    <row r="3862" spans="1:2" x14ac:dyDescent="0.25">
      <c r="A3862" s="104"/>
      <c r="B3862" s="104"/>
    </row>
    <row r="3863" spans="1:2" x14ac:dyDescent="0.25">
      <c r="A3863" s="104"/>
      <c r="B3863" s="104"/>
    </row>
    <row r="3864" spans="1:2" x14ac:dyDescent="0.25">
      <c r="A3864" s="104"/>
      <c r="B3864" s="104"/>
    </row>
    <row r="3865" spans="1:2" x14ac:dyDescent="0.25">
      <c r="A3865" s="104"/>
      <c r="B3865" s="104"/>
    </row>
    <row r="3866" spans="1:2" x14ac:dyDescent="0.25">
      <c r="A3866" s="104"/>
      <c r="B3866" s="104"/>
    </row>
    <row r="3867" spans="1:2" x14ac:dyDescent="0.25">
      <c r="A3867" s="104"/>
      <c r="B3867" s="104"/>
    </row>
    <row r="3868" spans="1:2" x14ac:dyDescent="0.25">
      <c r="A3868" s="104"/>
      <c r="B3868" s="104"/>
    </row>
    <row r="3869" spans="1:2" x14ac:dyDescent="0.25">
      <c r="A3869" s="104"/>
      <c r="B3869" s="104"/>
    </row>
    <row r="3870" spans="1:2" x14ac:dyDescent="0.25">
      <c r="A3870" s="104"/>
      <c r="B3870" s="104"/>
    </row>
    <row r="3871" spans="1:2" x14ac:dyDescent="0.25">
      <c r="A3871" s="104"/>
      <c r="B3871" s="104"/>
    </row>
    <row r="3872" spans="1:2" x14ac:dyDescent="0.25">
      <c r="A3872" s="104"/>
      <c r="B3872" s="104"/>
    </row>
    <row r="3873" spans="1:2" x14ac:dyDescent="0.25">
      <c r="A3873" s="104"/>
      <c r="B3873" s="104"/>
    </row>
    <row r="3874" spans="1:2" x14ac:dyDescent="0.25">
      <c r="A3874" s="104"/>
      <c r="B3874" s="104"/>
    </row>
    <row r="3875" spans="1:2" x14ac:dyDescent="0.25">
      <c r="A3875" s="104"/>
      <c r="B3875" s="104"/>
    </row>
    <row r="3876" spans="1:2" x14ac:dyDescent="0.25">
      <c r="A3876" s="104"/>
      <c r="B3876" s="104"/>
    </row>
    <row r="3877" spans="1:2" x14ac:dyDescent="0.25">
      <c r="A3877" s="104"/>
      <c r="B3877" s="104"/>
    </row>
    <row r="3878" spans="1:2" x14ac:dyDescent="0.25">
      <c r="A3878" s="104"/>
      <c r="B3878" s="104"/>
    </row>
    <row r="3879" spans="1:2" x14ac:dyDescent="0.25">
      <c r="A3879" s="104"/>
      <c r="B3879" s="104"/>
    </row>
    <row r="3880" spans="1:2" x14ac:dyDescent="0.25">
      <c r="A3880" s="104"/>
      <c r="B3880" s="104"/>
    </row>
    <row r="3881" spans="1:2" x14ac:dyDescent="0.25">
      <c r="A3881" s="104"/>
      <c r="B3881" s="104"/>
    </row>
    <row r="3882" spans="1:2" x14ac:dyDescent="0.25">
      <c r="A3882" s="104"/>
      <c r="B3882" s="104"/>
    </row>
    <row r="3883" spans="1:2" x14ac:dyDescent="0.25">
      <c r="A3883" s="104"/>
      <c r="B3883" s="104"/>
    </row>
    <row r="3884" spans="1:2" x14ac:dyDescent="0.25">
      <c r="A3884" s="104"/>
      <c r="B3884" s="104"/>
    </row>
    <row r="3885" spans="1:2" x14ac:dyDescent="0.25">
      <c r="A3885" s="104"/>
      <c r="B3885" s="104"/>
    </row>
    <row r="3886" spans="1:2" x14ac:dyDescent="0.25">
      <c r="A3886" s="104"/>
      <c r="B3886" s="104"/>
    </row>
    <row r="3887" spans="1:2" x14ac:dyDescent="0.25">
      <c r="A3887" s="104"/>
      <c r="B3887" s="104"/>
    </row>
    <row r="3888" spans="1:2" x14ac:dyDescent="0.25">
      <c r="A3888" s="104"/>
      <c r="B3888" s="104"/>
    </row>
    <row r="3889" spans="1:2" x14ac:dyDescent="0.25">
      <c r="A3889" s="104"/>
      <c r="B3889" s="104"/>
    </row>
    <row r="3890" spans="1:2" x14ac:dyDescent="0.25">
      <c r="A3890" s="104"/>
      <c r="B3890" s="104"/>
    </row>
    <row r="3891" spans="1:2" x14ac:dyDescent="0.25">
      <c r="A3891" s="104"/>
      <c r="B3891" s="104"/>
    </row>
    <row r="3892" spans="1:2" x14ac:dyDescent="0.25">
      <c r="A3892" s="104"/>
      <c r="B3892" s="104"/>
    </row>
    <row r="3893" spans="1:2" x14ac:dyDescent="0.25">
      <c r="A3893" s="104"/>
      <c r="B3893" s="104"/>
    </row>
    <row r="3894" spans="1:2" x14ac:dyDescent="0.25">
      <c r="A3894" s="104"/>
      <c r="B3894" s="104"/>
    </row>
    <row r="3895" spans="1:2" x14ac:dyDescent="0.25">
      <c r="A3895" s="104"/>
      <c r="B3895" s="104"/>
    </row>
    <row r="3896" spans="1:2" x14ac:dyDescent="0.25">
      <c r="A3896" s="104"/>
      <c r="B3896" s="104"/>
    </row>
    <row r="3897" spans="1:2" x14ac:dyDescent="0.25">
      <c r="A3897" s="104"/>
      <c r="B3897" s="104"/>
    </row>
    <row r="3898" spans="1:2" x14ac:dyDescent="0.25">
      <c r="A3898" s="104"/>
      <c r="B3898" s="104"/>
    </row>
    <row r="3899" spans="1:2" x14ac:dyDescent="0.25">
      <c r="A3899" s="104"/>
      <c r="B3899" s="104"/>
    </row>
    <row r="3900" spans="1:2" x14ac:dyDescent="0.25">
      <c r="A3900" s="104"/>
      <c r="B3900" s="104"/>
    </row>
    <row r="3901" spans="1:2" x14ac:dyDescent="0.25">
      <c r="A3901" s="104"/>
      <c r="B3901" s="104"/>
    </row>
    <row r="3902" spans="1:2" x14ac:dyDescent="0.25">
      <c r="A3902" s="104"/>
      <c r="B3902" s="104"/>
    </row>
    <row r="3903" spans="1:2" x14ac:dyDescent="0.25">
      <c r="A3903" s="104"/>
      <c r="B3903" s="104"/>
    </row>
    <row r="3904" spans="1:2" x14ac:dyDescent="0.25">
      <c r="A3904" s="104"/>
      <c r="B3904" s="104"/>
    </row>
    <row r="3905" spans="1:2" x14ac:dyDescent="0.25">
      <c r="A3905" s="104"/>
      <c r="B3905" s="104"/>
    </row>
    <row r="3906" spans="1:2" x14ac:dyDescent="0.25">
      <c r="A3906" s="104"/>
      <c r="B3906" s="104"/>
    </row>
    <row r="3907" spans="1:2" x14ac:dyDescent="0.25">
      <c r="A3907" s="104"/>
      <c r="B3907" s="104"/>
    </row>
    <row r="3908" spans="1:2" x14ac:dyDescent="0.25">
      <c r="A3908" s="104"/>
      <c r="B3908" s="104"/>
    </row>
    <row r="3909" spans="1:2" x14ac:dyDescent="0.25">
      <c r="A3909" s="104"/>
      <c r="B3909" s="104"/>
    </row>
    <row r="3910" spans="1:2" x14ac:dyDescent="0.25">
      <c r="A3910" s="104"/>
      <c r="B3910" s="104"/>
    </row>
    <row r="3911" spans="1:2" x14ac:dyDescent="0.25">
      <c r="A3911" s="104"/>
      <c r="B3911" s="104"/>
    </row>
    <row r="3912" spans="1:2" x14ac:dyDescent="0.25">
      <c r="A3912" s="104"/>
      <c r="B3912" s="104"/>
    </row>
    <row r="3913" spans="1:2" x14ac:dyDescent="0.25">
      <c r="A3913" s="104"/>
      <c r="B3913" s="104"/>
    </row>
    <row r="3914" spans="1:2" x14ac:dyDescent="0.25">
      <c r="A3914" s="104"/>
      <c r="B3914" s="104"/>
    </row>
    <row r="3915" spans="1:2" x14ac:dyDescent="0.25">
      <c r="A3915" s="104"/>
      <c r="B3915" s="104"/>
    </row>
    <row r="3916" spans="1:2" x14ac:dyDescent="0.25">
      <c r="A3916" s="104"/>
      <c r="B3916" s="104"/>
    </row>
    <row r="3917" spans="1:2" x14ac:dyDescent="0.25">
      <c r="A3917" s="104"/>
      <c r="B3917" s="104"/>
    </row>
    <row r="3918" spans="1:2" x14ac:dyDescent="0.25">
      <c r="A3918" s="104"/>
      <c r="B3918" s="104"/>
    </row>
    <row r="3919" spans="1:2" x14ac:dyDescent="0.25">
      <c r="A3919" s="104"/>
      <c r="B3919" s="104"/>
    </row>
    <row r="3920" spans="1:2" x14ac:dyDescent="0.25">
      <c r="A3920" s="104"/>
      <c r="B3920" s="104"/>
    </row>
    <row r="3921" spans="1:2" x14ac:dyDescent="0.25">
      <c r="A3921" s="104"/>
      <c r="B3921" s="104"/>
    </row>
    <row r="3922" spans="1:2" x14ac:dyDescent="0.25">
      <c r="A3922" s="104"/>
      <c r="B3922" s="104"/>
    </row>
    <row r="3923" spans="1:2" x14ac:dyDescent="0.25">
      <c r="A3923" s="104"/>
      <c r="B3923" s="104"/>
    </row>
    <row r="3924" spans="1:2" x14ac:dyDescent="0.25">
      <c r="A3924" s="104"/>
      <c r="B3924" s="104"/>
    </row>
    <row r="3925" spans="1:2" x14ac:dyDescent="0.25">
      <c r="A3925" s="104"/>
      <c r="B3925" s="104"/>
    </row>
    <row r="3926" spans="1:2" x14ac:dyDescent="0.25">
      <c r="A3926" s="104"/>
      <c r="B3926" s="104"/>
    </row>
    <row r="3927" spans="1:2" x14ac:dyDescent="0.25">
      <c r="A3927" s="104"/>
      <c r="B3927" s="104"/>
    </row>
    <row r="3928" spans="1:2" x14ac:dyDescent="0.25">
      <c r="A3928" s="104"/>
      <c r="B3928" s="104"/>
    </row>
    <row r="3929" spans="1:2" x14ac:dyDescent="0.25">
      <c r="A3929" s="104"/>
      <c r="B3929" s="104"/>
    </row>
    <row r="3930" spans="1:2" x14ac:dyDescent="0.25">
      <c r="A3930" s="104"/>
      <c r="B3930" s="104"/>
    </row>
    <row r="3931" spans="1:2" x14ac:dyDescent="0.25">
      <c r="A3931" s="104"/>
      <c r="B3931" s="104"/>
    </row>
    <row r="3932" spans="1:2" x14ac:dyDescent="0.25">
      <c r="A3932" s="104"/>
      <c r="B3932" s="104"/>
    </row>
    <row r="3933" spans="1:2" x14ac:dyDescent="0.25">
      <c r="A3933" s="104"/>
      <c r="B3933" s="104"/>
    </row>
    <row r="3934" spans="1:2" x14ac:dyDescent="0.25">
      <c r="A3934" s="104"/>
      <c r="B3934" s="104"/>
    </row>
    <row r="3935" spans="1:2" x14ac:dyDescent="0.25">
      <c r="A3935" s="104"/>
      <c r="B3935" s="104"/>
    </row>
    <row r="3936" spans="1:2" x14ac:dyDescent="0.25">
      <c r="A3936" s="104"/>
      <c r="B3936" s="104"/>
    </row>
    <row r="3937" spans="1:2" x14ac:dyDescent="0.25">
      <c r="A3937" s="104"/>
      <c r="B3937" s="104"/>
    </row>
    <row r="3938" spans="1:2" x14ac:dyDescent="0.25">
      <c r="A3938" s="104"/>
      <c r="B3938" s="104"/>
    </row>
    <row r="3939" spans="1:2" x14ac:dyDescent="0.25">
      <c r="A3939" s="104"/>
      <c r="B3939" s="104"/>
    </row>
    <row r="3940" spans="1:2" x14ac:dyDescent="0.25">
      <c r="A3940" s="104"/>
      <c r="B3940" s="104"/>
    </row>
    <row r="3941" spans="1:2" x14ac:dyDescent="0.25">
      <c r="A3941" s="104"/>
      <c r="B3941" s="104"/>
    </row>
    <row r="3942" spans="1:2" x14ac:dyDescent="0.25">
      <c r="A3942" s="104"/>
      <c r="B3942" s="104"/>
    </row>
    <row r="3943" spans="1:2" x14ac:dyDescent="0.25">
      <c r="A3943" s="104"/>
      <c r="B3943" s="104"/>
    </row>
    <row r="3944" spans="1:2" x14ac:dyDescent="0.25">
      <c r="A3944" s="104"/>
      <c r="B3944" s="104"/>
    </row>
    <row r="3945" spans="1:2" x14ac:dyDescent="0.25">
      <c r="A3945" s="104"/>
      <c r="B3945" s="104"/>
    </row>
    <row r="3946" spans="1:2" x14ac:dyDescent="0.25">
      <c r="A3946" s="104"/>
      <c r="B3946" s="104"/>
    </row>
    <row r="3947" spans="1:2" x14ac:dyDescent="0.25">
      <c r="A3947" s="104"/>
      <c r="B3947" s="104"/>
    </row>
    <row r="3948" spans="1:2" x14ac:dyDescent="0.25">
      <c r="A3948" s="104"/>
      <c r="B3948" s="104"/>
    </row>
    <row r="3949" spans="1:2" x14ac:dyDescent="0.25">
      <c r="A3949" s="104"/>
      <c r="B3949" s="104"/>
    </row>
    <row r="3950" spans="1:2" x14ac:dyDescent="0.25">
      <c r="A3950" s="104"/>
      <c r="B3950" s="104"/>
    </row>
    <row r="3951" spans="1:2" x14ac:dyDescent="0.25">
      <c r="A3951" s="104"/>
      <c r="B3951" s="104"/>
    </row>
    <row r="3952" spans="1:2" x14ac:dyDescent="0.25">
      <c r="A3952" s="104"/>
      <c r="B3952" s="104"/>
    </row>
    <row r="3953" spans="1:2" x14ac:dyDescent="0.25">
      <c r="A3953" s="104"/>
      <c r="B3953" s="104"/>
    </row>
    <row r="3954" spans="1:2" x14ac:dyDescent="0.25">
      <c r="A3954" s="104"/>
      <c r="B3954" s="104"/>
    </row>
    <row r="3955" spans="1:2" x14ac:dyDescent="0.25">
      <c r="A3955" s="104"/>
      <c r="B3955" s="104"/>
    </row>
    <row r="3956" spans="1:2" x14ac:dyDescent="0.25">
      <c r="A3956" s="104"/>
      <c r="B3956" s="104"/>
    </row>
    <row r="3957" spans="1:2" x14ac:dyDescent="0.25">
      <c r="A3957" s="104"/>
      <c r="B3957" s="104"/>
    </row>
    <row r="3958" spans="1:2" x14ac:dyDescent="0.25">
      <c r="A3958" s="104"/>
      <c r="B3958" s="104"/>
    </row>
    <row r="3959" spans="1:2" x14ac:dyDescent="0.25">
      <c r="A3959" s="104"/>
      <c r="B3959" s="104"/>
    </row>
    <row r="3960" spans="1:2" x14ac:dyDescent="0.25">
      <c r="A3960" s="104"/>
      <c r="B3960" s="104"/>
    </row>
    <row r="3961" spans="1:2" x14ac:dyDescent="0.25">
      <c r="A3961" s="104"/>
      <c r="B3961" s="104"/>
    </row>
    <row r="3962" spans="1:2" x14ac:dyDescent="0.25">
      <c r="A3962" s="104"/>
      <c r="B3962" s="104"/>
    </row>
    <row r="3963" spans="1:2" x14ac:dyDescent="0.25">
      <c r="A3963" s="104"/>
      <c r="B3963" s="104"/>
    </row>
    <row r="3964" spans="1:2" x14ac:dyDescent="0.25">
      <c r="A3964" s="104"/>
      <c r="B3964" s="104"/>
    </row>
    <row r="3965" spans="1:2" x14ac:dyDescent="0.25">
      <c r="A3965" s="104"/>
      <c r="B3965" s="104"/>
    </row>
    <row r="3966" spans="1:2" x14ac:dyDescent="0.25">
      <c r="A3966" s="104"/>
      <c r="B3966" s="104"/>
    </row>
    <row r="3967" spans="1:2" x14ac:dyDescent="0.25">
      <c r="A3967" s="104"/>
      <c r="B3967" s="104"/>
    </row>
    <row r="3968" spans="1:2" x14ac:dyDescent="0.25">
      <c r="A3968" s="104"/>
      <c r="B3968" s="104"/>
    </row>
    <row r="3969" spans="1:2" x14ac:dyDescent="0.25">
      <c r="A3969" s="104"/>
      <c r="B3969" s="104"/>
    </row>
    <row r="3970" spans="1:2" x14ac:dyDescent="0.25">
      <c r="A3970" s="104"/>
      <c r="B3970" s="104"/>
    </row>
    <row r="3971" spans="1:2" x14ac:dyDescent="0.25">
      <c r="A3971" s="104"/>
      <c r="B3971" s="104"/>
    </row>
    <row r="3972" spans="1:2" x14ac:dyDescent="0.25">
      <c r="A3972" s="104"/>
      <c r="B3972" s="104"/>
    </row>
    <row r="3973" spans="1:2" x14ac:dyDescent="0.25">
      <c r="A3973" s="104"/>
      <c r="B3973" s="104"/>
    </row>
    <row r="3974" spans="1:2" x14ac:dyDescent="0.25">
      <c r="A3974" s="104"/>
      <c r="B3974" s="104"/>
    </row>
    <row r="3975" spans="1:2" x14ac:dyDescent="0.25">
      <c r="A3975" s="104"/>
      <c r="B3975" s="104"/>
    </row>
    <row r="3976" spans="1:2" x14ac:dyDescent="0.25">
      <c r="A3976" s="104"/>
      <c r="B3976" s="104"/>
    </row>
    <row r="3977" spans="1:2" x14ac:dyDescent="0.25">
      <c r="A3977" s="104"/>
      <c r="B3977" s="104"/>
    </row>
    <row r="3978" spans="1:2" x14ac:dyDescent="0.25">
      <c r="A3978" s="104"/>
      <c r="B3978" s="104"/>
    </row>
    <row r="3979" spans="1:2" x14ac:dyDescent="0.25">
      <c r="A3979" s="104"/>
      <c r="B3979" s="104"/>
    </row>
    <row r="3980" spans="1:2" x14ac:dyDescent="0.25">
      <c r="A3980" s="104"/>
      <c r="B3980" s="104"/>
    </row>
    <row r="3981" spans="1:2" x14ac:dyDescent="0.25">
      <c r="A3981" s="104"/>
      <c r="B3981" s="104"/>
    </row>
    <row r="3982" spans="1:2" x14ac:dyDescent="0.25">
      <c r="A3982" s="104"/>
      <c r="B3982" s="104"/>
    </row>
    <row r="3983" spans="1:2" x14ac:dyDescent="0.25">
      <c r="A3983" s="104"/>
      <c r="B3983" s="104"/>
    </row>
    <row r="3984" spans="1:2" x14ac:dyDescent="0.25">
      <c r="A3984" s="104"/>
      <c r="B3984" s="104"/>
    </row>
    <row r="3985" spans="1:2" x14ac:dyDescent="0.25">
      <c r="A3985" s="104"/>
      <c r="B3985" s="104"/>
    </row>
    <row r="3986" spans="1:2" x14ac:dyDescent="0.25">
      <c r="A3986" s="104"/>
      <c r="B3986" s="104"/>
    </row>
    <row r="3987" spans="1:2" x14ac:dyDescent="0.25">
      <c r="A3987" s="104"/>
      <c r="B3987" s="104"/>
    </row>
    <row r="3988" spans="1:2" x14ac:dyDescent="0.25">
      <c r="A3988" s="104"/>
      <c r="B3988" s="104"/>
    </row>
    <row r="3989" spans="1:2" x14ac:dyDescent="0.25">
      <c r="A3989" s="104"/>
      <c r="B3989" s="104"/>
    </row>
    <row r="3990" spans="1:2" x14ac:dyDescent="0.25">
      <c r="A3990" s="104"/>
      <c r="B3990" s="104"/>
    </row>
    <row r="3991" spans="1:2" x14ac:dyDescent="0.25">
      <c r="A3991" s="104"/>
      <c r="B3991" s="104"/>
    </row>
    <row r="3992" spans="1:2" x14ac:dyDescent="0.25">
      <c r="A3992" s="104"/>
      <c r="B3992" s="104"/>
    </row>
    <row r="3993" spans="1:2" x14ac:dyDescent="0.25">
      <c r="A3993" s="104"/>
      <c r="B3993" s="104"/>
    </row>
    <row r="3994" spans="1:2" x14ac:dyDescent="0.25">
      <c r="A3994" s="104"/>
      <c r="B3994" s="104"/>
    </row>
    <row r="3995" spans="1:2" x14ac:dyDescent="0.25">
      <c r="A3995" s="104"/>
      <c r="B3995" s="104"/>
    </row>
    <row r="3996" spans="1:2" x14ac:dyDescent="0.25">
      <c r="A3996" s="104"/>
      <c r="B3996" s="104"/>
    </row>
    <row r="3997" spans="1:2" x14ac:dyDescent="0.25">
      <c r="A3997" s="104"/>
      <c r="B3997" s="104"/>
    </row>
    <row r="3998" spans="1:2" x14ac:dyDescent="0.25">
      <c r="A3998" s="104"/>
      <c r="B3998" s="104"/>
    </row>
    <row r="3999" spans="1:2" x14ac:dyDescent="0.25">
      <c r="A3999" s="104"/>
      <c r="B3999" s="104"/>
    </row>
    <row r="4000" spans="1:2" x14ac:dyDescent="0.25">
      <c r="A4000" s="104"/>
      <c r="B4000" s="104"/>
    </row>
    <row r="4001" spans="1:2" x14ac:dyDescent="0.25">
      <c r="A4001" s="104"/>
      <c r="B4001" s="104"/>
    </row>
    <row r="4002" spans="1:2" x14ac:dyDescent="0.25">
      <c r="A4002" s="104"/>
      <c r="B4002" s="104"/>
    </row>
    <row r="4003" spans="1:2" x14ac:dyDescent="0.25">
      <c r="A4003" s="104"/>
      <c r="B4003" s="104"/>
    </row>
    <row r="4004" spans="1:2" x14ac:dyDescent="0.25">
      <c r="A4004" s="104"/>
      <c r="B4004" s="104"/>
    </row>
    <row r="4005" spans="1:2" x14ac:dyDescent="0.25">
      <c r="A4005" s="104"/>
      <c r="B4005" s="104"/>
    </row>
    <row r="4006" spans="1:2" x14ac:dyDescent="0.25">
      <c r="A4006" s="104"/>
      <c r="B4006" s="104"/>
    </row>
    <row r="4007" spans="1:2" x14ac:dyDescent="0.25">
      <c r="A4007" s="104"/>
      <c r="B4007" s="104"/>
    </row>
    <row r="4008" spans="1:2" x14ac:dyDescent="0.25">
      <c r="A4008" s="104"/>
      <c r="B4008" s="104"/>
    </row>
    <row r="4009" spans="1:2" x14ac:dyDescent="0.25">
      <c r="A4009" s="104"/>
      <c r="B4009" s="104"/>
    </row>
    <row r="4010" spans="1:2" x14ac:dyDescent="0.25">
      <c r="A4010" s="104"/>
      <c r="B4010" s="104"/>
    </row>
    <row r="4011" spans="1:2" x14ac:dyDescent="0.25">
      <c r="A4011" s="104"/>
      <c r="B4011" s="104"/>
    </row>
    <row r="4012" spans="1:2" x14ac:dyDescent="0.25">
      <c r="A4012" s="104"/>
      <c r="B4012" s="104"/>
    </row>
    <row r="4013" spans="1:2" x14ac:dyDescent="0.25">
      <c r="A4013" s="104"/>
      <c r="B4013" s="104"/>
    </row>
    <row r="4014" spans="1:2" x14ac:dyDescent="0.25">
      <c r="A4014" s="104"/>
      <c r="B4014" s="104"/>
    </row>
    <row r="4015" spans="1:2" x14ac:dyDescent="0.25">
      <c r="A4015" s="104"/>
      <c r="B4015" s="104"/>
    </row>
    <row r="4016" spans="1:2" x14ac:dyDescent="0.25">
      <c r="A4016" s="104"/>
      <c r="B4016" s="104"/>
    </row>
    <row r="4017" spans="1:2" x14ac:dyDescent="0.25">
      <c r="A4017" s="104"/>
      <c r="B4017" s="104"/>
    </row>
    <row r="4018" spans="1:2" x14ac:dyDescent="0.25">
      <c r="A4018" s="104"/>
      <c r="B4018" s="104"/>
    </row>
    <row r="4019" spans="1:2" x14ac:dyDescent="0.25">
      <c r="A4019" s="104"/>
      <c r="B4019" s="104"/>
    </row>
    <row r="4020" spans="1:2" x14ac:dyDescent="0.25">
      <c r="A4020" s="104"/>
      <c r="B4020" s="104"/>
    </row>
    <row r="4021" spans="1:2" x14ac:dyDescent="0.25">
      <c r="A4021" s="104"/>
      <c r="B4021" s="104"/>
    </row>
    <row r="4022" spans="1:2" x14ac:dyDescent="0.25">
      <c r="A4022" s="104"/>
      <c r="B4022" s="104"/>
    </row>
    <row r="4023" spans="1:2" x14ac:dyDescent="0.25">
      <c r="A4023" s="104"/>
      <c r="B4023" s="104"/>
    </row>
    <row r="4024" spans="1:2" x14ac:dyDescent="0.25">
      <c r="A4024" s="104"/>
      <c r="B4024" s="104"/>
    </row>
    <row r="4025" spans="1:2" x14ac:dyDescent="0.25">
      <c r="A4025" s="104"/>
      <c r="B4025" s="104"/>
    </row>
    <row r="4026" spans="1:2" x14ac:dyDescent="0.25">
      <c r="A4026" s="104"/>
      <c r="B4026" s="104"/>
    </row>
    <row r="4027" spans="1:2" x14ac:dyDescent="0.25">
      <c r="A4027" s="104"/>
      <c r="B4027" s="104"/>
    </row>
    <row r="4028" spans="1:2" x14ac:dyDescent="0.25">
      <c r="A4028" s="104"/>
      <c r="B4028" s="104"/>
    </row>
    <row r="4029" spans="1:2" x14ac:dyDescent="0.25">
      <c r="A4029" s="104"/>
      <c r="B4029" s="104"/>
    </row>
    <row r="4030" spans="1:2" x14ac:dyDescent="0.25">
      <c r="A4030" s="104"/>
      <c r="B4030" s="104"/>
    </row>
    <row r="4031" spans="1:2" x14ac:dyDescent="0.25">
      <c r="A4031" s="104"/>
      <c r="B4031" s="104"/>
    </row>
    <row r="4032" spans="1:2" x14ac:dyDescent="0.25">
      <c r="A4032" s="104"/>
      <c r="B4032" s="104"/>
    </row>
    <row r="4033" spans="1:2" x14ac:dyDescent="0.25">
      <c r="A4033" s="104"/>
      <c r="B4033" s="104"/>
    </row>
    <row r="4034" spans="1:2" x14ac:dyDescent="0.25">
      <c r="A4034" s="104"/>
      <c r="B4034" s="104"/>
    </row>
    <row r="4035" spans="1:2" x14ac:dyDescent="0.25">
      <c r="A4035" s="104"/>
      <c r="B4035" s="104"/>
    </row>
    <row r="4036" spans="1:2" x14ac:dyDescent="0.25">
      <c r="A4036" s="104"/>
      <c r="B4036" s="104"/>
    </row>
    <row r="4037" spans="1:2" x14ac:dyDescent="0.25">
      <c r="A4037" s="104"/>
      <c r="B4037" s="104"/>
    </row>
    <row r="4038" spans="1:2" x14ac:dyDescent="0.25">
      <c r="A4038" s="104"/>
      <c r="B4038" s="104"/>
    </row>
    <row r="4039" spans="1:2" x14ac:dyDescent="0.25">
      <c r="A4039" s="104"/>
      <c r="B4039" s="104"/>
    </row>
    <row r="4040" spans="1:2" x14ac:dyDescent="0.25">
      <c r="A4040" s="104"/>
      <c r="B4040" s="104"/>
    </row>
    <row r="4041" spans="1:2" x14ac:dyDescent="0.25">
      <c r="A4041" s="104"/>
      <c r="B4041" s="104"/>
    </row>
    <row r="4042" spans="1:2" x14ac:dyDescent="0.25">
      <c r="A4042" s="104"/>
      <c r="B4042" s="104"/>
    </row>
    <row r="4043" spans="1:2" x14ac:dyDescent="0.25">
      <c r="A4043" s="104"/>
      <c r="B4043" s="104"/>
    </row>
    <row r="4044" spans="1:2" x14ac:dyDescent="0.25">
      <c r="A4044" s="104"/>
      <c r="B4044" s="104"/>
    </row>
    <row r="4045" spans="1:2" x14ac:dyDescent="0.25">
      <c r="A4045" s="104"/>
      <c r="B4045" s="104"/>
    </row>
    <row r="4046" spans="1:2" x14ac:dyDescent="0.25">
      <c r="A4046" s="104"/>
      <c r="B4046" s="104"/>
    </row>
    <row r="4047" spans="1:2" x14ac:dyDescent="0.25">
      <c r="A4047" s="104"/>
      <c r="B4047" s="104"/>
    </row>
    <row r="4048" spans="1:2" x14ac:dyDescent="0.25">
      <c r="A4048" s="104"/>
      <c r="B4048" s="104"/>
    </row>
    <row r="4049" spans="1:2" x14ac:dyDescent="0.25">
      <c r="A4049" s="104"/>
      <c r="B4049" s="104"/>
    </row>
    <row r="4050" spans="1:2" x14ac:dyDescent="0.25">
      <c r="A4050" s="104"/>
      <c r="B4050" s="104"/>
    </row>
    <row r="4051" spans="1:2" x14ac:dyDescent="0.25">
      <c r="A4051" s="104"/>
      <c r="B4051" s="104"/>
    </row>
    <row r="4052" spans="1:2" x14ac:dyDescent="0.25">
      <c r="A4052" s="104"/>
      <c r="B4052" s="104"/>
    </row>
    <row r="4053" spans="1:2" x14ac:dyDescent="0.25">
      <c r="A4053" s="104"/>
      <c r="B4053" s="104"/>
    </row>
    <row r="4054" spans="1:2" x14ac:dyDescent="0.25">
      <c r="A4054" s="104"/>
      <c r="B4054" s="104"/>
    </row>
    <row r="4055" spans="1:2" x14ac:dyDescent="0.25">
      <c r="A4055" s="104"/>
      <c r="B4055" s="104"/>
    </row>
    <row r="4056" spans="1:2" x14ac:dyDescent="0.25">
      <c r="A4056" s="104"/>
      <c r="B4056" s="104"/>
    </row>
    <row r="4057" spans="1:2" x14ac:dyDescent="0.25">
      <c r="A4057" s="104"/>
      <c r="B4057" s="104"/>
    </row>
    <row r="4058" spans="1:2" x14ac:dyDescent="0.25">
      <c r="A4058" s="104"/>
      <c r="B4058" s="104"/>
    </row>
    <row r="4059" spans="1:2" x14ac:dyDescent="0.25">
      <c r="A4059" s="104"/>
      <c r="B4059" s="104"/>
    </row>
    <row r="4060" spans="1:2" x14ac:dyDescent="0.25">
      <c r="A4060" s="104"/>
      <c r="B4060" s="104"/>
    </row>
    <row r="4061" spans="1:2" x14ac:dyDescent="0.25">
      <c r="A4061" s="104"/>
      <c r="B4061" s="104"/>
    </row>
    <row r="4062" spans="1:2" x14ac:dyDescent="0.25">
      <c r="A4062" s="104"/>
      <c r="B4062" s="104"/>
    </row>
    <row r="4063" spans="1:2" x14ac:dyDescent="0.25">
      <c r="A4063" s="104"/>
      <c r="B4063" s="104"/>
    </row>
    <row r="4064" spans="1:2" x14ac:dyDescent="0.25">
      <c r="A4064" s="104"/>
      <c r="B4064" s="104"/>
    </row>
    <row r="4065" spans="1:2" x14ac:dyDescent="0.25">
      <c r="A4065" s="104"/>
      <c r="B4065" s="104"/>
    </row>
    <row r="4066" spans="1:2" x14ac:dyDescent="0.25">
      <c r="A4066" s="104"/>
      <c r="B4066" s="104"/>
    </row>
    <row r="4067" spans="1:2" x14ac:dyDescent="0.25">
      <c r="A4067" s="104"/>
      <c r="B4067" s="104"/>
    </row>
    <row r="4068" spans="1:2" x14ac:dyDescent="0.25">
      <c r="A4068" s="104"/>
      <c r="B4068" s="104"/>
    </row>
    <row r="4069" spans="1:2" x14ac:dyDescent="0.25">
      <c r="A4069" s="104"/>
      <c r="B4069" s="104"/>
    </row>
    <row r="4070" spans="1:2" x14ac:dyDescent="0.25">
      <c r="A4070" s="104"/>
      <c r="B4070" s="104"/>
    </row>
    <row r="4071" spans="1:2" x14ac:dyDescent="0.25">
      <c r="A4071" s="104"/>
      <c r="B4071" s="104"/>
    </row>
    <row r="4072" spans="1:2" x14ac:dyDescent="0.25">
      <c r="A4072" s="104"/>
      <c r="B4072" s="104"/>
    </row>
    <row r="4073" spans="1:2" x14ac:dyDescent="0.25">
      <c r="A4073" s="104"/>
      <c r="B4073" s="104"/>
    </row>
    <row r="4074" spans="1:2" x14ac:dyDescent="0.25">
      <c r="A4074" s="104"/>
      <c r="B4074" s="104"/>
    </row>
    <row r="4075" spans="1:2" x14ac:dyDescent="0.25">
      <c r="A4075" s="104"/>
      <c r="B4075" s="104"/>
    </row>
    <row r="4076" spans="1:2" x14ac:dyDescent="0.25">
      <c r="A4076" s="104"/>
      <c r="B4076" s="104"/>
    </row>
    <row r="4077" spans="1:2" x14ac:dyDescent="0.25">
      <c r="A4077" s="104"/>
      <c r="B4077" s="104"/>
    </row>
    <row r="4078" spans="1:2" x14ac:dyDescent="0.25">
      <c r="A4078" s="104"/>
      <c r="B4078" s="104"/>
    </row>
    <row r="4079" spans="1:2" x14ac:dyDescent="0.25">
      <c r="A4079" s="104"/>
      <c r="B4079" s="104"/>
    </row>
    <row r="4080" spans="1:2" x14ac:dyDescent="0.25">
      <c r="A4080" s="104"/>
      <c r="B4080" s="104"/>
    </row>
    <row r="4081" spans="1:2" x14ac:dyDescent="0.25">
      <c r="A4081" s="104"/>
      <c r="B4081" s="104"/>
    </row>
    <row r="4082" spans="1:2" x14ac:dyDescent="0.25">
      <c r="A4082" s="104"/>
      <c r="B4082" s="104"/>
    </row>
    <row r="4083" spans="1:2" x14ac:dyDescent="0.25">
      <c r="A4083" s="104"/>
      <c r="B4083" s="104"/>
    </row>
    <row r="4084" spans="1:2" x14ac:dyDescent="0.25">
      <c r="A4084" s="104"/>
      <c r="B4084" s="104"/>
    </row>
    <row r="4085" spans="1:2" x14ac:dyDescent="0.25">
      <c r="A4085" s="104"/>
      <c r="B4085" s="104"/>
    </row>
    <row r="4086" spans="1:2" x14ac:dyDescent="0.25">
      <c r="A4086" s="104"/>
      <c r="B4086" s="104"/>
    </row>
    <row r="4087" spans="1:2" x14ac:dyDescent="0.25">
      <c r="A4087" s="104"/>
      <c r="B4087" s="104"/>
    </row>
    <row r="4088" spans="1:2" x14ac:dyDescent="0.25">
      <c r="A4088" s="104"/>
      <c r="B4088" s="104"/>
    </row>
    <row r="4089" spans="1:2" x14ac:dyDescent="0.25">
      <c r="A4089" s="104"/>
      <c r="B4089" s="104"/>
    </row>
    <row r="4090" spans="1:2" x14ac:dyDescent="0.25">
      <c r="A4090" s="104"/>
      <c r="B4090" s="104"/>
    </row>
    <row r="4091" spans="1:2" x14ac:dyDescent="0.25">
      <c r="A4091" s="104"/>
      <c r="B4091" s="104"/>
    </row>
    <row r="4092" spans="1:2" x14ac:dyDescent="0.25">
      <c r="A4092" s="104"/>
      <c r="B4092" s="104"/>
    </row>
    <row r="4093" spans="1:2" x14ac:dyDescent="0.25">
      <c r="A4093" s="104"/>
      <c r="B4093" s="104"/>
    </row>
    <row r="4094" spans="1:2" x14ac:dyDescent="0.25">
      <c r="A4094" s="104"/>
      <c r="B4094" s="104"/>
    </row>
    <row r="4095" spans="1:2" x14ac:dyDescent="0.25">
      <c r="A4095" s="104"/>
      <c r="B4095" s="104"/>
    </row>
    <row r="4096" spans="1:2" x14ac:dyDescent="0.25">
      <c r="A4096" s="104"/>
      <c r="B4096" s="104"/>
    </row>
    <row r="4097" spans="1:2" x14ac:dyDescent="0.25">
      <c r="A4097" s="104"/>
      <c r="B4097" s="104"/>
    </row>
    <row r="4098" spans="1:2" x14ac:dyDescent="0.25">
      <c r="A4098" s="104"/>
      <c r="B4098" s="104"/>
    </row>
    <row r="4099" spans="1:2" x14ac:dyDescent="0.25">
      <c r="A4099" s="104"/>
      <c r="B4099" s="104"/>
    </row>
    <row r="4100" spans="1:2" x14ac:dyDescent="0.25">
      <c r="A4100" s="104"/>
      <c r="B4100" s="104"/>
    </row>
    <row r="4101" spans="1:2" x14ac:dyDescent="0.25">
      <c r="A4101" s="104"/>
      <c r="B4101" s="104"/>
    </row>
    <row r="4102" spans="1:2" x14ac:dyDescent="0.25">
      <c r="A4102" s="104"/>
      <c r="B4102" s="104"/>
    </row>
    <row r="4103" spans="1:2" x14ac:dyDescent="0.25">
      <c r="A4103" s="104"/>
      <c r="B4103" s="104"/>
    </row>
    <row r="4104" spans="1:2" x14ac:dyDescent="0.25">
      <c r="A4104" s="104"/>
      <c r="B4104" s="104"/>
    </row>
    <row r="4105" spans="1:2" x14ac:dyDescent="0.25">
      <c r="A4105" s="104"/>
      <c r="B4105" s="104"/>
    </row>
    <row r="4106" spans="1:2" x14ac:dyDescent="0.25">
      <c r="A4106" s="104"/>
      <c r="B4106" s="104"/>
    </row>
    <row r="4107" spans="1:2" x14ac:dyDescent="0.25">
      <c r="A4107" s="104"/>
      <c r="B4107" s="104"/>
    </row>
    <row r="4108" spans="1:2" x14ac:dyDescent="0.25">
      <c r="A4108" s="104"/>
      <c r="B4108" s="104"/>
    </row>
    <row r="4109" spans="1:2" x14ac:dyDescent="0.25">
      <c r="A4109" s="104"/>
      <c r="B4109" s="104"/>
    </row>
    <row r="4110" spans="1:2" x14ac:dyDescent="0.25">
      <c r="A4110" s="104"/>
      <c r="B4110" s="104"/>
    </row>
    <row r="4111" spans="1:2" x14ac:dyDescent="0.25">
      <c r="A4111" s="104"/>
      <c r="B4111" s="104"/>
    </row>
    <row r="4112" spans="1:2" x14ac:dyDescent="0.25">
      <c r="A4112" s="104"/>
      <c r="B4112" s="104"/>
    </row>
    <row r="4113" spans="1:2" x14ac:dyDescent="0.25">
      <c r="A4113" s="104"/>
      <c r="B4113" s="104"/>
    </row>
    <row r="4114" spans="1:2" x14ac:dyDescent="0.25">
      <c r="A4114" s="104"/>
      <c r="B4114" s="104"/>
    </row>
    <row r="4115" spans="1:2" x14ac:dyDescent="0.25">
      <c r="A4115" s="104"/>
      <c r="B4115" s="104"/>
    </row>
    <row r="4116" spans="1:2" x14ac:dyDescent="0.25">
      <c r="A4116" s="104"/>
      <c r="B4116" s="104"/>
    </row>
    <row r="4117" spans="1:2" x14ac:dyDescent="0.25">
      <c r="A4117" s="104"/>
      <c r="B4117" s="104"/>
    </row>
    <row r="4118" spans="1:2" x14ac:dyDescent="0.25">
      <c r="A4118" s="104"/>
      <c r="B4118" s="104"/>
    </row>
    <row r="4119" spans="1:2" x14ac:dyDescent="0.25">
      <c r="A4119" s="104"/>
      <c r="B4119" s="104"/>
    </row>
    <row r="4120" spans="1:2" x14ac:dyDescent="0.25">
      <c r="A4120" s="104"/>
      <c r="B4120" s="104"/>
    </row>
    <row r="4121" spans="1:2" x14ac:dyDescent="0.25">
      <c r="A4121" s="104"/>
      <c r="B4121" s="104"/>
    </row>
    <row r="4122" spans="1:2" x14ac:dyDescent="0.25">
      <c r="A4122" s="104"/>
      <c r="B4122" s="104"/>
    </row>
    <row r="4123" spans="1:2" x14ac:dyDescent="0.25">
      <c r="A4123" s="104"/>
      <c r="B4123" s="104"/>
    </row>
    <row r="4124" spans="1:2" x14ac:dyDescent="0.25">
      <c r="A4124" s="104"/>
      <c r="B4124" s="104"/>
    </row>
    <row r="4125" spans="1:2" x14ac:dyDescent="0.25">
      <c r="A4125" s="104"/>
      <c r="B4125" s="104"/>
    </row>
    <row r="4126" spans="1:2" x14ac:dyDescent="0.25">
      <c r="A4126" s="104"/>
      <c r="B4126" s="104"/>
    </row>
    <row r="4127" spans="1:2" x14ac:dyDescent="0.25">
      <c r="A4127" s="104"/>
      <c r="B4127" s="104"/>
    </row>
    <row r="4128" spans="1:2" x14ac:dyDescent="0.25">
      <c r="A4128" s="104"/>
      <c r="B4128" s="104"/>
    </row>
    <row r="4129" spans="1:2" x14ac:dyDescent="0.25">
      <c r="A4129" s="104"/>
      <c r="B4129" s="104"/>
    </row>
    <row r="4130" spans="1:2" x14ac:dyDescent="0.25">
      <c r="A4130" s="104"/>
      <c r="B4130" s="104"/>
    </row>
    <row r="4131" spans="1:2" x14ac:dyDescent="0.25">
      <c r="A4131" s="104"/>
      <c r="B4131" s="104"/>
    </row>
    <row r="4132" spans="1:2" x14ac:dyDescent="0.25">
      <c r="A4132" s="104"/>
      <c r="B4132" s="104"/>
    </row>
    <row r="4133" spans="1:2" x14ac:dyDescent="0.25">
      <c r="A4133" s="104"/>
      <c r="B4133" s="104"/>
    </row>
    <row r="4134" spans="1:2" x14ac:dyDescent="0.25">
      <c r="A4134" s="104"/>
      <c r="B4134" s="104"/>
    </row>
    <row r="4135" spans="1:2" x14ac:dyDescent="0.25">
      <c r="A4135" s="104"/>
      <c r="B4135" s="104"/>
    </row>
    <row r="4136" spans="1:2" x14ac:dyDescent="0.25">
      <c r="A4136" s="104"/>
      <c r="B4136" s="104"/>
    </row>
    <row r="4137" spans="1:2" x14ac:dyDescent="0.25">
      <c r="A4137" s="104"/>
      <c r="B4137" s="104"/>
    </row>
    <row r="4138" spans="1:2" x14ac:dyDescent="0.25">
      <c r="A4138" s="104"/>
      <c r="B4138" s="104"/>
    </row>
    <row r="4139" spans="1:2" x14ac:dyDescent="0.25">
      <c r="A4139" s="104"/>
      <c r="B4139" s="104"/>
    </row>
    <row r="4140" spans="1:2" x14ac:dyDescent="0.25">
      <c r="A4140" s="104"/>
      <c r="B4140" s="104"/>
    </row>
    <row r="4141" spans="1:2" x14ac:dyDescent="0.25">
      <c r="A4141" s="104"/>
      <c r="B4141" s="104"/>
    </row>
    <row r="4142" spans="1:2" x14ac:dyDescent="0.25">
      <c r="A4142" s="104"/>
      <c r="B4142" s="104"/>
    </row>
    <row r="4143" spans="1:2" x14ac:dyDescent="0.25">
      <c r="A4143" s="104"/>
      <c r="B4143" s="104"/>
    </row>
    <row r="4144" spans="1:2" x14ac:dyDescent="0.25">
      <c r="A4144" s="104"/>
      <c r="B4144" s="104"/>
    </row>
    <row r="4145" spans="1:2" x14ac:dyDescent="0.25">
      <c r="A4145" s="104"/>
      <c r="B4145" s="104"/>
    </row>
    <row r="4146" spans="1:2" x14ac:dyDescent="0.25">
      <c r="A4146" s="104"/>
      <c r="B4146" s="104"/>
    </row>
    <row r="4147" spans="1:2" x14ac:dyDescent="0.25">
      <c r="A4147" s="104"/>
      <c r="B4147" s="104"/>
    </row>
    <row r="4148" spans="1:2" x14ac:dyDescent="0.25">
      <c r="A4148" s="104"/>
      <c r="B4148" s="104"/>
    </row>
    <row r="4149" spans="1:2" x14ac:dyDescent="0.25">
      <c r="A4149" s="104"/>
      <c r="B4149" s="104"/>
    </row>
    <row r="4150" spans="1:2" x14ac:dyDescent="0.25">
      <c r="A4150" s="104"/>
      <c r="B4150" s="104"/>
    </row>
    <row r="4151" spans="1:2" x14ac:dyDescent="0.25">
      <c r="A4151" s="104"/>
      <c r="B4151" s="104"/>
    </row>
    <row r="4152" spans="1:2" x14ac:dyDescent="0.25">
      <c r="A4152" s="104"/>
      <c r="B4152" s="104"/>
    </row>
    <row r="4153" spans="1:2" x14ac:dyDescent="0.25">
      <c r="A4153" s="104"/>
      <c r="B4153" s="104"/>
    </row>
    <row r="4154" spans="1:2" x14ac:dyDescent="0.25">
      <c r="A4154" s="104"/>
      <c r="B4154" s="104"/>
    </row>
    <row r="4155" spans="1:2" x14ac:dyDescent="0.25">
      <c r="A4155" s="104"/>
      <c r="B4155" s="104"/>
    </row>
    <row r="4156" spans="1:2" x14ac:dyDescent="0.25">
      <c r="A4156" s="104"/>
      <c r="B4156" s="104"/>
    </row>
    <row r="4157" spans="1:2" x14ac:dyDescent="0.25">
      <c r="A4157" s="104"/>
      <c r="B4157" s="104"/>
    </row>
    <row r="4158" spans="1:2" x14ac:dyDescent="0.25">
      <c r="A4158" s="104"/>
      <c r="B4158" s="104"/>
    </row>
    <row r="4159" spans="1:2" x14ac:dyDescent="0.25">
      <c r="A4159" s="104"/>
      <c r="B4159" s="104"/>
    </row>
    <row r="4160" spans="1:2" x14ac:dyDescent="0.25">
      <c r="A4160" s="104"/>
      <c r="B4160" s="104"/>
    </row>
    <row r="4161" spans="1:2" x14ac:dyDescent="0.25">
      <c r="A4161" s="104"/>
      <c r="B4161" s="104"/>
    </row>
    <row r="4162" spans="1:2" x14ac:dyDescent="0.25">
      <c r="A4162" s="104"/>
      <c r="B4162" s="104"/>
    </row>
    <row r="4163" spans="1:2" x14ac:dyDescent="0.25">
      <c r="A4163" s="104"/>
      <c r="B4163" s="104"/>
    </row>
    <row r="4164" spans="1:2" x14ac:dyDescent="0.25">
      <c r="A4164" s="104"/>
      <c r="B4164" s="104"/>
    </row>
    <row r="4165" spans="1:2" x14ac:dyDescent="0.25">
      <c r="A4165" s="104"/>
      <c r="B4165" s="104"/>
    </row>
    <row r="4166" spans="1:2" x14ac:dyDescent="0.25">
      <c r="A4166" s="104"/>
      <c r="B4166" s="104"/>
    </row>
    <row r="4167" spans="1:2" x14ac:dyDescent="0.25">
      <c r="A4167" s="104"/>
      <c r="B4167" s="104"/>
    </row>
    <row r="4168" spans="1:2" x14ac:dyDescent="0.25">
      <c r="A4168" s="104"/>
      <c r="B4168" s="104"/>
    </row>
    <row r="4169" spans="1:2" x14ac:dyDescent="0.25">
      <c r="A4169" s="104"/>
      <c r="B4169" s="104"/>
    </row>
    <row r="4170" spans="1:2" x14ac:dyDescent="0.25">
      <c r="A4170" s="104"/>
      <c r="B4170" s="104"/>
    </row>
    <row r="4171" spans="1:2" x14ac:dyDescent="0.25">
      <c r="A4171" s="104"/>
      <c r="B4171" s="104"/>
    </row>
    <row r="4172" spans="1:2" x14ac:dyDescent="0.25">
      <c r="A4172" s="104"/>
      <c r="B4172" s="104"/>
    </row>
    <row r="4173" spans="1:2" x14ac:dyDescent="0.25">
      <c r="A4173" s="104"/>
      <c r="B4173" s="104"/>
    </row>
    <row r="4174" spans="1:2" x14ac:dyDescent="0.25">
      <c r="A4174" s="104"/>
      <c r="B4174" s="104"/>
    </row>
    <row r="4175" spans="1:2" x14ac:dyDescent="0.25">
      <c r="A4175" s="104"/>
      <c r="B4175" s="104"/>
    </row>
    <row r="4176" spans="1:2" x14ac:dyDescent="0.25">
      <c r="A4176" s="104"/>
      <c r="B4176" s="104"/>
    </row>
    <row r="4177" spans="1:2" x14ac:dyDescent="0.25">
      <c r="A4177" s="104"/>
      <c r="B4177" s="104"/>
    </row>
    <row r="4178" spans="1:2" x14ac:dyDescent="0.25">
      <c r="A4178" s="104"/>
      <c r="B4178" s="104"/>
    </row>
    <row r="4179" spans="1:2" x14ac:dyDescent="0.25">
      <c r="A4179" s="104"/>
      <c r="B4179" s="104"/>
    </row>
    <row r="4180" spans="1:2" x14ac:dyDescent="0.25">
      <c r="A4180" s="104"/>
      <c r="B4180" s="104"/>
    </row>
    <row r="4181" spans="1:2" x14ac:dyDescent="0.25">
      <c r="A4181" s="104"/>
      <c r="B4181" s="104"/>
    </row>
    <row r="4182" spans="1:2" x14ac:dyDescent="0.25">
      <c r="A4182" s="104"/>
      <c r="B4182" s="104"/>
    </row>
    <row r="4183" spans="1:2" x14ac:dyDescent="0.25">
      <c r="A4183" s="104"/>
      <c r="B4183" s="104"/>
    </row>
    <row r="4184" spans="1:2" x14ac:dyDescent="0.25">
      <c r="A4184" s="104"/>
      <c r="B4184" s="104"/>
    </row>
    <row r="4185" spans="1:2" x14ac:dyDescent="0.25">
      <c r="A4185" s="104"/>
      <c r="B4185" s="104"/>
    </row>
    <row r="4186" spans="1:2" x14ac:dyDescent="0.25">
      <c r="A4186" s="104"/>
      <c r="B4186" s="104"/>
    </row>
    <row r="4187" spans="1:2" x14ac:dyDescent="0.25">
      <c r="A4187" s="104"/>
      <c r="B4187" s="104"/>
    </row>
    <row r="4188" spans="1:2" x14ac:dyDescent="0.25">
      <c r="A4188" s="104"/>
      <c r="B4188" s="104"/>
    </row>
    <row r="4189" spans="1:2" x14ac:dyDescent="0.25">
      <c r="A4189" s="104"/>
      <c r="B4189" s="104"/>
    </row>
    <row r="4190" spans="1:2" x14ac:dyDescent="0.25">
      <c r="A4190" s="104"/>
      <c r="B4190" s="104"/>
    </row>
    <row r="4191" spans="1:2" x14ac:dyDescent="0.25">
      <c r="A4191" s="104"/>
      <c r="B4191" s="104"/>
    </row>
    <row r="4192" spans="1:2" x14ac:dyDescent="0.25">
      <c r="A4192" s="104"/>
      <c r="B4192" s="104"/>
    </row>
    <row r="4193" spans="1:2" x14ac:dyDescent="0.25">
      <c r="A4193" s="104"/>
      <c r="B4193" s="104"/>
    </row>
    <row r="4194" spans="1:2" x14ac:dyDescent="0.25">
      <c r="A4194" s="104"/>
      <c r="B4194" s="104"/>
    </row>
    <row r="4195" spans="1:2" x14ac:dyDescent="0.25">
      <c r="A4195" s="104"/>
      <c r="B4195" s="104"/>
    </row>
    <row r="4196" spans="1:2" x14ac:dyDescent="0.25">
      <c r="A4196" s="104"/>
      <c r="B4196" s="104"/>
    </row>
    <row r="4197" spans="1:2" x14ac:dyDescent="0.25">
      <c r="A4197" s="104"/>
      <c r="B4197" s="104"/>
    </row>
    <row r="4198" spans="1:2" x14ac:dyDescent="0.25">
      <c r="A4198" s="104"/>
      <c r="B4198" s="104"/>
    </row>
    <row r="4199" spans="1:2" x14ac:dyDescent="0.25">
      <c r="A4199" s="104"/>
      <c r="B4199" s="104"/>
    </row>
    <row r="4200" spans="1:2" x14ac:dyDescent="0.25">
      <c r="A4200" s="104"/>
      <c r="B4200" s="104"/>
    </row>
    <row r="4201" spans="1:2" x14ac:dyDescent="0.25">
      <c r="A4201" s="104"/>
      <c r="B4201" s="104"/>
    </row>
    <row r="4202" spans="1:2" x14ac:dyDescent="0.25">
      <c r="A4202" s="104"/>
      <c r="B4202" s="104"/>
    </row>
    <row r="4203" spans="1:2" x14ac:dyDescent="0.25">
      <c r="A4203" s="104"/>
      <c r="B4203" s="104"/>
    </row>
    <row r="4204" spans="1:2" x14ac:dyDescent="0.25">
      <c r="A4204" s="104"/>
      <c r="B4204" s="104"/>
    </row>
    <row r="4205" spans="1:2" x14ac:dyDescent="0.25">
      <c r="A4205" s="104"/>
      <c r="B4205" s="104"/>
    </row>
    <row r="4206" spans="1:2" x14ac:dyDescent="0.25">
      <c r="A4206" s="104"/>
      <c r="B4206" s="104"/>
    </row>
    <row r="4207" spans="1:2" x14ac:dyDescent="0.25">
      <c r="A4207" s="104"/>
      <c r="B4207" s="104"/>
    </row>
    <row r="4208" spans="1:2" x14ac:dyDescent="0.25">
      <c r="A4208" s="104"/>
      <c r="B4208" s="104"/>
    </row>
    <row r="4209" spans="1:2" x14ac:dyDescent="0.25">
      <c r="A4209" s="104"/>
      <c r="B4209" s="104"/>
    </row>
    <row r="4210" spans="1:2" x14ac:dyDescent="0.25">
      <c r="A4210" s="104"/>
      <c r="B4210" s="104"/>
    </row>
    <row r="4211" spans="1:2" x14ac:dyDescent="0.25">
      <c r="A4211" s="104"/>
      <c r="B4211" s="104"/>
    </row>
    <row r="4212" spans="1:2" x14ac:dyDescent="0.25">
      <c r="A4212" s="104"/>
      <c r="B4212" s="104"/>
    </row>
    <row r="4213" spans="1:2" x14ac:dyDescent="0.25">
      <c r="A4213" s="104"/>
      <c r="B4213" s="104"/>
    </row>
    <row r="4214" spans="1:2" x14ac:dyDescent="0.25">
      <c r="A4214" s="104"/>
      <c r="B4214" s="104"/>
    </row>
    <row r="4215" spans="1:2" x14ac:dyDescent="0.25">
      <c r="A4215" s="104"/>
      <c r="B4215" s="104"/>
    </row>
    <row r="4216" spans="1:2" x14ac:dyDescent="0.25">
      <c r="A4216" s="104"/>
      <c r="B4216" s="104"/>
    </row>
    <row r="4217" spans="1:2" x14ac:dyDescent="0.25">
      <c r="A4217" s="104"/>
      <c r="B4217" s="104"/>
    </row>
    <row r="4218" spans="1:2" x14ac:dyDescent="0.25">
      <c r="A4218" s="104"/>
      <c r="B4218" s="104"/>
    </row>
    <row r="4219" spans="1:2" x14ac:dyDescent="0.25">
      <c r="A4219" s="104"/>
      <c r="B4219" s="104"/>
    </row>
    <row r="4220" spans="1:2" x14ac:dyDescent="0.25">
      <c r="A4220" s="104"/>
      <c r="B4220" s="104"/>
    </row>
    <row r="4221" spans="1:2" x14ac:dyDescent="0.25">
      <c r="A4221" s="104"/>
      <c r="B4221" s="104"/>
    </row>
    <row r="4222" spans="1:2" x14ac:dyDescent="0.25">
      <c r="A4222" s="104"/>
      <c r="B4222" s="104"/>
    </row>
    <row r="4223" spans="1:2" x14ac:dyDescent="0.25">
      <c r="A4223" s="104"/>
      <c r="B4223" s="104"/>
    </row>
    <row r="4224" spans="1:2" x14ac:dyDescent="0.25">
      <c r="A4224" s="104"/>
      <c r="B4224" s="104"/>
    </row>
    <row r="4225" spans="1:2" x14ac:dyDescent="0.25">
      <c r="A4225" s="104"/>
      <c r="B4225" s="104"/>
    </row>
    <row r="4226" spans="1:2" x14ac:dyDescent="0.25">
      <c r="A4226" s="104"/>
      <c r="B4226" s="104"/>
    </row>
    <row r="4227" spans="1:2" x14ac:dyDescent="0.25">
      <c r="A4227" s="104"/>
      <c r="B4227" s="104"/>
    </row>
    <row r="4228" spans="1:2" x14ac:dyDescent="0.25">
      <c r="A4228" s="104"/>
      <c r="B4228" s="104"/>
    </row>
    <row r="4229" spans="1:2" x14ac:dyDescent="0.25">
      <c r="A4229" s="104"/>
      <c r="B4229" s="104"/>
    </row>
    <row r="4230" spans="1:2" x14ac:dyDescent="0.25">
      <c r="A4230" s="104"/>
      <c r="B4230" s="104"/>
    </row>
    <row r="4231" spans="1:2" x14ac:dyDescent="0.25">
      <c r="A4231" s="104"/>
      <c r="B4231" s="104"/>
    </row>
    <row r="4232" spans="1:2" x14ac:dyDescent="0.25">
      <c r="A4232" s="104"/>
      <c r="B4232" s="104"/>
    </row>
    <row r="4233" spans="1:2" x14ac:dyDescent="0.25">
      <c r="A4233" s="104"/>
      <c r="B4233" s="104"/>
    </row>
    <row r="4234" spans="1:2" x14ac:dyDescent="0.25">
      <c r="A4234" s="104"/>
      <c r="B4234" s="104"/>
    </row>
    <row r="4235" spans="1:2" x14ac:dyDescent="0.25">
      <c r="A4235" s="104"/>
      <c r="B4235" s="104"/>
    </row>
    <row r="4236" spans="1:2" x14ac:dyDescent="0.25">
      <c r="A4236" s="104"/>
      <c r="B4236" s="104"/>
    </row>
    <row r="4237" spans="1:2" x14ac:dyDescent="0.25">
      <c r="A4237" s="104"/>
      <c r="B4237" s="104"/>
    </row>
    <row r="4238" spans="1:2" x14ac:dyDescent="0.25">
      <c r="A4238" s="104"/>
      <c r="B4238" s="104"/>
    </row>
    <row r="4239" spans="1:2" x14ac:dyDescent="0.25">
      <c r="A4239" s="104"/>
      <c r="B4239" s="104"/>
    </row>
    <row r="4240" spans="1:2" x14ac:dyDescent="0.25">
      <c r="A4240" s="104"/>
      <c r="B4240" s="104"/>
    </row>
    <row r="4241" spans="1:2" x14ac:dyDescent="0.25">
      <c r="A4241" s="104"/>
      <c r="B4241" s="104"/>
    </row>
    <row r="4242" spans="1:2" x14ac:dyDescent="0.25">
      <c r="A4242" s="104"/>
      <c r="B4242" s="104"/>
    </row>
    <row r="4243" spans="1:2" x14ac:dyDescent="0.25">
      <c r="A4243" s="104"/>
      <c r="B4243" s="104"/>
    </row>
    <row r="4244" spans="1:2" x14ac:dyDescent="0.25">
      <c r="A4244" s="104"/>
      <c r="B4244" s="104"/>
    </row>
    <row r="4245" spans="1:2" x14ac:dyDescent="0.25">
      <c r="A4245" s="104"/>
      <c r="B4245" s="104"/>
    </row>
    <row r="4246" spans="1:2" x14ac:dyDescent="0.25">
      <c r="A4246" s="104"/>
      <c r="B4246" s="104"/>
    </row>
    <row r="4247" spans="1:2" x14ac:dyDescent="0.25">
      <c r="A4247" s="104"/>
      <c r="B4247" s="104"/>
    </row>
    <row r="4248" spans="1:2" x14ac:dyDescent="0.25">
      <c r="A4248" s="104"/>
      <c r="B4248" s="104"/>
    </row>
    <row r="4249" spans="1:2" x14ac:dyDescent="0.25">
      <c r="A4249" s="104"/>
      <c r="B4249" s="104"/>
    </row>
    <row r="4250" spans="1:2" x14ac:dyDescent="0.25">
      <c r="A4250" s="104"/>
      <c r="B4250" s="104"/>
    </row>
    <row r="4251" spans="1:2" x14ac:dyDescent="0.25">
      <c r="A4251" s="104"/>
      <c r="B4251" s="104"/>
    </row>
    <row r="4252" spans="1:2" x14ac:dyDescent="0.25">
      <c r="A4252" s="104"/>
      <c r="B4252" s="104"/>
    </row>
    <row r="4253" spans="1:2" x14ac:dyDescent="0.25">
      <c r="A4253" s="104"/>
      <c r="B4253" s="104"/>
    </row>
    <row r="4254" spans="1:2" x14ac:dyDescent="0.25">
      <c r="A4254" s="104"/>
      <c r="B4254" s="104"/>
    </row>
    <row r="4255" spans="1:2" x14ac:dyDescent="0.25">
      <c r="A4255" s="104"/>
      <c r="B4255" s="104"/>
    </row>
    <row r="4256" spans="1:2" x14ac:dyDescent="0.25">
      <c r="A4256" s="104"/>
      <c r="B4256" s="104"/>
    </row>
    <row r="4257" spans="1:2" x14ac:dyDescent="0.25">
      <c r="A4257" s="104"/>
      <c r="B4257" s="104"/>
    </row>
    <row r="4258" spans="1:2" x14ac:dyDescent="0.25">
      <c r="A4258" s="104"/>
      <c r="B4258" s="104"/>
    </row>
    <row r="4259" spans="1:2" x14ac:dyDescent="0.25">
      <c r="A4259" s="104"/>
      <c r="B4259" s="104"/>
    </row>
    <row r="4260" spans="1:2" x14ac:dyDescent="0.25">
      <c r="A4260" s="104"/>
      <c r="B4260" s="104"/>
    </row>
    <row r="4261" spans="1:2" x14ac:dyDescent="0.25">
      <c r="A4261" s="104"/>
      <c r="B4261" s="104"/>
    </row>
    <row r="4262" spans="1:2" x14ac:dyDescent="0.25">
      <c r="A4262" s="104"/>
      <c r="B4262" s="104"/>
    </row>
    <row r="4263" spans="1:2" x14ac:dyDescent="0.25">
      <c r="A4263" s="104"/>
      <c r="B4263" s="104"/>
    </row>
    <row r="4264" spans="1:2" x14ac:dyDescent="0.25">
      <c r="A4264" s="104"/>
      <c r="B4264" s="104"/>
    </row>
    <row r="4265" spans="1:2" x14ac:dyDescent="0.25">
      <c r="A4265" s="104"/>
      <c r="B4265" s="104"/>
    </row>
    <row r="4266" spans="1:2" x14ac:dyDescent="0.25">
      <c r="A4266" s="104"/>
      <c r="B4266" s="104"/>
    </row>
    <row r="4267" spans="1:2" x14ac:dyDescent="0.25">
      <c r="A4267" s="104"/>
      <c r="B4267" s="104"/>
    </row>
    <row r="4268" spans="1:2" x14ac:dyDescent="0.25">
      <c r="A4268" s="104"/>
      <c r="B4268" s="104"/>
    </row>
    <row r="4269" spans="1:2" x14ac:dyDescent="0.25">
      <c r="A4269" s="104"/>
      <c r="B4269" s="104"/>
    </row>
    <row r="4270" spans="1:2" x14ac:dyDescent="0.25">
      <c r="A4270" s="104"/>
      <c r="B4270" s="104"/>
    </row>
    <row r="4271" spans="1:2" x14ac:dyDescent="0.25">
      <c r="A4271" s="104"/>
      <c r="B4271" s="104"/>
    </row>
    <row r="4272" spans="1:2" x14ac:dyDescent="0.25">
      <c r="A4272" s="104"/>
      <c r="B4272" s="104"/>
    </row>
    <row r="4273" spans="1:2" x14ac:dyDescent="0.25">
      <c r="A4273" s="104"/>
      <c r="B4273" s="104"/>
    </row>
    <row r="4274" spans="1:2" x14ac:dyDescent="0.25">
      <c r="A4274" s="104"/>
      <c r="B4274" s="104"/>
    </row>
    <row r="4275" spans="1:2" x14ac:dyDescent="0.25">
      <c r="A4275" s="104"/>
      <c r="B4275" s="104"/>
    </row>
    <row r="4276" spans="1:2" x14ac:dyDescent="0.25">
      <c r="A4276" s="104"/>
      <c r="B4276" s="104"/>
    </row>
    <row r="4277" spans="1:2" x14ac:dyDescent="0.25">
      <c r="A4277" s="104"/>
      <c r="B4277" s="104"/>
    </row>
    <row r="4278" spans="1:2" x14ac:dyDescent="0.25">
      <c r="A4278" s="104"/>
      <c r="B4278" s="104"/>
    </row>
    <row r="4279" spans="1:2" x14ac:dyDescent="0.25">
      <c r="A4279" s="104"/>
      <c r="B4279" s="104"/>
    </row>
    <row r="4280" spans="1:2" x14ac:dyDescent="0.25">
      <c r="A4280" s="104"/>
      <c r="B4280" s="104"/>
    </row>
    <row r="4281" spans="1:2" x14ac:dyDescent="0.25">
      <c r="A4281" s="104"/>
      <c r="B4281" s="104"/>
    </row>
    <row r="4282" spans="1:2" x14ac:dyDescent="0.25">
      <c r="A4282" s="104"/>
      <c r="B4282" s="104"/>
    </row>
    <row r="4283" spans="1:2" x14ac:dyDescent="0.25">
      <c r="A4283" s="104"/>
      <c r="B4283" s="104"/>
    </row>
    <row r="4284" spans="1:2" x14ac:dyDescent="0.25">
      <c r="A4284" s="104"/>
      <c r="B4284" s="104"/>
    </row>
    <row r="4285" spans="1:2" x14ac:dyDescent="0.25">
      <c r="A4285" s="104"/>
      <c r="B4285" s="104"/>
    </row>
    <row r="4286" spans="1:2" x14ac:dyDescent="0.25">
      <c r="A4286" s="104"/>
      <c r="B4286" s="104"/>
    </row>
    <row r="4287" spans="1:2" x14ac:dyDescent="0.25">
      <c r="A4287" s="104"/>
      <c r="B4287" s="104"/>
    </row>
    <row r="4288" spans="1:2" x14ac:dyDescent="0.25">
      <c r="A4288" s="104"/>
      <c r="B4288" s="104"/>
    </row>
    <row r="4289" spans="1:2" x14ac:dyDescent="0.25">
      <c r="A4289" s="104"/>
      <c r="B4289" s="104"/>
    </row>
    <row r="4290" spans="1:2" x14ac:dyDescent="0.25">
      <c r="A4290" s="104"/>
      <c r="B4290" s="104"/>
    </row>
    <row r="4291" spans="1:2" x14ac:dyDescent="0.25">
      <c r="A4291" s="104"/>
      <c r="B4291" s="104"/>
    </row>
    <row r="4292" spans="1:2" x14ac:dyDescent="0.25">
      <c r="A4292" s="104"/>
      <c r="B4292" s="104"/>
    </row>
    <row r="4293" spans="1:2" x14ac:dyDescent="0.25">
      <c r="A4293" s="104"/>
      <c r="B4293" s="104"/>
    </row>
    <row r="4294" spans="1:2" x14ac:dyDescent="0.25">
      <c r="A4294" s="104"/>
      <c r="B4294" s="104"/>
    </row>
    <row r="4295" spans="1:2" x14ac:dyDescent="0.25">
      <c r="A4295" s="104"/>
      <c r="B4295" s="104"/>
    </row>
    <row r="4296" spans="1:2" x14ac:dyDescent="0.25">
      <c r="A4296" s="104"/>
      <c r="B4296" s="104"/>
    </row>
    <row r="4297" spans="1:2" x14ac:dyDescent="0.25">
      <c r="A4297" s="104"/>
      <c r="B4297" s="104"/>
    </row>
    <row r="4298" spans="1:2" x14ac:dyDescent="0.25">
      <c r="A4298" s="104"/>
      <c r="B4298" s="104"/>
    </row>
    <row r="4299" spans="1:2" x14ac:dyDescent="0.25">
      <c r="A4299" s="104"/>
      <c r="B4299" s="104"/>
    </row>
    <row r="4300" spans="1:2" x14ac:dyDescent="0.25">
      <c r="A4300" s="104"/>
      <c r="B4300" s="104"/>
    </row>
    <row r="4301" spans="1:2" x14ac:dyDescent="0.25">
      <c r="A4301" s="104"/>
      <c r="B4301" s="104"/>
    </row>
    <row r="4302" spans="1:2" x14ac:dyDescent="0.25">
      <c r="A4302" s="104"/>
      <c r="B4302" s="104"/>
    </row>
    <row r="4303" spans="1:2" x14ac:dyDescent="0.25">
      <c r="A4303" s="104"/>
      <c r="B4303" s="104"/>
    </row>
    <row r="4304" spans="1:2" x14ac:dyDescent="0.25">
      <c r="A4304" s="104"/>
      <c r="B4304" s="104"/>
    </row>
    <row r="4305" spans="1:2" x14ac:dyDescent="0.25">
      <c r="A4305" s="104"/>
      <c r="B4305" s="104"/>
    </row>
    <row r="4306" spans="1:2" x14ac:dyDescent="0.25">
      <c r="A4306" s="104"/>
      <c r="B4306" s="104"/>
    </row>
    <row r="4307" spans="1:2" x14ac:dyDescent="0.25">
      <c r="A4307" s="104"/>
      <c r="B4307" s="104"/>
    </row>
    <row r="4308" spans="1:2" x14ac:dyDescent="0.25">
      <c r="A4308" s="104"/>
      <c r="B4308" s="104"/>
    </row>
    <row r="4309" spans="1:2" x14ac:dyDescent="0.25">
      <c r="A4309" s="104"/>
      <c r="B4309" s="104"/>
    </row>
    <row r="4310" spans="1:2" x14ac:dyDescent="0.25">
      <c r="A4310" s="104"/>
      <c r="B4310" s="104"/>
    </row>
    <row r="4311" spans="1:2" x14ac:dyDescent="0.25">
      <c r="A4311" s="104"/>
      <c r="B4311" s="104"/>
    </row>
    <row r="4312" spans="1:2" x14ac:dyDescent="0.25">
      <c r="A4312" s="104"/>
      <c r="B4312" s="104"/>
    </row>
    <row r="4313" spans="1:2" x14ac:dyDescent="0.25">
      <c r="A4313" s="104"/>
      <c r="B4313" s="104"/>
    </row>
    <row r="4314" spans="1:2" x14ac:dyDescent="0.25">
      <c r="A4314" s="104"/>
      <c r="B4314" s="104"/>
    </row>
    <row r="4315" spans="1:2" x14ac:dyDescent="0.25">
      <c r="A4315" s="104"/>
      <c r="B4315" s="104"/>
    </row>
    <row r="4316" spans="1:2" x14ac:dyDescent="0.25">
      <c r="A4316" s="104"/>
      <c r="B4316" s="104"/>
    </row>
    <row r="4317" spans="1:2" x14ac:dyDescent="0.25">
      <c r="A4317" s="104"/>
      <c r="B4317" s="104"/>
    </row>
    <row r="4318" spans="1:2" x14ac:dyDescent="0.25">
      <c r="A4318" s="104"/>
      <c r="B4318" s="104"/>
    </row>
    <row r="4319" spans="1:2" x14ac:dyDescent="0.25">
      <c r="A4319" s="104"/>
      <c r="B4319" s="104"/>
    </row>
    <row r="4320" spans="1:2" x14ac:dyDescent="0.25">
      <c r="A4320" s="104"/>
      <c r="B4320" s="104"/>
    </row>
    <row r="4321" spans="1:2" x14ac:dyDescent="0.25">
      <c r="A4321" s="104"/>
      <c r="B4321" s="104"/>
    </row>
    <row r="4322" spans="1:2" x14ac:dyDescent="0.25">
      <c r="A4322" s="104"/>
      <c r="B4322" s="104"/>
    </row>
    <row r="4323" spans="1:2" x14ac:dyDescent="0.25">
      <c r="A4323" s="104"/>
      <c r="B4323" s="104"/>
    </row>
    <row r="4324" spans="1:2" x14ac:dyDescent="0.25">
      <c r="A4324" s="104"/>
      <c r="B4324" s="104"/>
    </row>
    <row r="4325" spans="1:2" x14ac:dyDescent="0.25">
      <c r="A4325" s="104"/>
      <c r="B4325" s="104"/>
    </row>
    <row r="4326" spans="1:2" x14ac:dyDescent="0.25">
      <c r="A4326" s="104"/>
      <c r="B4326" s="104"/>
    </row>
    <row r="4327" spans="1:2" x14ac:dyDescent="0.25">
      <c r="A4327" s="104"/>
      <c r="B4327" s="104"/>
    </row>
    <row r="4328" spans="1:2" x14ac:dyDescent="0.25">
      <c r="A4328" s="104"/>
      <c r="B4328" s="104"/>
    </row>
    <row r="4329" spans="1:2" x14ac:dyDescent="0.25">
      <c r="A4329" s="104"/>
      <c r="B4329" s="104"/>
    </row>
    <row r="4330" spans="1:2" x14ac:dyDescent="0.25">
      <c r="A4330" s="104"/>
      <c r="B4330" s="104"/>
    </row>
    <row r="4331" spans="1:2" x14ac:dyDescent="0.25">
      <c r="A4331" s="104"/>
      <c r="B4331" s="104"/>
    </row>
    <row r="4332" spans="1:2" x14ac:dyDescent="0.25">
      <c r="A4332" s="104"/>
      <c r="B4332" s="104"/>
    </row>
    <row r="4333" spans="1:2" x14ac:dyDescent="0.25">
      <c r="A4333" s="104"/>
      <c r="B4333" s="104"/>
    </row>
    <row r="4334" spans="1:2" x14ac:dyDescent="0.25">
      <c r="A4334" s="104"/>
      <c r="B4334" s="104"/>
    </row>
    <row r="4335" spans="1:2" x14ac:dyDescent="0.25">
      <c r="A4335" s="104"/>
      <c r="B4335" s="104"/>
    </row>
    <row r="4336" spans="1:2" x14ac:dyDescent="0.25">
      <c r="A4336" s="104"/>
      <c r="B4336" s="104"/>
    </row>
    <row r="4337" spans="1:2" x14ac:dyDescent="0.25">
      <c r="A4337" s="104"/>
      <c r="B4337" s="104"/>
    </row>
    <row r="4338" spans="1:2" x14ac:dyDescent="0.25">
      <c r="A4338" s="104"/>
      <c r="B4338" s="104"/>
    </row>
    <row r="4339" spans="1:2" x14ac:dyDescent="0.25">
      <c r="A4339" s="104"/>
      <c r="B4339" s="104"/>
    </row>
    <row r="4340" spans="1:2" x14ac:dyDescent="0.25">
      <c r="A4340" s="104"/>
      <c r="B4340" s="104"/>
    </row>
    <row r="4341" spans="1:2" x14ac:dyDescent="0.25">
      <c r="A4341" s="104"/>
      <c r="B4341" s="104"/>
    </row>
    <row r="4342" spans="1:2" x14ac:dyDescent="0.25">
      <c r="A4342" s="104"/>
      <c r="B4342" s="104"/>
    </row>
    <row r="4343" spans="1:2" x14ac:dyDescent="0.25">
      <c r="A4343" s="104"/>
      <c r="B4343" s="104"/>
    </row>
    <row r="4344" spans="1:2" x14ac:dyDescent="0.25">
      <c r="A4344" s="104"/>
      <c r="B4344" s="104"/>
    </row>
    <row r="4345" spans="1:2" x14ac:dyDescent="0.25">
      <c r="A4345" s="104"/>
      <c r="B4345" s="104"/>
    </row>
    <row r="4346" spans="1:2" x14ac:dyDescent="0.25">
      <c r="A4346" s="104"/>
      <c r="B4346" s="104"/>
    </row>
    <row r="4347" spans="1:2" x14ac:dyDescent="0.25">
      <c r="A4347" s="104"/>
      <c r="B4347" s="104"/>
    </row>
    <row r="4348" spans="1:2" x14ac:dyDescent="0.25">
      <c r="A4348" s="104"/>
      <c r="B4348" s="104"/>
    </row>
    <row r="4349" spans="1:2" x14ac:dyDescent="0.25">
      <c r="A4349" s="104"/>
      <c r="B4349" s="104"/>
    </row>
    <row r="4350" spans="1:2" x14ac:dyDescent="0.25">
      <c r="A4350" s="104"/>
      <c r="B4350" s="104"/>
    </row>
    <row r="4351" spans="1:2" x14ac:dyDescent="0.25">
      <c r="A4351" s="104"/>
      <c r="B4351" s="104"/>
    </row>
    <row r="4352" spans="1:2" x14ac:dyDescent="0.25">
      <c r="A4352" s="104"/>
      <c r="B4352" s="104"/>
    </row>
    <row r="4353" spans="1:2" x14ac:dyDescent="0.25">
      <c r="A4353" s="104"/>
      <c r="B4353" s="104"/>
    </row>
    <row r="4354" spans="1:2" x14ac:dyDescent="0.25">
      <c r="A4354" s="104"/>
      <c r="B4354" s="104"/>
    </row>
    <row r="4355" spans="1:2" x14ac:dyDescent="0.25">
      <c r="A4355" s="104"/>
      <c r="B4355" s="104"/>
    </row>
    <row r="4356" spans="1:2" x14ac:dyDescent="0.25">
      <c r="A4356" s="104"/>
      <c r="B4356" s="104"/>
    </row>
    <row r="4357" spans="1:2" x14ac:dyDescent="0.25">
      <c r="A4357" s="104"/>
      <c r="B4357" s="104"/>
    </row>
    <row r="4358" spans="1:2" x14ac:dyDescent="0.25">
      <c r="A4358" s="104"/>
      <c r="B4358" s="104"/>
    </row>
    <row r="4359" spans="1:2" x14ac:dyDescent="0.25">
      <c r="A4359" s="104"/>
      <c r="B4359" s="104"/>
    </row>
    <row r="4360" spans="1:2" x14ac:dyDescent="0.25">
      <c r="A4360" s="104"/>
      <c r="B4360" s="104"/>
    </row>
    <row r="4361" spans="1:2" x14ac:dyDescent="0.25">
      <c r="A4361" s="104"/>
      <c r="B4361" s="104"/>
    </row>
    <row r="4362" spans="1:2" x14ac:dyDescent="0.25">
      <c r="A4362" s="104"/>
      <c r="B4362" s="104"/>
    </row>
    <row r="4363" spans="1:2" x14ac:dyDescent="0.25">
      <c r="A4363" s="104"/>
      <c r="B4363" s="104"/>
    </row>
    <row r="4364" spans="1:2" x14ac:dyDescent="0.25">
      <c r="A4364" s="104"/>
      <c r="B4364" s="104"/>
    </row>
    <row r="4365" spans="1:2" x14ac:dyDescent="0.25">
      <c r="A4365" s="104"/>
      <c r="B4365" s="104"/>
    </row>
    <row r="4366" spans="1:2" x14ac:dyDescent="0.25">
      <c r="A4366" s="104"/>
      <c r="B4366" s="104"/>
    </row>
    <row r="4367" spans="1:2" x14ac:dyDescent="0.25">
      <c r="A4367" s="104"/>
      <c r="B4367" s="104"/>
    </row>
    <row r="4368" spans="1:2" x14ac:dyDescent="0.25">
      <c r="A4368" s="104"/>
      <c r="B4368" s="104"/>
    </row>
    <row r="4369" spans="1:2" x14ac:dyDescent="0.25">
      <c r="A4369" s="104"/>
      <c r="B4369" s="104"/>
    </row>
    <row r="4370" spans="1:2" x14ac:dyDescent="0.25">
      <c r="A4370" s="104"/>
      <c r="B4370" s="104"/>
    </row>
    <row r="4371" spans="1:2" x14ac:dyDescent="0.25">
      <c r="A4371" s="104"/>
      <c r="B4371" s="104"/>
    </row>
    <row r="4372" spans="1:2" x14ac:dyDescent="0.25">
      <c r="A4372" s="104"/>
      <c r="B4372" s="104"/>
    </row>
    <row r="4373" spans="1:2" x14ac:dyDescent="0.25">
      <c r="A4373" s="104"/>
      <c r="B4373" s="104"/>
    </row>
    <row r="4374" spans="1:2" x14ac:dyDescent="0.25">
      <c r="A4374" s="104"/>
      <c r="B4374" s="104"/>
    </row>
    <row r="4375" spans="1:2" x14ac:dyDescent="0.25">
      <c r="A4375" s="104"/>
      <c r="B4375" s="104"/>
    </row>
    <row r="4376" spans="1:2" x14ac:dyDescent="0.25">
      <c r="A4376" s="104"/>
      <c r="B4376" s="104"/>
    </row>
    <row r="4377" spans="1:2" x14ac:dyDescent="0.25">
      <c r="A4377" s="104"/>
      <c r="B4377" s="104"/>
    </row>
    <row r="4378" spans="1:2" x14ac:dyDescent="0.25">
      <c r="A4378" s="104"/>
      <c r="B4378" s="104"/>
    </row>
    <row r="4379" spans="1:2" x14ac:dyDescent="0.25">
      <c r="A4379" s="104"/>
      <c r="B4379" s="104"/>
    </row>
    <row r="4380" spans="1:2" x14ac:dyDescent="0.25">
      <c r="A4380" s="104"/>
      <c r="B4380" s="104"/>
    </row>
    <row r="4381" spans="1:2" x14ac:dyDescent="0.25">
      <c r="A4381" s="104"/>
      <c r="B4381" s="104"/>
    </row>
    <row r="4382" spans="1:2" x14ac:dyDescent="0.25">
      <c r="A4382" s="104"/>
      <c r="B4382" s="104"/>
    </row>
    <row r="4383" spans="1:2" x14ac:dyDescent="0.25">
      <c r="A4383" s="104"/>
      <c r="B4383" s="104"/>
    </row>
    <row r="4384" spans="1:2" x14ac:dyDescent="0.25">
      <c r="A4384" s="104"/>
      <c r="B4384" s="104"/>
    </row>
    <row r="4385" spans="1:2" x14ac:dyDescent="0.25">
      <c r="A4385" s="104"/>
      <c r="B4385" s="104"/>
    </row>
    <row r="4386" spans="1:2" x14ac:dyDescent="0.25">
      <c r="A4386" s="104"/>
      <c r="B4386" s="104"/>
    </row>
    <row r="4387" spans="1:2" x14ac:dyDescent="0.25">
      <c r="A4387" s="104"/>
      <c r="B4387" s="104"/>
    </row>
    <row r="4388" spans="1:2" x14ac:dyDescent="0.25">
      <c r="A4388" s="104"/>
      <c r="B4388" s="104"/>
    </row>
    <row r="4389" spans="1:2" x14ac:dyDescent="0.25">
      <c r="A4389" s="104"/>
      <c r="B4389" s="104"/>
    </row>
    <row r="4390" spans="1:2" x14ac:dyDescent="0.25">
      <c r="A4390" s="104"/>
      <c r="B4390" s="104"/>
    </row>
    <row r="4391" spans="1:2" x14ac:dyDescent="0.25">
      <c r="A4391" s="104"/>
      <c r="B4391" s="104"/>
    </row>
    <row r="4392" spans="1:2" x14ac:dyDescent="0.25">
      <c r="A4392" s="104"/>
      <c r="B4392" s="104"/>
    </row>
    <row r="4393" spans="1:2" x14ac:dyDescent="0.25">
      <c r="A4393" s="104"/>
      <c r="B4393" s="104"/>
    </row>
    <row r="4394" spans="1:2" x14ac:dyDescent="0.25">
      <c r="A4394" s="104"/>
      <c r="B4394" s="104"/>
    </row>
    <row r="4395" spans="1:2" x14ac:dyDescent="0.25">
      <c r="A4395" s="104"/>
      <c r="B4395" s="104"/>
    </row>
    <row r="4396" spans="1:2" x14ac:dyDescent="0.25">
      <c r="A4396" s="104"/>
      <c r="B4396" s="104"/>
    </row>
    <row r="4397" spans="1:2" x14ac:dyDescent="0.25">
      <c r="A4397" s="104"/>
      <c r="B4397" s="104"/>
    </row>
    <row r="4398" spans="1:2" x14ac:dyDescent="0.25">
      <c r="A4398" s="104"/>
      <c r="B4398" s="104"/>
    </row>
    <row r="4399" spans="1:2" x14ac:dyDescent="0.25">
      <c r="A4399" s="104"/>
      <c r="B4399" s="104"/>
    </row>
    <row r="4400" spans="1:2" x14ac:dyDescent="0.25">
      <c r="A4400" s="104"/>
      <c r="B4400" s="104"/>
    </row>
    <row r="4401" spans="1:2" x14ac:dyDescent="0.25">
      <c r="A4401" s="104"/>
      <c r="B4401" s="104"/>
    </row>
    <row r="4402" spans="1:2" x14ac:dyDescent="0.25">
      <c r="A4402" s="104"/>
      <c r="B4402" s="104"/>
    </row>
    <row r="4403" spans="1:2" x14ac:dyDescent="0.25">
      <c r="A4403" s="104"/>
      <c r="B4403" s="104"/>
    </row>
    <row r="4404" spans="1:2" x14ac:dyDescent="0.25">
      <c r="A4404" s="104"/>
      <c r="B4404" s="104"/>
    </row>
    <row r="4405" spans="1:2" x14ac:dyDescent="0.25">
      <c r="A4405" s="104"/>
      <c r="B4405" s="104"/>
    </row>
    <row r="4406" spans="1:2" x14ac:dyDescent="0.25">
      <c r="A4406" s="104"/>
      <c r="B4406" s="104"/>
    </row>
    <row r="4407" spans="1:2" x14ac:dyDescent="0.25">
      <c r="A4407" s="104"/>
      <c r="B4407" s="104"/>
    </row>
    <row r="4408" spans="1:2" x14ac:dyDescent="0.25">
      <c r="A4408" s="104"/>
      <c r="B4408" s="104"/>
    </row>
    <row r="4409" spans="1:2" x14ac:dyDescent="0.25">
      <c r="A4409" s="104"/>
      <c r="B4409" s="104"/>
    </row>
    <row r="4410" spans="1:2" x14ac:dyDescent="0.25">
      <c r="A4410" s="104"/>
      <c r="B4410" s="104"/>
    </row>
    <row r="4411" spans="1:2" x14ac:dyDescent="0.25">
      <c r="A4411" s="104"/>
      <c r="B4411" s="104"/>
    </row>
    <row r="4412" spans="1:2" x14ac:dyDescent="0.25">
      <c r="A4412" s="104"/>
      <c r="B4412" s="104"/>
    </row>
    <row r="4413" spans="1:2" x14ac:dyDescent="0.25">
      <c r="A4413" s="104"/>
      <c r="B4413" s="104"/>
    </row>
    <row r="4414" spans="1:2" x14ac:dyDescent="0.25">
      <c r="A4414" s="104"/>
      <c r="B4414" s="104"/>
    </row>
    <row r="4415" spans="1:2" x14ac:dyDescent="0.25">
      <c r="A4415" s="104"/>
      <c r="B4415" s="104"/>
    </row>
    <row r="4416" spans="1:2" x14ac:dyDescent="0.25">
      <c r="A4416" s="104"/>
      <c r="B4416" s="104"/>
    </row>
    <row r="4417" spans="1:2" x14ac:dyDescent="0.25">
      <c r="A4417" s="104"/>
      <c r="B4417" s="104"/>
    </row>
    <row r="4418" spans="1:2" x14ac:dyDescent="0.25">
      <c r="A4418" s="104"/>
      <c r="B4418" s="104"/>
    </row>
    <row r="4419" spans="1:2" x14ac:dyDescent="0.25">
      <c r="A4419" s="104"/>
      <c r="B4419" s="104"/>
    </row>
    <row r="4420" spans="1:2" x14ac:dyDescent="0.25">
      <c r="A4420" s="104"/>
      <c r="B4420" s="104"/>
    </row>
    <row r="4421" spans="1:2" x14ac:dyDescent="0.25">
      <c r="A4421" s="104"/>
      <c r="B4421" s="104"/>
    </row>
    <row r="4422" spans="1:2" x14ac:dyDescent="0.25">
      <c r="A4422" s="104"/>
      <c r="B4422" s="104"/>
    </row>
    <row r="4423" spans="1:2" x14ac:dyDescent="0.25">
      <c r="A4423" s="104"/>
      <c r="B4423" s="104"/>
    </row>
    <row r="4424" spans="1:2" x14ac:dyDescent="0.25">
      <c r="A4424" s="104"/>
      <c r="B4424" s="104"/>
    </row>
    <row r="4425" spans="1:2" x14ac:dyDescent="0.25">
      <c r="A4425" s="104"/>
      <c r="B4425" s="104"/>
    </row>
    <row r="4426" spans="1:2" x14ac:dyDescent="0.25">
      <c r="A4426" s="104"/>
      <c r="B4426" s="104"/>
    </row>
    <row r="4427" spans="1:2" x14ac:dyDescent="0.25">
      <c r="A4427" s="104"/>
      <c r="B4427" s="104"/>
    </row>
    <row r="4428" spans="1:2" x14ac:dyDescent="0.25">
      <c r="A4428" s="104"/>
      <c r="B4428" s="104"/>
    </row>
    <row r="4429" spans="1:2" x14ac:dyDescent="0.25">
      <c r="A4429" s="104"/>
      <c r="B4429" s="104"/>
    </row>
    <row r="4430" spans="1:2" x14ac:dyDescent="0.25">
      <c r="A4430" s="104"/>
      <c r="B4430" s="104"/>
    </row>
    <row r="4431" spans="1:2" x14ac:dyDescent="0.25">
      <c r="A4431" s="104"/>
      <c r="B4431" s="104"/>
    </row>
    <row r="4432" spans="1:2" x14ac:dyDescent="0.25">
      <c r="A4432" s="104"/>
      <c r="B4432" s="104"/>
    </row>
    <row r="4433" spans="1:2" x14ac:dyDescent="0.25">
      <c r="A4433" s="104"/>
      <c r="B4433" s="104"/>
    </row>
    <row r="4434" spans="1:2" x14ac:dyDescent="0.25">
      <c r="A4434" s="104"/>
      <c r="B4434" s="104"/>
    </row>
    <row r="4435" spans="1:2" x14ac:dyDescent="0.25">
      <c r="A4435" s="104"/>
      <c r="B4435" s="104"/>
    </row>
    <row r="4436" spans="1:2" x14ac:dyDescent="0.25">
      <c r="A4436" s="104"/>
      <c r="B4436" s="104"/>
    </row>
    <row r="4437" spans="1:2" x14ac:dyDescent="0.25">
      <c r="A4437" s="104"/>
      <c r="B4437" s="104"/>
    </row>
    <row r="4438" spans="1:2" x14ac:dyDescent="0.25">
      <c r="A4438" s="104"/>
      <c r="B4438" s="104"/>
    </row>
    <row r="4439" spans="1:2" x14ac:dyDescent="0.25">
      <c r="A4439" s="104"/>
      <c r="B4439" s="104"/>
    </row>
    <row r="4440" spans="1:2" x14ac:dyDescent="0.25">
      <c r="A4440" s="104"/>
      <c r="B4440" s="104"/>
    </row>
    <row r="4441" spans="1:2" x14ac:dyDescent="0.25">
      <c r="A4441" s="104"/>
      <c r="B4441" s="104"/>
    </row>
    <row r="4442" spans="1:2" x14ac:dyDescent="0.25">
      <c r="A4442" s="104"/>
      <c r="B4442" s="104"/>
    </row>
    <row r="4443" spans="1:2" x14ac:dyDescent="0.25">
      <c r="A4443" s="104"/>
      <c r="B4443" s="104"/>
    </row>
    <row r="4444" spans="1:2" x14ac:dyDescent="0.25">
      <c r="A4444" s="104"/>
      <c r="B4444" s="104"/>
    </row>
    <row r="4445" spans="1:2" x14ac:dyDescent="0.25">
      <c r="A4445" s="104"/>
      <c r="B4445" s="104"/>
    </row>
    <row r="4446" spans="1:2" x14ac:dyDescent="0.25">
      <c r="A4446" s="104"/>
      <c r="B4446" s="104"/>
    </row>
    <row r="4447" spans="1:2" x14ac:dyDescent="0.25">
      <c r="A4447" s="104"/>
      <c r="B4447" s="104"/>
    </row>
    <row r="4448" spans="1:2" x14ac:dyDescent="0.25">
      <c r="A4448" s="104"/>
      <c r="B4448" s="104"/>
    </row>
    <row r="4449" spans="1:2" x14ac:dyDescent="0.25">
      <c r="A4449" s="104"/>
      <c r="B4449" s="104"/>
    </row>
    <row r="4450" spans="1:2" x14ac:dyDescent="0.25">
      <c r="A4450" s="104"/>
      <c r="B4450" s="104"/>
    </row>
    <row r="4451" spans="1:2" x14ac:dyDescent="0.25">
      <c r="A4451" s="104"/>
      <c r="B4451" s="104"/>
    </row>
    <row r="4452" spans="1:2" x14ac:dyDescent="0.25">
      <c r="A4452" s="104"/>
      <c r="B4452" s="104"/>
    </row>
    <row r="4453" spans="1:2" x14ac:dyDescent="0.25">
      <c r="A4453" s="104"/>
      <c r="B4453" s="104"/>
    </row>
    <row r="4454" spans="1:2" x14ac:dyDescent="0.25">
      <c r="A4454" s="104"/>
      <c r="B4454" s="104"/>
    </row>
    <row r="4455" spans="1:2" x14ac:dyDescent="0.25">
      <c r="A4455" s="104"/>
      <c r="B4455" s="104"/>
    </row>
    <row r="4456" spans="1:2" x14ac:dyDescent="0.25">
      <c r="A4456" s="104"/>
      <c r="B4456" s="104"/>
    </row>
    <row r="4457" spans="1:2" x14ac:dyDescent="0.25">
      <c r="A4457" s="104"/>
      <c r="B4457" s="104"/>
    </row>
    <row r="4458" spans="1:2" x14ac:dyDescent="0.25">
      <c r="A4458" s="104"/>
      <c r="B4458" s="104"/>
    </row>
    <row r="4459" spans="1:2" x14ac:dyDescent="0.25">
      <c r="A4459" s="104"/>
      <c r="B4459" s="104"/>
    </row>
    <row r="4460" spans="1:2" x14ac:dyDescent="0.25">
      <c r="A4460" s="104"/>
      <c r="B4460" s="104"/>
    </row>
    <row r="4461" spans="1:2" x14ac:dyDescent="0.25">
      <c r="A4461" s="104"/>
      <c r="B4461" s="104"/>
    </row>
    <row r="4462" spans="1:2" x14ac:dyDescent="0.25">
      <c r="A4462" s="104"/>
      <c r="B4462" s="104"/>
    </row>
    <row r="4463" spans="1:2" x14ac:dyDescent="0.25">
      <c r="A4463" s="104"/>
      <c r="B4463" s="104"/>
    </row>
    <row r="4464" spans="1:2" x14ac:dyDescent="0.25">
      <c r="A4464" s="104"/>
      <c r="B4464" s="104"/>
    </row>
    <row r="4465" spans="1:2" x14ac:dyDescent="0.25">
      <c r="A4465" s="104"/>
      <c r="B4465" s="104"/>
    </row>
    <row r="4466" spans="1:2" x14ac:dyDescent="0.25">
      <c r="A4466" s="104"/>
      <c r="B4466" s="104"/>
    </row>
    <row r="4467" spans="1:2" x14ac:dyDescent="0.25">
      <c r="A4467" s="104"/>
      <c r="B4467" s="104"/>
    </row>
    <row r="4468" spans="1:2" x14ac:dyDescent="0.25">
      <c r="A4468" s="104"/>
      <c r="B4468" s="104"/>
    </row>
    <row r="4469" spans="1:2" x14ac:dyDescent="0.25">
      <c r="A4469" s="104"/>
      <c r="B4469" s="104"/>
    </row>
    <row r="4470" spans="1:2" x14ac:dyDescent="0.25">
      <c r="A4470" s="104"/>
      <c r="B4470" s="104"/>
    </row>
    <row r="4471" spans="1:2" x14ac:dyDescent="0.25">
      <c r="A4471" s="104"/>
      <c r="B4471" s="104"/>
    </row>
    <row r="4472" spans="1:2" x14ac:dyDescent="0.25">
      <c r="A4472" s="104"/>
      <c r="B4472" s="104"/>
    </row>
    <row r="4473" spans="1:2" x14ac:dyDescent="0.25">
      <c r="A4473" s="104"/>
      <c r="B4473" s="104"/>
    </row>
    <row r="4474" spans="1:2" x14ac:dyDescent="0.25">
      <c r="A4474" s="104"/>
      <c r="B4474" s="104"/>
    </row>
    <row r="4475" spans="1:2" x14ac:dyDescent="0.25">
      <c r="A4475" s="104"/>
      <c r="B4475" s="104"/>
    </row>
    <row r="4476" spans="1:2" x14ac:dyDescent="0.25">
      <c r="A4476" s="104"/>
      <c r="B4476" s="104"/>
    </row>
    <row r="4477" spans="1:2" x14ac:dyDescent="0.25">
      <c r="A4477" s="104"/>
      <c r="B4477" s="104"/>
    </row>
    <row r="4478" spans="1:2" x14ac:dyDescent="0.25">
      <c r="A4478" s="104"/>
      <c r="B4478" s="104"/>
    </row>
    <row r="4479" spans="1:2" x14ac:dyDescent="0.25">
      <c r="A4479" s="104"/>
      <c r="B4479" s="104"/>
    </row>
    <row r="4480" spans="1:2" x14ac:dyDescent="0.25">
      <c r="A4480" s="104"/>
      <c r="B4480" s="104"/>
    </row>
    <row r="4481" spans="1:2" x14ac:dyDescent="0.25">
      <c r="A4481" s="104"/>
      <c r="B4481" s="104"/>
    </row>
    <row r="4482" spans="1:2" x14ac:dyDescent="0.25">
      <c r="A4482" s="104"/>
      <c r="B4482" s="104"/>
    </row>
    <row r="4483" spans="1:2" x14ac:dyDescent="0.25">
      <c r="A4483" s="104"/>
      <c r="B4483" s="104"/>
    </row>
    <row r="4484" spans="1:2" x14ac:dyDescent="0.25">
      <c r="A4484" s="104"/>
      <c r="B4484" s="104"/>
    </row>
    <row r="4485" spans="1:2" x14ac:dyDescent="0.25">
      <c r="A4485" s="104"/>
      <c r="B4485" s="104"/>
    </row>
    <row r="4486" spans="1:2" x14ac:dyDescent="0.25">
      <c r="A4486" s="104"/>
      <c r="B4486" s="104"/>
    </row>
    <row r="4487" spans="1:2" x14ac:dyDescent="0.25">
      <c r="A4487" s="104"/>
      <c r="B4487" s="104"/>
    </row>
    <row r="4488" spans="1:2" x14ac:dyDescent="0.25">
      <c r="A4488" s="104"/>
      <c r="B4488" s="104"/>
    </row>
    <row r="4489" spans="1:2" x14ac:dyDescent="0.25">
      <c r="A4489" s="104"/>
      <c r="B4489" s="104"/>
    </row>
    <row r="4490" spans="1:2" x14ac:dyDescent="0.25">
      <c r="A4490" s="104"/>
      <c r="B4490" s="104"/>
    </row>
    <row r="4491" spans="1:2" x14ac:dyDescent="0.25">
      <c r="A4491" s="104"/>
      <c r="B4491" s="104"/>
    </row>
    <row r="4492" spans="1:2" x14ac:dyDescent="0.25">
      <c r="A4492" s="104"/>
      <c r="B4492" s="104"/>
    </row>
    <row r="4493" spans="1:2" x14ac:dyDescent="0.25">
      <c r="A4493" s="104"/>
      <c r="B4493" s="104"/>
    </row>
    <row r="4494" spans="1:2" x14ac:dyDescent="0.25">
      <c r="A4494" s="104"/>
      <c r="B4494" s="104"/>
    </row>
    <row r="4495" spans="1:2" x14ac:dyDescent="0.25">
      <c r="A4495" s="104"/>
      <c r="B4495" s="104"/>
    </row>
    <row r="4496" spans="1:2" x14ac:dyDescent="0.25">
      <c r="A4496" s="104"/>
      <c r="B4496" s="104"/>
    </row>
    <row r="4497" spans="1:2" x14ac:dyDescent="0.25">
      <c r="A4497" s="104"/>
      <c r="B4497" s="104"/>
    </row>
    <row r="4498" spans="1:2" x14ac:dyDescent="0.25">
      <c r="A4498" s="104"/>
      <c r="B4498" s="104"/>
    </row>
    <row r="4499" spans="1:2" x14ac:dyDescent="0.25">
      <c r="A4499" s="104"/>
      <c r="B4499" s="104"/>
    </row>
    <row r="4500" spans="1:2" x14ac:dyDescent="0.25">
      <c r="A4500" s="104"/>
      <c r="B4500" s="104"/>
    </row>
    <row r="4501" spans="1:2" x14ac:dyDescent="0.25">
      <c r="A4501" s="104"/>
      <c r="B4501" s="104"/>
    </row>
    <row r="4502" spans="1:2" x14ac:dyDescent="0.25">
      <c r="A4502" s="104"/>
      <c r="B4502" s="104"/>
    </row>
    <row r="4503" spans="1:2" x14ac:dyDescent="0.25">
      <c r="A4503" s="104"/>
      <c r="B4503" s="104"/>
    </row>
    <row r="4504" spans="1:2" x14ac:dyDescent="0.25">
      <c r="A4504" s="104"/>
      <c r="B4504" s="104"/>
    </row>
    <row r="4505" spans="1:2" x14ac:dyDescent="0.25">
      <c r="A4505" s="104"/>
      <c r="B4505" s="104"/>
    </row>
    <row r="4506" spans="1:2" x14ac:dyDescent="0.25">
      <c r="A4506" s="104"/>
      <c r="B4506" s="104"/>
    </row>
    <row r="4507" spans="1:2" x14ac:dyDescent="0.25">
      <c r="A4507" s="104"/>
      <c r="B4507" s="104"/>
    </row>
    <row r="4508" spans="1:2" x14ac:dyDescent="0.25">
      <c r="A4508" s="104"/>
      <c r="B4508" s="104"/>
    </row>
    <row r="4509" spans="1:2" x14ac:dyDescent="0.25">
      <c r="A4509" s="104"/>
      <c r="B4509" s="104"/>
    </row>
    <row r="4510" spans="1:2" x14ac:dyDescent="0.25">
      <c r="A4510" s="104"/>
      <c r="B4510" s="104"/>
    </row>
    <row r="4511" spans="1:2" x14ac:dyDescent="0.25">
      <c r="A4511" s="104"/>
      <c r="B4511" s="104"/>
    </row>
    <row r="4512" spans="1:2" x14ac:dyDescent="0.25">
      <c r="A4512" s="104"/>
      <c r="B4512" s="104"/>
    </row>
    <row r="4513" spans="1:2" x14ac:dyDescent="0.25">
      <c r="A4513" s="104"/>
      <c r="B4513" s="104"/>
    </row>
    <row r="4514" spans="1:2" x14ac:dyDescent="0.25">
      <c r="A4514" s="104"/>
      <c r="B4514" s="104"/>
    </row>
    <row r="4515" spans="1:2" x14ac:dyDescent="0.25">
      <c r="A4515" s="104"/>
      <c r="B4515" s="104"/>
    </row>
    <row r="4516" spans="1:2" x14ac:dyDescent="0.25">
      <c r="A4516" s="104"/>
      <c r="B4516" s="104"/>
    </row>
    <row r="4517" spans="1:2" x14ac:dyDescent="0.25">
      <c r="A4517" s="104"/>
      <c r="B4517" s="104"/>
    </row>
    <row r="4518" spans="1:2" x14ac:dyDescent="0.25">
      <c r="A4518" s="104"/>
      <c r="B4518" s="104"/>
    </row>
    <row r="4519" spans="1:2" x14ac:dyDescent="0.25">
      <c r="A4519" s="104"/>
      <c r="B4519" s="104"/>
    </row>
    <row r="4520" spans="1:2" x14ac:dyDescent="0.25">
      <c r="A4520" s="104"/>
      <c r="B4520" s="104"/>
    </row>
    <row r="4521" spans="1:2" x14ac:dyDescent="0.25">
      <c r="A4521" s="104"/>
      <c r="B4521" s="104"/>
    </row>
    <row r="4522" spans="1:2" x14ac:dyDescent="0.25">
      <c r="A4522" s="104"/>
      <c r="B4522" s="104"/>
    </row>
    <row r="4523" spans="1:2" x14ac:dyDescent="0.25">
      <c r="A4523" s="104"/>
      <c r="B4523" s="104"/>
    </row>
    <row r="4524" spans="1:2" x14ac:dyDescent="0.25">
      <c r="A4524" s="104"/>
      <c r="B4524" s="104"/>
    </row>
    <row r="4525" spans="1:2" x14ac:dyDescent="0.25">
      <c r="A4525" s="104"/>
      <c r="B4525" s="104"/>
    </row>
    <row r="4526" spans="1:2" x14ac:dyDescent="0.25">
      <c r="A4526" s="104"/>
      <c r="B4526" s="104"/>
    </row>
    <row r="4527" spans="1:2" x14ac:dyDescent="0.25">
      <c r="A4527" s="104"/>
      <c r="B4527" s="104"/>
    </row>
    <row r="4528" spans="1:2" x14ac:dyDescent="0.25">
      <c r="A4528" s="104"/>
      <c r="B4528" s="104"/>
    </row>
    <row r="4529" spans="1:2" x14ac:dyDescent="0.25">
      <c r="A4529" s="104"/>
      <c r="B4529" s="104"/>
    </row>
    <row r="4530" spans="1:2" x14ac:dyDescent="0.25">
      <c r="A4530" s="104"/>
      <c r="B4530" s="104"/>
    </row>
    <row r="4531" spans="1:2" x14ac:dyDescent="0.25">
      <c r="A4531" s="104"/>
      <c r="B4531" s="104"/>
    </row>
    <row r="4532" spans="1:2" x14ac:dyDescent="0.25">
      <c r="A4532" s="104"/>
      <c r="B4532" s="104"/>
    </row>
    <row r="4533" spans="1:2" x14ac:dyDescent="0.25">
      <c r="A4533" s="104"/>
      <c r="B4533" s="104"/>
    </row>
    <row r="4534" spans="1:2" x14ac:dyDescent="0.25">
      <c r="A4534" s="104"/>
      <c r="B4534" s="104"/>
    </row>
    <row r="4535" spans="1:2" x14ac:dyDescent="0.25">
      <c r="A4535" s="104"/>
      <c r="B4535" s="104"/>
    </row>
    <row r="4536" spans="1:2" x14ac:dyDescent="0.25">
      <c r="A4536" s="104"/>
      <c r="B4536" s="104"/>
    </row>
    <row r="4537" spans="1:2" x14ac:dyDescent="0.25">
      <c r="A4537" s="104"/>
      <c r="B4537" s="104"/>
    </row>
    <row r="4538" spans="1:2" x14ac:dyDescent="0.25">
      <c r="A4538" s="104"/>
      <c r="B4538" s="104"/>
    </row>
    <row r="4539" spans="1:2" x14ac:dyDescent="0.25">
      <c r="A4539" s="104"/>
      <c r="B4539" s="104"/>
    </row>
    <row r="4540" spans="1:2" x14ac:dyDescent="0.25">
      <c r="A4540" s="104"/>
      <c r="B4540" s="104"/>
    </row>
    <row r="4541" spans="1:2" x14ac:dyDescent="0.25">
      <c r="A4541" s="104"/>
      <c r="B4541" s="104"/>
    </row>
    <row r="4542" spans="1:2" x14ac:dyDescent="0.25">
      <c r="A4542" s="104"/>
      <c r="B4542" s="104"/>
    </row>
    <row r="4543" spans="1:2" x14ac:dyDescent="0.25">
      <c r="A4543" s="104"/>
      <c r="B4543" s="104"/>
    </row>
    <row r="4544" spans="1:2" x14ac:dyDescent="0.25">
      <c r="A4544" s="104"/>
      <c r="B4544" s="104"/>
    </row>
    <row r="4545" spans="1:2" x14ac:dyDescent="0.25">
      <c r="A4545" s="104"/>
      <c r="B4545" s="104"/>
    </row>
    <row r="4546" spans="1:2" x14ac:dyDescent="0.25">
      <c r="A4546" s="104"/>
      <c r="B4546" s="104"/>
    </row>
    <row r="4547" spans="1:2" x14ac:dyDescent="0.25">
      <c r="A4547" s="104"/>
      <c r="B4547" s="104"/>
    </row>
    <row r="4548" spans="1:2" x14ac:dyDescent="0.25">
      <c r="A4548" s="104"/>
      <c r="B4548" s="104"/>
    </row>
    <row r="4549" spans="1:2" x14ac:dyDescent="0.25">
      <c r="A4549" s="104"/>
      <c r="B4549" s="104"/>
    </row>
    <row r="4550" spans="1:2" x14ac:dyDescent="0.25">
      <c r="A4550" s="104"/>
      <c r="B4550" s="104"/>
    </row>
    <row r="4551" spans="1:2" x14ac:dyDescent="0.25">
      <c r="A4551" s="104"/>
      <c r="B4551" s="104"/>
    </row>
    <row r="4552" spans="1:2" x14ac:dyDescent="0.25">
      <c r="A4552" s="104"/>
      <c r="B4552" s="104"/>
    </row>
    <row r="4553" spans="1:2" x14ac:dyDescent="0.25">
      <c r="A4553" s="104"/>
      <c r="B4553" s="104"/>
    </row>
    <row r="4554" spans="1:2" x14ac:dyDescent="0.25">
      <c r="A4554" s="104"/>
      <c r="B4554" s="104"/>
    </row>
    <row r="4555" spans="1:2" x14ac:dyDescent="0.25">
      <c r="A4555" s="104"/>
      <c r="B4555" s="104"/>
    </row>
    <row r="4556" spans="1:2" x14ac:dyDescent="0.25">
      <c r="A4556" s="104"/>
      <c r="B4556" s="104"/>
    </row>
    <row r="4557" spans="1:2" x14ac:dyDescent="0.25">
      <c r="A4557" s="104"/>
      <c r="B4557" s="104"/>
    </row>
    <row r="4558" spans="1:2" x14ac:dyDescent="0.25">
      <c r="A4558" s="104"/>
      <c r="B4558" s="104"/>
    </row>
    <row r="4559" spans="1:2" x14ac:dyDescent="0.25">
      <c r="A4559" s="104"/>
      <c r="B4559" s="104"/>
    </row>
    <row r="4560" spans="1:2" x14ac:dyDescent="0.25">
      <c r="A4560" s="104"/>
      <c r="B4560" s="104"/>
    </row>
    <row r="4561" spans="1:2" x14ac:dyDescent="0.25">
      <c r="A4561" s="104"/>
      <c r="B4561" s="104"/>
    </row>
    <row r="4562" spans="1:2" x14ac:dyDescent="0.25">
      <c r="A4562" s="104"/>
      <c r="B4562" s="104"/>
    </row>
    <row r="4563" spans="1:2" x14ac:dyDescent="0.25">
      <c r="A4563" s="104"/>
      <c r="B4563" s="104"/>
    </row>
    <row r="4564" spans="1:2" x14ac:dyDescent="0.25">
      <c r="A4564" s="104"/>
      <c r="B4564" s="104"/>
    </row>
    <row r="4565" spans="1:2" x14ac:dyDescent="0.25">
      <c r="A4565" s="104"/>
      <c r="B4565" s="104"/>
    </row>
    <row r="4566" spans="1:2" x14ac:dyDescent="0.25">
      <c r="A4566" s="104"/>
      <c r="B4566" s="104"/>
    </row>
    <row r="4567" spans="1:2" x14ac:dyDescent="0.25">
      <c r="A4567" s="104"/>
      <c r="B4567" s="104"/>
    </row>
    <row r="4568" spans="1:2" x14ac:dyDescent="0.25">
      <c r="A4568" s="104"/>
      <c r="B4568" s="104"/>
    </row>
    <row r="4569" spans="1:2" x14ac:dyDescent="0.25">
      <c r="A4569" s="104"/>
      <c r="B4569" s="104"/>
    </row>
    <row r="4570" spans="1:2" x14ac:dyDescent="0.25">
      <c r="A4570" s="104"/>
      <c r="B4570" s="104"/>
    </row>
    <row r="4571" spans="1:2" x14ac:dyDescent="0.25">
      <c r="A4571" s="104"/>
      <c r="B4571" s="104"/>
    </row>
    <row r="4572" spans="1:2" x14ac:dyDescent="0.25">
      <c r="A4572" s="104"/>
      <c r="B4572" s="104"/>
    </row>
    <row r="4573" spans="1:2" x14ac:dyDescent="0.25">
      <c r="A4573" s="104"/>
      <c r="B4573" s="104"/>
    </row>
    <row r="4574" spans="1:2" x14ac:dyDescent="0.25">
      <c r="A4574" s="104"/>
      <c r="B4574" s="104"/>
    </row>
    <row r="4575" spans="1:2" x14ac:dyDescent="0.25">
      <c r="A4575" s="104"/>
      <c r="B4575" s="104"/>
    </row>
    <row r="4576" spans="1:2" x14ac:dyDescent="0.25">
      <c r="A4576" s="104"/>
      <c r="B4576" s="104"/>
    </row>
    <row r="4577" spans="1:2" x14ac:dyDescent="0.25">
      <c r="A4577" s="104"/>
      <c r="B4577" s="104"/>
    </row>
    <row r="4578" spans="1:2" x14ac:dyDescent="0.25">
      <c r="A4578" s="104"/>
      <c r="B4578" s="104"/>
    </row>
    <row r="4579" spans="1:2" x14ac:dyDescent="0.25">
      <c r="A4579" s="104"/>
      <c r="B4579" s="104"/>
    </row>
    <row r="4580" spans="1:2" x14ac:dyDescent="0.25">
      <c r="A4580" s="104"/>
      <c r="B4580" s="104"/>
    </row>
    <row r="4581" spans="1:2" x14ac:dyDescent="0.25">
      <c r="A4581" s="104"/>
      <c r="B4581" s="104"/>
    </row>
    <row r="4582" spans="1:2" x14ac:dyDescent="0.25">
      <c r="A4582" s="104"/>
      <c r="B4582" s="104"/>
    </row>
    <row r="4583" spans="1:2" x14ac:dyDescent="0.25">
      <c r="A4583" s="104"/>
      <c r="B4583" s="104"/>
    </row>
    <row r="4584" spans="1:2" x14ac:dyDescent="0.25">
      <c r="A4584" s="104"/>
      <c r="B4584" s="104"/>
    </row>
    <row r="4585" spans="1:2" x14ac:dyDescent="0.25">
      <c r="A4585" s="104"/>
      <c r="B4585" s="104"/>
    </row>
    <row r="4586" spans="1:2" x14ac:dyDescent="0.25">
      <c r="A4586" s="104"/>
      <c r="B4586" s="104"/>
    </row>
    <row r="4587" spans="1:2" x14ac:dyDescent="0.25">
      <c r="A4587" s="104"/>
      <c r="B4587" s="104"/>
    </row>
    <row r="4588" spans="1:2" x14ac:dyDescent="0.25">
      <c r="A4588" s="104"/>
      <c r="B4588" s="104"/>
    </row>
    <row r="4589" spans="1:2" x14ac:dyDescent="0.25">
      <c r="A4589" s="104"/>
      <c r="B4589" s="104"/>
    </row>
    <row r="4590" spans="1:2" x14ac:dyDescent="0.25">
      <c r="A4590" s="104"/>
      <c r="B4590" s="104"/>
    </row>
    <row r="4591" spans="1:2" x14ac:dyDescent="0.25">
      <c r="A4591" s="104"/>
      <c r="B4591" s="104"/>
    </row>
    <row r="4592" spans="1:2" x14ac:dyDescent="0.25">
      <c r="A4592" s="104"/>
      <c r="B4592" s="104"/>
    </row>
    <row r="4593" spans="1:2" x14ac:dyDescent="0.25">
      <c r="A4593" s="104"/>
      <c r="B4593" s="104"/>
    </row>
    <row r="4594" spans="1:2" x14ac:dyDescent="0.25">
      <c r="A4594" s="104"/>
      <c r="B4594" s="104"/>
    </row>
    <row r="4595" spans="1:2" x14ac:dyDescent="0.25">
      <c r="A4595" s="104"/>
      <c r="B4595" s="104"/>
    </row>
    <row r="4596" spans="1:2" x14ac:dyDescent="0.25">
      <c r="A4596" s="104"/>
      <c r="B4596" s="104"/>
    </row>
    <row r="4597" spans="1:2" x14ac:dyDescent="0.25">
      <c r="A4597" s="104"/>
      <c r="B4597" s="104"/>
    </row>
    <row r="4598" spans="1:2" x14ac:dyDescent="0.25">
      <c r="A4598" s="104"/>
      <c r="B4598" s="104"/>
    </row>
    <row r="4599" spans="1:2" x14ac:dyDescent="0.25">
      <c r="A4599" s="104"/>
      <c r="B4599" s="104"/>
    </row>
    <row r="4600" spans="1:2" x14ac:dyDescent="0.25">
      <c r="A4600" s="104"/>
      <c r="B4600" s="104"/>
    </row>
    <row r="4601" spans="1:2" x14ac:dyDescent="0.25">
      <c r="A4601" s="104"/>
      <c r="B4601" s="104"/>
    </row>
    <row r="4602" spans="1:2" x14ac:dyDescent="0.25">
      <c r="A4602" s="104"/>
      <c r="B4602" s="104"/>
    </row>
    <row r="4603" spans="1:2" x14ac:dyDescent="0.25">
      <c r="A4603" s="104"/>
      <c r="B4603" s="104"/>
    </row>
    <row r="4604" spans="1:2" x14ac:dyDescent="0.25">
      <c r="A4604" s="104"/>
      <c r="B4604" s="104"/>
    </row>
    <row r="4605" spans="1:2" x14ac:dyDescent="0.25">
      <c r="A4605" s="104"/>
      <c r="B4605" s="104"/>
    </row>
    <row r="4606" spans="1:2" x14ac:dyDescent="0.25">
      <c r="A4606" s="104"/>
      <c r="B4606" s="104"/>
    </row>
    <row r="4607" spans="1:2" x14ac:dyDescent="0.25">
      <c r="A4607" s="104"/>
      <c r="B4607" s="104"/>
    </row>
    <row r="4608" spans="1:2" x14ac:dyDescent="0.25">
      <c r="A4608" s="104"/>
      <c r="B4608" s="104"/>
    </row>
    <row r="4609" spans="1:2" x14ac:dyDescent="0.25">
      <c r="A4609" s="104"/>
      <c r="B4609" s="104"/>
    </row>
    <row r="4610" spans="1:2" x14ac:dyDescent="0.25">
      <c r="A4610" s="104"/>
      <c r="B4610" s="104"/>
    </row>
    <row r="4611" spans="1:2" x14ac:dyDescent="0.25">
      <c r="A4611" s="104"/>
      <c r="B4611" s="104"/>
    </row>
    <row r="4612" spans="1:2" x14ac:dyDescent="0.25">
      <c r="A4612" s="104"/>
      <c r="B4612" s="104"/>
    </row>
    <row r="4613" spans="1:2" x14ac:dyDescent="0.25">
      <c r="A4613" s="104"/>
      <c r="B4613" s="104"/>
    </row>
    <row r="4614" spans="1:2" x14ac:dyDescent="0.25">
      <c r="A4614" s="104"/>
      <c r="B4614" s="104"/>
    </row>
    <row r="4615" spans="1:2" x14ac:dyDescent="0.25">
      <c r="A4615" s="104"/>
      <c r="B4615" s="104"/>
    </row>
    <row r="4616" spans="1:2" x14ac:dyDescent="0.25">
      <c r="A4616" s="104"/>
      <c r="B4616" s="104"/>
    </row>
    <row r="4617" spans="1:2" x14ac:dyDescent="0.25">
      <c r="A4617" s="104"/>
      <c r="B4617" s="104"/>
    </row>
    <row r="4618" spans="1:2" x14ac:dyDescent="0.25">
      <c r="A4618" s="104"/>
      <c r="B4618" s="104"/>
    </row>
    <row r="4619" spans="1:2" x14ac:dyDescent="0.25">
      <c r="A4619" s="104"/>
      <c r="B4619" s="104"/>
    </row>
    <row r="4620" spans="1:2" x14ac:dyDescent="0.25">
      <c r="A4620" s="104"/>
      <c r="B4620" s="104"/>
    </row>
    <row r="4621" spans="1:2" x14ac:dyDescent="0.25">
      <c r="A4621" s="104"/>
      <c r="B4621" s="104"/>
    </row>
    <row r="4622" spans="1:2" x14ac:dyDescent="0.25">
      <c r="A4622" s="104"/>
      <c r="B4622" s="104"/>
    </row>
    <row r="4623" spans="1:2" x14ac:dyDescent="0.25">
      <c r="A4623" s="104"/>
      <c r="B4623" s="104"/>
    </row>
    <row r="4624" spans="1:2" x14ac:dyDescent="0.25">
      <c r="A4624" s="104"/>
      <c r="B4624" s="104"/>
    </row>
    <row r="4625" spans="1:2" x14ac:dyDescent="0.25">
      <c r="A4625" s="104"/>
      <c r="B4625" s="104"/>
    </row>
    <row r="4626" spans="1:2" x14ac:dyDescent="0.25">
      <c r="A4626" s="104"/>
      <c r="B4626" s="104"/>
    </row>
    <row r="4627" spans="1:2" x14ac:dyDescent="0.25">
      <c r="A4627" s="104"/>
      <c r="B4627" s="104"/>
    </row>
    <row r="4628" spans="1:2" x14ac:dyDescent="0.25">
      <c r="A4628" s="104"/>
      <c r="B4628" s="104"/>
    </row>
    <row r="4629" spans="1:2" x14ac:dyDescent="0.25">
      <c r="A4629" s="104"/>
      <c r="B4629" s="104"/>
    </row>
    <row r="4630" spans="1:2" x14ac:dyDescent="0.25">
      <c r="A4630" s="104"/>
      <c r="B4630" s="104"/>
    </row>
    <row r="4631" spans="1:2" x14ac:dyDescent="0.25">
      <c r="A4631" s="104"/>
      <c r="B4631" s="104"/>
    </row>
    <row r="4632" spans="1:2" x14ac:dyDescent="0.25">
      <c r="A4632" s="104"/>
      <c r="B4632" s="104"/>
    </row>
    <row r="4633" spans="1:2" x14ac:dyDescent="0.25">
      <c r="A4633" s="104"/>
      <c r="B4633" s="104"/>
    </row>
    <row r="4634" spans="1:2" x14ac:dyDescent="0.25">
      <c r="A4634" s="104"/>
      <c r="B4634" s="104"/>
    </row>
    <row r="4635" spans="1:2" x14ac:dyDescent="0.25">
      <c r="A4635" s="104"/>
      <c r="B4635" s="104"/>
    </row>
    <row r="4636" spans="1:2" x14ac:dyDescent="0.25">
      <c r="A4636" s="104"/>
      <c r="B4636" s="104"/>
    </row>
    <row r="4637" spans="1:2" x14ac:dyDescent="0.25">
      <c r="A4637" s="104"/>
      <c r="B4637" s="104"/>
    </row>
    <row r="4638" spans="1:2" x14ac:dyDescent="0.25">
      <c r="A4638" s="104"/>
      <c r="B4638" s="104"/>
    </row>
    <row r="4639" spans="1:2" x14ac:dyDescent="0.25">
      <c r="A4639" s="104"/>
      <c r="B4639" s="104"/>
    </row>
    <row r="4640" spans="1:2" x14ac:dyDescent="0.25">
      <c r="A4640" s="104"/>
      <c r="B4640" s="104"/>
    </row>
    <row r="4641" spans="1:2" x14ac:dyDescent="0.25">
      <c r="A4641" s="104"/>
      <c r="B4641" s="104"/>
    </row>
    <row r="4642" spans="1:2" x14ac:dyDescent="0.25">
      <c r="A4642" s="104"/>
      <c r="B4642" s="104"/>
    </row>
    <row r="4643" spans="1:2" x14ac:dyDescent="0.25">
      <c r="A4643" s="104"/>
      <c r="B4643" s="104"/>
    </row>
    <row r="4644" spans="1:2" x14ac:dyDescent="0.25">
      <c r="A4644" s="104"/>
      <c r="B4644" s="104"/>
    </row>
    <row r="4645" spans="1:2" x14ac:dyDescent="0.25">
      <c r="A4645" s="104"/>
      <c r="B4645" s="104"/>
    </row>
    <row r="4646" spans="1:2" x14ac:dyDescent="0.25">
      <c r="A4646" s="104"/>
      <c r="B4646" s="104"/>
    </row>
    <row r="4647" spans="1:2" x14ac:dyDescent="0.25">
      <c r="A4647" s="104"/>
      <c r="B4647" s="104"/>
    </row>
    <row r="4648" spans="1:2" x14ac:dyDescent="0.25">
      <c r="A4648" s="104"/>
      <c r="B4648" s="104"/>
    </row>
    <row r="4649" spans="1:2" x14ac:dyDescent="0.25">
      <c r="A4649" s="104"/>
      <c r="B4649" s="104"/>
    </row>
    <row r="4650" spans="1:2" x14ac:dyDescent="0.25">
      <c r="A4650" s="104"/>
      <c r="B4650" s="104"/>
    </row>
    <row r="4651" spans="1:2" x14ac:dyDescent="0.25">
      <c r="A4651" s="104"/>
      <c r="B4651" s="104"/>
    </row>
    <row r="4652" spans="1:2" x14ac:dyDescent="0.25">
      <c r="A4652" s="104"/>
      <c r="B4652" s="104"/>
    </row>
    <row r="4653" spans="1:2" x14ac:dyDescent="0.25">
      <c r="A4653" s="104"/>
      <c r="B4653" s="104"/>
    </row>
    <row r="4654" spans="1:2" x14ac:dyDescent="0.25">
      <c r="A4654" s="104"/>
      <c r="B4654" s="104"/>
    </row>
    <row r="4655" spans="1:2" x14ac:dyDescent="0.25">
      <c r="A4655" s="104"/>
      <c r="B4655" s="104"/>
    </row>
    <row r="4656" spans="1:2" x14ac:dyDescent="0.25">
      <c r="A4656" s="104"/>
      <c r="B4656" s="104"/>
    </row>
    <row r="4657" spans="1:2" x14ac:dyDescent="0.25">
      <c r="A4657" s="104"/>
      <c r="B4657" s="104"/>
    </row>
    <row r="4658" spans="1:2" x14ac:dyDescent="0.25">
      <c r="A4658" s="104"/>
      <c r="B4658" s="104"/>
    </row>
    <row r="4659" spans="1:2" x14ac:dyDescent="0.25">
      <c r="A4659" s="104"/>
      <c r="B4659" s="104"/>
    </row>
    <row r="4660" spans="1:2" x14ac:dyDescent="0.25">
      <c r="A4660" s="104"/>
      <c r="B4660" s="104"/>
    </row>
    <row r="4661" spans="1:2" x14ac:dyDescent="0.25">
      <c r="A4661" s="104"/>
      <c r="B4661" s="104"/>
    </row>
    <row r="4662" spans="1:2" x14ac:dyDescent="0.25">
      <c r="A4662" s="104"/>
      <c r="B4662" s="104"/>
    </row>
    <row r="4663" spans="1:2" x14ac:dyDescent="0.25">
      <c r="A4663" s="104"/>
      <c r="B4663" s="104"/>
    </row>
    <row r="4664" spans="1:2" x14ac:dyDescent="0.25">
      <c r="A4664" s="104"/>
      <c r="B4664" s="104"/>
    </row>
    <row r="4665" spans="1:2" x14ac:dyDescent="0.25">
      <c r="A4665" s="104"/>
      <c r="B4665" s="104"/>
    </row>
    <row r="4666" spans="1:2" x14ac:dyDescent="0.25">
      <c r="A4666" s="104"/>
      <c r="B4666" s="104"/>
    </row>
    <row r="4667" spans="1:2" x14ac:dyDescent="0.25">
      <c r="A4667" s="104"/>
      <c r="B4667" s="104"/>
    </row>
    <row r="4668" spans="1:2" x14ac:dyDescent="0.25">
      <c r="A4668" s="104"/>
      <c r="B4668" s="104"/>
    </row>
    <row r="4669" spans="1:2" x14ac:dyDescent="0.25">
      <c r="A4669" s="104"/>
      <c r="B4669" s="104"/>
    </row>
    <row r="4670" spans="1:2" x14ac:dyDescent="0.25">
      <c r="A4670" s="104"/>
      <c r="B4670" s="104"/>
    </row>
    <row r="4671" spans="1:2" x14ac:dyDescent="0.25">
      <c r="A4671" s="104"/>
      <c r="B4671" s="104"/>
    </row>
    <row r="4672" spans="1:2" x14ac:dyDescent="0.25">
      <c r="A4672" s="104"/>
      <c r="B4672" s="104"/>
    </row>
    <row r="4673" spans="1:2" x14ac:dyDescent="0.25">
      <c r="A4673" s="104"/>
      <c r="B4673" s="104"/>
    </row>
    <row r="4674" spans="1:2" x14ac:dyDescent="0.25">
      <c r="A4674" s="104"/>
      <c r="B4674" s="104"/>
    </row>
    <row r="4675" spans="1:2" x14ac:dyDescent="0.25">
      <c r="A4675" s="104"/>
      <c r="B4675" s="104"/>
    </row>
    <row r="4676" spans="1:2" x14ac:dyDescent="0.25">
      <c r="A4676" s="104"/>
      <c r="B4676" s="104"/>
    </row>
    <row r="4677" spans="1:2" x14ac:dyDescent="0.25">
      <c r="A4677" s="104"/>
      <c r="B4677" s="104"/>
    </row>
    <row r="4678" spans="1:2" x14ac:dyDescent="0.25">
      <c r="A4678" s="104"/>
      <c r="B4678" s="104"/>
    </row>
    <row r="4679" spans="1:2" x14ac:dyDescent="0.25">
      <c r="A4679" s="104"/>
      <c r="B4679" s="104"/>
    </row>
    <row r="4680" spans="1:2" x14ac:dyDescent="0.25">
      <c r="A4680" s="104"/>
      <c r="B4680" s="104"/>
    </row>
    <row r="4681" spans="1:2" x14ac:dyDescent="0.25">
      <c r="A4681" s="104"/>
      <c r="B4681" s="104"/>
    </row>
    <row r="4682" spans="1:2" x14ac:dyDescent="0.25">
      <c r="A4682" s="104"/>
      <c r="B4682" s="104"/>
    </row>
    <row r="4683" spans="1:2" x14ac:dyDescent="0.25">
      <c r="A4683" s="104"/>
      <c r="B4683" s="104"/>
    </row>
    <row r="4684" spans="1:2" x14ac:dyDescent="0.25">
      <c r="A4684" s="104"/>
      <c r="B4684" s="104"/>
    </row>
    <row r="4685" spans="1:2" x14ac:dyDescent="0.25">
      <c r="A4685" s="104"/>
      <c r="B4685" s="104"/>
    </row>
    <row r="4686" spans="1:2" x14ac:dyDescent="0.25">
      <c r="A4686" s="104"/>
      <c r="B4686" s="104"/>
    </row>
    <row r="4687" spans="1:2" x14ac:dyDescent="0.25">
      <c r="A4687" s="104"/>
      <c r="B4687" s="104"/>
    </row>
    <row r="4688" spans="1:2" x14ac:dyDescent="0.25">
      <c r="A4688" s="104"/>
      <c r="B4688" s="104"/>
    </row>
    <row r="4689" spans="1:2" x14ac:dyDescent="0.25">
      <c r="A4689" s="104"/>
      <c r="B4689" s="104"/>
    </row>
    <row r="4690" spans="1:2" x14ac:dyDescent="0.25">
      <c r="A4690" s="104"/>
      <c r="B4690" s="104"/>
    </row>
    <row r="4691" spans="1:2" x14ac:dyDescent="0.25">
      <c r="A4691" s="104"/>
      <c r="B4691" s="104"/>
    </row>
    <row r="4692" spans="1:2" x14ac:dyDescent="0.25">
      <c r="A4692" s="104"/>
      <c r="B4692" s="104"/>
    </row>
    <row r="4693" spans="1:2" x14ac:dyDescent="0.25">
      <c r="A4693" s="104"/>
      <c r="B4693" s="104"/>
    </row>
    <row r="4694" spans="1:2" x14ac:dyDescent="0.25">
      <c r="A4694" s="104"/>
      <c r="B4694" s="104"/>
    </row>
    <row r="4695" spans="1:2" x14ac:dyDescent="0.25">
      <c r="A4695" s="104"/>
      <c r="B4695" s="104"/>
    </row>
    <row r="4696" spans="1:2" x14ac:dyDescent="0.25">
      <c r="A4696" s="104"/>
      <c r="B4696" s="104"/>
    </row>
    <row r="4697" spans="1:2" x14ac:dyDescent="0.25">
      <c r="A4697" s="104"/>
      <c r="B4697" s="104"/>
    </row>
    <row r="4698" spans="1:2" x14ac:dyDescent="0.25">
      <c r="A4698" s="104"/>
      <c r="B4698" s="104"/>
    </row>
    <row r="4699" spans="1:2" x14ac:dyDescent="0.25">
      <c r="A4699" s="104"/>
      <c r="B4699" s="104"/>
    </row>
    <row r="4700" spans="1:2" x14ac:dyDescent="0.25">
      <c r="A4700" s="104"/>
      <c r="B4700" s="104"/>
    </row>
    <row r="4701" spans="1:2" x14ac:dyDescent="0.25">
      <c r="A4701" s="104"/>
      <c r="B4701" s="104"/>
    </row>
    <row r="4702" spans="1:2" x14ac:dyDescent="0.25">
      <c r="A4702" s="104"/>
      <c r="B4702" s="104"/>
    </row>
    <row r="4703" spans="1:2" x14ac:dyDescent="0.25">
      <c r="A4703" s="104"/>
      <c r="B4703" s="104"/>
    </row>
    <row r="4704" spans="1:2" x14ac:dyDescent="0.25">
      <c r="A4704" s="104"/>
      <c r="B4704" s="104"/>
    </row>
    <row r="4705" spans="1:2" x14ac:dyDescent="0.25">
      <c r="A4705" s="104"/>
      <c r="B4705" s="104"/>
    </row>
    <row r="4706" spans="1:2" x14ac:dyDescent="0.25">
      <c r="A4706" s="104"/>
      <c r="B4706" s="104"/>
    </row>
    <row r="4707" spans="1:2" x14ac:dyDescent="0.25">
      <c r="A4707" s="104"/>
      <c r="B4707" s="104"/>
    </row>
    <row r="4708" spans="1:2" x14ac:dyDescent="0.25">
      <c r="A4708" s="104"/>
      <c r="B4708" s="104"/>
    </row>
    <row r="4709" spans="1:2" x14ac:dyDescent="0.25">
      <c r="A4709" s="104"/>
      <c r="B4709" s="104"/>
    </row>
    <row r="4710" spans="1:2" x14ac:dyDescent="0.25">
      <c r="A4710" s="104"/>
      <c r="B4710" s="104"/>
    </row>
    <row r="4711" spans="1:2" x14ac:dyDescent="0.25">
      <c r="A4711" s="104"/>
      <c r="B4711" s="104"/>
    </row>
    <row r="4712" spans="1:2" x14ac:dyDescent="0.25">
      <c r="A4712" s="104"/>
      <c r="B4712" s="104"/>
    </row>
    <row r="4713" spans="1:2" x14ac:dyDescent="0.25">
      <c r="A4713" s="104"/>
      <c r="B4713" s="104"/>
    </row>
    <row r="4714" spans="1:2" x14ac:dyDescent="0.25">
      <c r="A4714" s="104"/>
      <c r="B4714" s="104"/>
    </row>
    <row r="4715" spans="1:2" x14ac:dyDescent="0.25">
      <c r="A4715" s="104"/>
      <c r="B4715" s="104"/>
    </row>
    <row r="4716" spans="1:2" x14ac:dyDescent="0.25">
      <c r="A4716" s="104"/>
      <c r="B4716" s="104"/>
    </row>
    <row r="4717" spans="1:2" x14ac:dyDescent="0.25">
      <c r="A4717" s="104"/>
      <c r="B4717" s="104"/>
    </row>
    <row r="4718" spans="1:2" x14ac:dyDescent="0.25">
      <c r="A4718" s="104"/>
      <c r="B4718" s="104"/>
    </row>
    <row r="4719" spans="1:2" x14ac:dyDescent="0.25">
      <c r="A4719" s="104"/>
      <c r="B4719" s="104"/>
    </row>
    <row r="4720" spans="1:2" x14ac:dyDescent="0.25">
      <c r="A4720" s="104"/>
      <c r="B4720" s="104"/>
    </row>
    <row r="4721" spans="1:2" x14ac:dyDescent="0.25">
      <c r="A4721" s="104"/>
      <c r="B4721" s="104"/>
    </row>
    <row r="4722" spans="1:2" x14ac:dyDescent="0.25">
      <c r="A4722" s="104"/>
      <c r="B4722" s="104"/>
    </row>
    <row r="4723" spans="1:2" x14ac:dyDescent="0.25">
      <c r="A4723" s="104"/>
      <c r="B4723" s="104"/>
    </row>
    <row r="4724" spans="1:2" x14ac:dyDescent="0.25">
      <c r="A4724" s="104"/>
      <c r="B4724" s="104"/>
    </row>
    <row r="4725" spans="1:2" x14ac:dyDescent="0.25">
      <c r="A4725" s="104"/>
      <c r="B4725" s="104"/>
    </row>
    <row r="4726" spans="1:2" x14ac:dyDescent="0.25">
      <c r="A4726" s="104"/>
      <c r="B4726" s="104"/>
    </row>
    <row r="4727" spans="1:2" x14ac:dyDescent="0.25">
      <c r="A4727" s="104"/>
      <c r="B4727" s="104"/>
    </row>
    <row r="4728" spans="1:2" x14ac:dyDescent="0.25">
      <c r="A4728" s="104"/>
      <c r="B4728" s="104"/>
    </row>
    <row r="4729" spans="1:2" x14ac:dyDescent="0.25">
      <c r="A4729" s="104"/>
      <c r="B4729" s="104"/>
    </row>
    <row r="4730" spans="1:2" x14ac:dyDescent="0.25">
      <c r="A4730" s="104"/>
      <c r="B4730" s="104"/>
    </row>
    <row r="4731" spans="1:2" x14ac:dyDescent="0.25">
      <c r="A4731" s="104"/>
      <c r="B4731" s="104"/>
    </row>
    <row r="4732" spans="1:2" x14ac:dyDescent="0.25">
      <c r="A4732" s="104"/>
      <c r="B4732" s="104"/>
    </row>
    <row r="4733" spans="1:2" x14ac:dyDescent="0.25">
      <c r="A4733" s="104"/>
      <c r="B4733" s="104"/>
    </row>
    <row r="4734" spans="1:2" x14ac:dyDescent="0.25">
      <c r="A4734" s="104"/>
      <c r="B4734" s="104"/>
    </row>
    <row r="4735" spans="1:2" x14ac:dyDescent="0.25">
      <c r="A4735" s="104"/>
      <c r="B4735" s="104"/>
    </row>
    <row r="4736" spans="1:2" x14ac:dyDescent="0.25">
      <c r="A4736" s="104"/>
      <c r="B4736" s="104"/>
    </row>
    <row r="4737" spans="1:2" x14ac:dyDescent="0.25">
      <c r="A4737" s="104"/>
      <c r="B4737" s="104"/>
    </row>
    <row r="4738" spans="1:2" x14ac:dyDescent="0.25">
      <c r="A4738" s="104"/>
      <c r="B4738" s="104"/>
    </row>
    <row r="4739" spans="1:2" x14ac:dyDescent="0.25">
      <c r="A4739" s="104"/>
      <c r="B4739" s="104"/>
    </row>
    <row r="4740" spans="1:2" x14ac:dyDescent="0.25">
      <c r="A4740" s="104"/>
      <c r="B4740" s="104"/>
    </row>
    <row r="4741" spans="1:2" x14ac:dyDescent="0.25">
      <c r="A4741" s="104"/>
      <c r="B4741" s="104"/>
    </row>
    <row r="4742" spans="1:2" x14ac:dyDescent="0.25">
      <c r="A4742" s="104"/>
      <c r="B4742" s="104"/>
    </row>
    <row r="4743" spans="1:2" x14ac:dyDescent="0.25">
      <c r="A4743" s="104"/>
      <c r="B4743" s="104"/>
    </row>
    <row r="4744" spans="1:2" x14ac:dyDescent="0.25">
      <c r="A4744" s="104"/>
      <c r="B4744" s="104"/>
    </row>
    <row r="4745" spans="1:2" x14ac:dyDescent="0.25">
      <c r="A4745" s="104"/>
      <c r="B4745" s="104"/>
    </row>
    <row r="4746" spans="1:2" x14ac:dyDescent="0.25">
      <c r="A4746" s="104"/>
      <c r="B4746" s="104"/>
    </row>
    <row r="4747" spans="1:2" x14ac:dyDescent="0.25">
      <c r="A4747" s="104"/>
      <c r="B4747" s="104"/>
    </row>
    <row r="4748" spans="1:2" x14ac:dyDescent="0.25">
      <c r="A4748" s="104"/>
      <c r="B4748" s="104"/>
    </row>
    <row r="4749" spans="1:2" x14ac:dyDescent="0.25">
      <c r="A4749" s="104"/>
      <c r="B4749" s="104"/>
    </row>
    <row r="4750" spans="1:2" x14ac:dyDescent="0.25">
      <c r="A4750" s="104"/>
      <c r="B4750" s="104"/>
    </row>
    <row r="4751" spans="1:2" x14ac:dyDescent="0.25">
      <c r="A4751" s="104"/>
      <c r="B4751" s="104"/>
    </row>
    <row r="4752" spans="1:2" x14ac:dyDescent="0.25">
      <c r="A4752" s="104"/>
      <c r="B4752" s="104"/>
    </row>
    <row r="4753" spans="1:2" x14ac:dyDescent="0.25">
      <c r="A4753" s="104"/>
      <c r="B4753" s="104"/>
    </row>
    <row r="4754" spans="1:2" x14ac:dyDescent="0.25">
      <c r="A4754" s="104"/>
      <c r="B4754" s="104"/>
    </row>
    <row r="4755" spans="1:2" x14ac:dyDescent="0.25">
      <c r="A4755" s="104"/>
      <c r="B4755" s="104"/>
    </row>
    <row r="4756" spans="1:2" x14ac:dyDescent="0.25">
      <c r="A4756" s="104"/>
      <c r="B4756" s="104"/>
    </row>
    <row r="4757" spans="1:2" x14ac:dyDescent="0.25">
      <c r="A4757" s="104"/>
      <c r="B4757" s="104"/>
    </row>
    <row r="4758" spans="1:2" x14ac:dyDescent="0.25">
      <c r="A4758" s="104"/>
      <c r="B4758" s="104"/>
    </row>
    <row r="4759" spans="1:2" x14ac:dyDescent="0.25">
      <c r="A4759" s="104"/>
      <c r="B4759" s="104"/>
    </row>
    <row r="4760" spans="1:2" x14ac:dyDescent="0.25">
      <c r="A4760" s="104"/>
      <c r="B4760" s="104"/>
    </row>
    <row r="4761" spans="1:2" x14ac:dyDescent="0.25">
      <c r="A4761" s="104"/>
      <c r="B4761" s="104"/>
    </row>
    <row r="4762" spans="1:2" x14ac:dyDescent="0.25">
      <c r="A4762" s="104"/>
      <c r="B4762" s="104"/>
    </row>
    <row r="4763" spans="1:2" x14ac:dyDescent="0.25">
      <c r="A4763" s="104"/>
      <c r="B4763" s="104"/>
    </row>
    <row r="4764" spans="1:2" x14ac:dyDescent="0.25">
      <c r="A4764" s="104"/>
      <c r="B4764" s="104"/>
    </row>
    <row r="4765" spans="1:2" x14ac:dyDescent="0.25">
      <c r="A4765" s="104"/>
      <c r="B4765" s="104"/>
    </row>
    <row r="4766" spans="1:2" x14ac:dyDescent="0.25">
      <c r="A4766" s="104"/>
      <c r="B4766" s="104"/>
    </row>
    <row r="4767" spans="1:2" x14ac:dyDescent="0.25">
      <c r="A4767" s="104"/>
      <c r="B4767" s="104"/>
    </row>
    <row r="4768" spans="1:2" x14ac:dyDescent="0.25">
      <c r="A4768" s="104"/>
      <c r="B4768" s="104"/>
    </row>
    <row r="4769" spans="1:2" x14ac:dyDescent="0.25">
      <c r="A4769" s="104"/>
      <c r="B4769" s="104"/>
    </row>
    <row r="4770" spans="1:2" x14ac:dyDescent="0.25">
      <c r="A4770" s="104"/>
      <c r="B4770" s="104"/>
    </row>
    <row r="4771" spans="1:2" x14ac:dyDescent="0.25">
      <c r="A4771" s="104"/>
      <c r="B4771" s="104"/>
    </row>
    <row r="4772" spans="1:2" x14ac:dyDescent="0.25">
      <c r="A4772" s="104"/>
      <c r="B4772" s="104"/>
    </row>
    <row r="4773" spans="1:2" x14ac:dyDescent="0.25">
      <c r="A4773" s="104"/>
      <c r="B4773" s="104"/>
    </row>
    <row r="4774" spans="1:2" x14ac:dyDescent="0.25">
      <c r="A4774" s="104"/>
      <c r="B4774" s="104"/>
    </row>
    <row r="4775" spans="1:2" x14ac:dyDescent="0.25">
      <c r="A4775" s="104"/>
      <c r="B4775" s="104"/>
    </row>
    <row r="4776" spans="1:2" x14ac:dyDescent="0.25">
      <c r="A4776" s="104"/>
      <c r="B4776" s="104"/>
    </row>
    <row r="4777" spans="1:2" x14ac:dyDescent="0.25">
      <c r="A4777" s="104"/>
      <c r="B4777" s="104"/>
    </row>
    <row r="4778" spans="1:2" x14ac:dyDescent="0.25">
      <c r="A4778" s="104"/>
      <c r="B4778" s="104"/>
    </row>
    <row r="4779" spans="1:2" x14ac:dyDescent="0.25">
      <c r="A4779" s="104"/>
      <c r="B4779" s="104"/>
    </row>
    <row r="4780" spans="1:2" x14ac:dyDescent="0.25">
      <c r="A4780" s="104"/>
      <c r="B4780" s="104"/>
    </row>
    <row r="4781" spans="1:2" x14ac:dyDescent="0.25">
      <c r="A4781" s="104"/>
      <c r="B4781" s="104"/>
    </row>
    <row r="4782" spans="1:2" x14ac:dyDescent="0.25">
      <c r="A4782" s="104"/>
      <c r="B4782" s="104"/>
    </row>
    <row r="4783" spans="1:2" x14ac:dyDescent="0.25">
      <c r="A4783" s="104"/>
      <c r="B4783" s="104"/>
    </row>
    <row r="4784" spans="1:2" x14ac:dyDescent="0.25">
      <c r="A4784" s="104"/>
      <c r="B4784" s="104"/>
    </row>
    <row r="4785" spans="1:2" x14ac:dyDescent="0.25">
      <c r="A4785" s="104"/>
      <c r="B4785" s="104"/>
    </row>
    <row r="4786" spans="1:2" x14ac:dyDescent="0.25">
      <c r="A4786" s="104"/>
      <c r="B4786" s="104"/>
    </row>
    <row r="4787" spans="1:2" x14ac:dyDescent="0.25">
      <c r="A4787" s="104"/>
      <c r="B4787" s="104"/>
    </row>
    <row r="4788" spans="1:2" x14ac:dyDescent="0.25">
      <c r="A4788" s="104"/>
      <c r="B4788" s="104"/>
    </row>
    <row r="4789" spans="1:2" x14ac:dyDescent="0.25">
      <c r="A4789" s="104"/>
      <c r="B4789" s="104"/>
    </row>
    <row r="4790" spans="1:2" x14ac:dyDescent="0.25">
      <c r="A4790" s="104"/>
      <c r="B4790" s="104"/>
    </row>
    <row r="4791" spans="1:2" x14ac:dyDescent="0.25">
      <c r="A4791" s="104"/>
      <c r="B4791" s="104"/>
    </row>
    <row r="4792" spans="1:2" x14ac:dyDescent="0.25">
      <c r="A4792" s="104"/>
      <c r="B4792" s="104"/>
    </row>
    <row r="4793" spans="1:2" x14ac:dyDescent="0.25">
      <c r="A4793" s="104"/>
      <c r="B4793" s="104"/>
    </row>
    <row r="4794" spans="1:2" x14ac:dyDescent="0.25">
      <c r="A4794" s="104"/>
      <c r="B4794" s="104"/>
    </row>
    <row r="4795" spans="1:2" x14ac:dyDescent="0.25">
      <c r="A4795" s="104"/>
      <c r="B4795" s="104"/>
    </row>
    <row r="4796" spans="1:2" x14ac:dyDescent="0.25">
      <c r="A4796" s="104"/>
      <c r="B4796" s="104"/>
    </row>
    <row r="4797" spans="1:2" x14ac:dyDescent="0.25">
      <c r="A4797" s="104"/>
      <c r="B4797" s="104"/>
    </row>
    <row r="4798" spans="1:2" x14ac:dyDescent="0.25">
      <c r="A4798" s="104"/>
      <c r="B4798" s="104"/>
    </row>
    <row r="4799" spans="1:2" x14ac:dyDescent="0.25">
      <c r="A4799" s="104"/>
      <c r="B4799" s="104"/>
    </row>
    <row r="4800" spans="1:2" x14ac:dyDescent="0.25">
      <c r="A4800" s="104"/>
      <c r="B4800" s="104"/>
    </row>
    <row r="4801" spans="1:2" x14ac:dyDescent="0.25">
      <c r="A4801" s="104"/>
      <c r="B4801" s="104"/>
    </row>
    <row r="4802" spans="1:2" x14ac:dyDescent="0.25">
      <c r="A4802" s="104"/>
      <c r="B4802" s="104"/>
    </row>
    <row r="4803" spans="1:2" x14ac:dyDescent="0.25">
      <c r="A4803" s="104"/>
      <c r="B4803" s="104"/>
    </row>
    <row r="4804" spans="1:2" x14ac:dyDescent="0.25">
      <c r="A4804" s="104"/>
      <c r="B4804" s="104"/>
    </row>
    <row r="4805" spans="1:2" x14ac:dyDescent="0.25">
      <c r="A4805" s="104"/>
      <c r="B4805" s="104"/>
    </row>
    <row r="4806" spans="1:2" x14ac:dyDescent="0.25">
      <c r="A4806" s="104"/>
      <c r="B4806" s="104"/>
    </row>
    <row r="4807" spans="1:2" x14ac:dyDescent="0.25">
      <c r="A4807" s="104"/>
      <c r="B4807" s="104"/>
    </row>
    <row r="4808" spans="1:2" x14ac:dyDescent="0.25">
      <c r="A4808" s="104"/>
      <c r="B4808" s="104"/>
    </row>
    <row r="4809" spans="1:2" x14ac:dyDescent="0.25">
      <c r="A4809" s="104"/>
      <c r="B4809" s="104"/>
    </row>
    <row r="4810" spans="1:2" x14ac:dyDescent="0.25">
      <c r="A4810" s="104"/>
      <c r="B4810" s="104"/>
    </row>
    <row r="4811" spans="1:2" x14ac:dyDescent="0.25">
      <c r="A4811" s="104"/>
      <c r="B4811" s="104"/>
    </row>
    <row r="4812" spans="1:2" x14ac:dyDescent="0.25">
      <c r="A4812" s="104"/>
      <c r="B4812" s="104"/>
    </row>
    <row r="4813" spans="1:2" x14ac:dyDescent="0.25">
      <c r="A4813" s="104"/>
      <c r="B4813" s="104"/>
    </row>
    <row r="4814" spans="1:2" x14ac:dyDescent="0.25">
      <c r="A4814" s="104"/>
      <c r="B4814" s="104"/>
    </row>
    <row r="4815" spans="1:2" x14ac:dyDescent="0.25">
      <c r="A4815" s="104"/>
      <c r="B4815" s="104"/>
    </row>
    <row r="4816" spans="1:2" x14ac:dyDescent="0.25">
      <c r="A4816" s="104"/>
      <c r="B4816" s="104"/>
    </row>
    <row r="4817" spans="1:2" x14ac:dyDescent="0.25">
      <c r="A4817" s="104"/>
      <c r="B4817" s="104"/>
    </row>
    <row r="4818" spans="1:2" x14ac:dyDescent="0.25">
      <c r="A4818" s="104"/>
      <c r="B4818" s="104"/>
    </row>
    <row r="4819" spans="1:2" x14ac:dyDescent="0.25">
      <c r="A4819" s="104"/>
      <c r="B4819" s="104"/>
    </row>
    <row r="4820" spans="1:2" x14ac:dyDescent="0.25">
      <c r="A4820" s="104"/>
      <c r="B4820" s="104"/>
    </row>
    <row r="4821" spans="1:2" x14ac:dyDescent="0.25">
      <c r="A4821" s="104"/>
      <c r="B4821" s="104"/>
    </row>
    <row r="4822" spans="1:2" x14ac:dyDescent="0.25">
      <c r="A4822" s="104"/>
      <c r="B4822" s="104"/>
    </row>
    <row r="4823" spans="1:2" x14ac:dyDescent="0.25">
      <c r="A4823" s="104"/>
      <c r="B4823" s="104"/>
    </row>
    <row r="4824" spans="1:2" x14ac:dyDescent="0.25">
      <c r="A4824" s="104"/>
      <c r="B4824" s="104"/>
    </row>
    <row r="4825" spans="1:2" x14ac:dyDescent="0.25">
      <c r="A4825" s="104"/>
      <c r="B4825" s="104"/>
    </row>
    <row r="4826" spans="1:2" x14ac:dyDescent="0.25">
      <c r="A4826" s="104"/>
      <c r="B4826" s="104"/>
    </row>
    <row r="4827" spans="1:2" x14ac:dyDescent="0.25">
      <c r="A4827" s="104"/>
      <c r="B4827" s="104"/>
    </row>
    <row r="4828" spans="1:2" x14ac:dyDescent="0.25">
      <c r="A4828" s="104"/>
      <c r="B4828" s="104"/>
    </row>
    <row r="4829" spans="1:2" x14ac:dyDescent="0.25">
      <c r="A4829" s="104"/>
      <c r="B4829" s="104"/>
    </row>
    <row r="4830" spans="1:2" x14ac:dyDescent="0.25">
      <c r="A4830" s="104"/>
      <c r="B4830" s="104"/>
    </row>
    <row r="4831" spans="1:2" x14ac:dyDescent="0.25">
      <c r="A4831" s="104"/>
      <c r="B4831" s="104"/>
    </row>
    <row r="4832" spans="1:2" x14ac:dyDescent="0.25">
      <c r="A4832" s="104"/>
      <c r="B4832" s="104"/>
    </row>
    <row r="4833" spans="1:2" x14ac:dyDescent="0.25">
      <c r="A4833" s="104"/>
      <c r="B4833" s="104"/>
    </row>
    <row r="4834" spans="1:2" x14ac:dyDescent="0.25">
      <c r="A4834" s="104"/>
      <c r="B4834" s="104"/>
    </row>
    <row r="4835" spans="1:2" x14ac:dyDescent="0.25">
      <c r="A4835" s="104"/>
      <c r="B4835" s="104"/>
    </row>
    <row r="4836" spans="1:2" x14ac:dyDescent="0.25">
      <c r="A4836" s="104"/>
      <c r="B4836" s="104"/>
    </row>
    <row r="4837" spans="1:2" x14ac:dyDescent="0.25">
      <c r="A4837" s="104"/>
      <c r="B4837" s="104"/>
    </row>
    <row r="4838" spans="1:2" x14ac:dyDescent="0.25">
      <c r="A4838" s="104"/>
      <c r="B4838" s="104"/>
    </row>
    <row r="4839" spans="1:2" x14ac:dyDescent="0.25">
      <c r="A4839" s="104"/>
      <c r="B4839" s="104"/>
    </row>
    <row r="4840" spans="1:2" x14ac:dyDescent="0.25">
      <c r="A4840" s="104"/>
      <c r="B4840" s="104"/>
    </row>
    <row r="4841" spans="1:2" x14ac:dyDescent="0.25">
      <c r="A4841" s="104"/>
      <c r="B4841" s="104"/>
    </row>
    <row r="4842" spans="1:2" x14ac:dyDescent="0.25">
      <c r="A4842" s="104"/>
      <c r="B4842" s="104"/>
    </row>
    <row r="4843" spans="1:2" x14ac:dyDescent="0.25">
      <c r="A4843" s="104"/>
      <c r="B4843" s="104"/>
    </row>
    <row r="4844" spans="1:2" x14ac:dyDescent="0.25">
      <c r="A4844" s="104"/>
      <c r="B4844" s="104"/>
    </row>
    <row r="4845" spans="1:2" x14ac:dyDescent="0.25">
      <c r="A4845" s="104"/>
      <c r="B4845" s="104"/>
    </row>
    <row r="4846" spans="1:2" x14ac:dyDescent="0.25">
      <c r="A4846" s="104"/>
      <c r="B4846" s="104"/>
    </row>
    <row r="4847" spans="1:2" x14ac:dyDescent="0.25">
      <c r="A4847" s="104"/>
      <c r="B4847" s="104"/>
    </row>
    <row r="4848" spans="1:2" x14ac:dyDescent="0.25">
      <c r="A4848" s="104"/>
      <c r="B4848" s="104"/>
    </row>
    <row r="4849" spans="1:2" x14ac:dyDescent="0.25">
      <c r="A4849" s="104"/>
      <c r="B4849" s="104"/>
    </row>
    <row r="4850" spans="1:2" x14ac:dyDescent="0.25">
      <c r="A4850" s="104"/>
      <c r="B4850" s="104"/>
    </row>
    <row r="4851" spans="1:2" x14ac:dyDescent="0.25">
      <c r="A4851" s="104"/>
      <c r="B4851" s="104"/>
    </row>
    <row r="4852" spans="1:2" x14ac:dyDescent="0.25">
      <c r="A4852" s="104"/>
      <c r="B4852" s="104"/>
    </row>
    <row r="4853" spans="1:2" x14ac:dyDescent="0.25">
      <c r="A4853" s="104"/>
      <c r="B4853" s="104"/>
    </row>
    <row r="4854" spans="1:2" x14ac:dyDescent="0.25">
      <c r="A4854" s="104"/>
      <c r="B4854" s="104"/>
    </row>
    <row r="4855" spans="1:2" x14ac:dyDescent="0.25">
      <c r="A4855" s="104"/>
      <c r="B4855" s="104"/>
    </row>
    <row r="4856" spans="1:2" x14ac:dyDescent="0.25">
      <c r="A4856" s="104"/>
      <c r="B4856" s="104"/>
    </row>
    <row r="4857" spans="1:2" x14ac:dyDescent="0.25">
      <c r="A4857" s="104"/>
      <c r="B4857" s="104"/>
    </row>
    <row r="4858" spans="1:2" x14ac:dyDescent="0.25">
      <c r="A4858" s="104"/>
      <c r="B4858" s="104"/>
    </row>
    <row r="4859" spans="1:2" x14ac:dyDescent="0.25">
      <c r="A4859" s="104"/>
      <c r="B4859" s="104"/>
    </row>
    <row r="4860" spans="1:2" x14ac:dyDescent="0.25">
      <c r="A4860" s="104"/>
      <c r="B4860" s="104"/>
    </row>
    <row r="4861" spans="1:2" x14ac:dyDescent="0.25">
      <c r="A4861" s="104"/>
      <c r="B4861" s="104"/>
    </row>
    <row r="4862" spans="1:2" x14ac:dyDescent="0.25">
      <c r="A4862" s="104"/>
      <c r="B4862" s="104"/>
    </row>
    <row r="4863" spans="1:2" x14ac:dyDescent="0.25">
      <c r="A4863" s="104"/>
      <c r="B4863" s="104"/>
    </row>
    <row r="4864" spans="1:2" x14ac:dyDescent="0.25">
      <c r="A4864" s="104"/>
      <c r="B4864" s="104"/>
    </row>
    <row r="4865" spans="1:2" x14ac:dyDescent="0.25">
      <c r="A4865" s="104"/>
      <c r="B4865" s="104"/>
    </row>
    <row r="4866" spans="1:2" x14ac:dyDescent="0.25">
      <c r="A4866" s="104"/>
      <c r="B4866" s="104"/>
    </row>
    <row r="4867" spans="1:2" x14ac:dyDescent="0.25">
      <c r="A4867" s="104"/>
      <c r="B4867" s="104"/>
    </row>
    <row r="4868" spans="1:2" x14ac:dyDescent="0.25">
      <c r="A4868" s="104"/>
      <c r="B4868" s="104"/>
    </row>
    <row r="4869" spans="1:2" x14ac:dyDescent="0.25">
      <c r="A4869" s="104"/>
      <c r="B4869" s="104"/>
    </row>
    <row r="4870" spans="1:2" x14ac:dyDescent="0.25">
      <c r="A4870" s="104"/>
      <c r="B4870" s="104"/>
    </row>
    <row r="4871" spans="1:2" x14ac:dyDescent="0.25">
      <c r="A4871" s="104"/>
      <c r="B4871" s="104"/>
    </row>
    <row r="4872" spans="1:2" x14ac:dyDescent="0.25">
      <c r="A4872" s="104"/>
      <c r="B4872" s="104"/>
    </row>
    <row r="4873" spans="1:2" x14ac:dyDescent="0.25">
      <c r="A4873" s="104"/>
      <c r="B4873" s="104"/>
    </row>
    <row r="4874" spans="1:2" x14ac:dyDescent="0.25">
      <c r="A4874" s="104"/>
      <c r="B4874" s="104"/>
    </row>
    <row r="4875" spans="1:2" x14ac:dyDescent="0.25">
      <c r="A4875" s="104"/>
      <c r="B4875" s="104"/>
    </row>
    <row r="4876" spans="1:2" x14ac:dyDescent="0.25">
      <c r="A4876" s="104"/>
      <c r="B4876" s="104"/>
    </row>
    <row r="4877" spans="1:2" x14ac:dyDescent="0.25">
      <c r="A4877" s="104"/>
      <c r="B4877" s="104"/>
    </row>
    <row r="4878" spans="1:2" x14ac:dyDescent="0.25">
      <c r="A4878" s="104"/>
      <c r="B4878" s="104"/>
    </row>
    <row r="4879" spans="1:2" x14ac:dyDescent="0.25">
      <c r="A4879" s="104"/>
      <c r="B4879" s="104"/>
    </row>
    <row r="4880" spans="1:2" x14ac:dyDescent="0.25">
      <c r="A4880" s="104"/>
      <c r="B4880" s="104"/>
    </row>
    <row r="4881" spans="1:2" x14ac:dyDescent="0.25">
      <c r="A4881" s="104"/>
      <c r="B4881" s="104"/>
    </row>
    <row r="4882" spans="1:2" x14ac:dyDescent="0.25">
      <c r="A4882" s="104"/>
      <c r="B4882" s="104"/>
    </row>
    <row r="4883" spans="1:2" x14ac:dyDescent="0.25">
      <c r="A4883" s="104"/>
      <c r="B4883" s="104"/>
    </row>
    <row r="4884" spans="1:2" x14ac:dyDescent="0.25">
      <c r="A4884" s="104"/>
      <c r="B4884" s="104"/>
    </row>
    <row r="4885" spans="1:2" x14ac:dyDescent="0.25">
      <c r="A4885" s="104"/>
      <c r="B4885" s="104"/>
    </row>
    <row r="4886" spans="1:2" x14ac:dyDescent="0.25">
      <c r="A4886" s="104"/>
      <c r="B4886" s="104"/>
    </row>
    <row r="4887" spans="1:2" x14ac:dyDescent="0.25">
      <c r="A4887" s="104"/>
      <c r="B4887" s="104"/>
    </row>
    <row r="4888" spans="1:2" x14ac:dyDescent="0.25">
      <c r="A4888" s="104"/>
      <c r="B4888" s="104"/>
    </row>
    <row r="4889" spans="1:2" x14ac:dyDescent="0.25">
      <c r="A4889" s="104"/>
      <c r="B4889" s="104"/>
    </row>
    <row r="4890" spans="1:2" x14ac:dyDescent="0.25">
      <c r="A4890" s="104"/>
      <c r="B4890" s="104"/>
    </row>
    <row r="4891" spans="1:2" x14ac:dyDescent="0.25">
      <c r="A4891" s="104"/>
      <c r="B4891" s="104"/>
    </row>
    <row r="4892" spans="1:2" x14ac:dyDescent="0.25">
      <c r="A4892" s="104"/>
      <c r="B4892" s="104"/>
    </row>
    <row r="4893" spans="1:2" x14ac:dyDescent="0.25">
      <c r="A4893" s="104"/>
      <c r="B4893" s="104"/>
    </row>
    <row r="4894" spans="1:2" x14ac:dyDescent="0.25">
      <c r="A4894" s="104"/>
      <c r="B4894" s="104"/>
    </row>
    <row r="4895" spans="1:2" x14ac:dyDescent="0.25">
      <c r="A4895" s="104"/>
      <c r="B4895" s="104"/>
    </row>
    <row r="4896" spans="1:2" x14ac:dyDescent="0.25">
      <c r="A4896" s="104"/>
      <c r="B4896" s="104"/>
    </row>
    <row r="4897" spans="1:2" x14ac:dyDescent="0.25">
      <c r="A4897" s="104"/>
      <c r="B4897" s="104"/>
    </row>
    <row r="4898" spans="1:2" x14ac:dyDescent="0.25">
      <c r="A4898" s="104"/>
      <c r="B4898" s="104"/>
    </row>
    <row r="4899" spans="1:2" x14ac:dyDescent="0.25">
      <c r="A4899" s="104"/>
      <c r="B4899" s="104"/>
    </row>
    <row r="4900" spans="1:2" x14ac:dyDescent="0.25">
      <c r="A4900" s="104"/>
      <c r="B4900" s="104"/>
    </row>
    <row r="4901" spans="1:2" x14ac:dyDescent="0.25">
      <c r="A4901" s="104"/>
      <c r="B4901" s="104"/>
    </row>
    <row r="4902" spans="1:2" x14ac:dyDescent="0.25">
      <c r="A4902" s="104"/>
      <c r="B4902" s="104"/>
    </row>
    <row r="4903" spans="1:2" x14ac:dyDescent="0.25">
      <c r="A4903" s="104"/>
      <c r="B4903" s="104"/>
    </row>
    <row r="4904" spans="1:2" x14ac:dyDescent="0.25">
      <c r="A4904" s="104"/>
      <c r="B4904" s="104"/>
    </row>
    <row r="4905" spans="1:2" x14ac:dyDescent="0.25">
      <c r="A4905" s="104"/>
      <c r="B4905" s="104"/>
    </row>
    <row r="4906" spans="1:2" x14ac:dyDescent="0.25">
      <c r="A4906" s="104"/>
      <c r="B4906" s="104"/>
    </row>
    <row r="4907" spans="1:2" x14ac:dyDescent="0.25">
      <c r="A4907" s="104"/>
      <c r="B4907" s="104"/>
    </row>
    <row r="4908" spans="1:2" x14ac:dyDescent="0.25">
      <c r="A4908" s="104"/>
      <c r="B4908" s="104"/>
    </row>
    <row r="4909" spans="1:2" x14ac:dyDescent="0.25">
      <c r="A4909" s="104"/>
      <c r="B4909" s="104"/>
    </row>
    <row r="4910" spans="1:2" x14ac:dyDescent="0.25">
      <c r="A4910" s="104"/>
      <c r="B4910" s="104"/>
    </row>
    <row r="4911" spans="1:2" x14ac:dyDescent="0.25">
      <c r="A4911" s="104"/>
      <c r="B4911" s="104"/>
    </row>
    <row r="4912" spans="1:2" x14ac:dyDescent="0.25">
      <c r="A4912" s="104"/>
      <c r="B4912" s="104"/>
    </row>
    <row r="4913" spans="1:2" x14ac:dyDescent="0.25">
      <c r="A4913" s="104"/>
      <c r="B4913" s="104"/>
    </row>
    <row r="4914" spans="1:2" x14ac:dyDescent="0.25">
      <c r="A4914" s="104"/>
      <c r="B4914" s="104"/>
    </row>
    <row r="4915" spans="1:2" x14ac:dyDescent="0.25">
      <c r="A4915" s="104"/>
      <c r="B4915" s="104"/>
    </row>
    <row r="4916" spans="1:2" x14ac:dyDescent="0.25">
      <c r="A4916" s="104"/>
      <c r="B4916" s="104"/>
    </row>
    <row r="4917" spans="1:2" x14ac:dyDescent="0.25">
      <c r="A4917" s="104"/>
      <c r="B4917" s="104"/>
    </row>
    <row r="4918" spans="1:2" x14ac:dyDescent="0.25">
      <c r="A4918" s="104"/>
      <c r="B4918" s="104"/>
    </row>
    <row r="4919" spans="1:2" x14ac:dyDescent="0.25">
      <c r="A4919" s="104"/>
      <c r="B4919" s="104"/>
    </row>
    <row r="4920" spans="1:2" x14ac:dyDescent="0.25">
      <c r="A4920" s="104"/>
      <c r="B4920" s="104"/>
    </row>
    <row r="4921" spans="1:2" x14ac:dyDescent="0.25">
      <c r="A4921" s="104"/>
      <c r="B4921" s="104"/>
    </row>
    <row r="4922" spans="1:2" x14ac:dyDescent="0.25">
      <c r="A4922" s="104"/>
      <c r="B4922" s="104"/>
    </row>
    <row r="4923" spans="1:2" x14ac:dyDescent="0.25">
      <c r="A4923" s="104"/>
      <c r="B4923" s="104"/>
    </row>
    <row r="4924" spans="1:2" x14ac:dyDescent="0.25">
      <c r="A4924" s="104"/>
      <c r="B4924" s="104"/>
    </row>
    <row r="4925" spans="1:2" x14ac:dyDescent="0.25">
      <c r="A4925" s="104"/>
      <c r="B4925" s="104"/>
    </row>
    <row r="4926" spans="1:2" x14ac:dyDescent="0.25">
      <c r="A4926" s="104"/>
      <c r="B4926" s="104"/>
    </row>
    <row r="4927" spans="1:2" x14ac:dyDescent="0.25">
      <c r="A4927" s="104"/>
      <c r="B4927" s="104"/>
    </row>
    <row r="4928" spans="1:2" x14ac:dyDescent="0.25">
      <c r="A4928" s="104"/>
      <c r="B4928" s="104"/>
    </row>
    <row r="4929" spans="1:2" x14ac:dyDescent="0.25">
      <c r="A4929" s="104"/>
      <c r="B4929" s="104"/>
    </row>
    <row r="4930" spans="1:2" x14ac:dyDescent="0.25">
      <c r="A4930" s="104"/>
      <c r="B4930" s="104"/>
    </row>
    <row r="4931" spans="1:2" x14ac:dyDescent="0.25">
      <c r="A4931" s="104"/>
      <c r="B4931" s="104"/>
    </row>
    <row r="4932" spans="1:2" x14ac:dyDescent="0.25">
      <c r="A4932" s="104"/>
      <c r="B4932" s="104"/>
    </row>
    <row r="4933" spans="1:2" x14ac:dyDescent="0.25">
      <c r="A4933" s="104"/>
      <c r="B4933" s="104"/>
    </row>
    <row r="4934" spans="1:2" x14ac:dyDescent="0.25">
      <c r="A4934" s="104"/>
      <c r="B4934" s="104"/>
    </row>
    <row r="4935" spans="1:2" x14ac:dyDescent="0.25">
      <c r="A4935" s="104"/>
      <c r="B4935" s="104"/>
    </row>
    <row r="4936" spans="1:2" x14ac:dyDescent="0.25">
      <c r="A4936" s="104"/>
      <c r="B4936" s="104"/>
    </row>
    <row r="4937" spans="1:2" x14ac:dyDescent="0.25">
      <c r="A4937" s="104"/>
      <c r="B4937" s="104"/>
    </row>
    <row r="4938" spans="1:2" x14ac:dyDescent="0.25">
      <c r="A4938" s="104"/>
      <c r="B4938" s="104"/>
    </row>
    <row r="4939" spans="1:2" x14ac:dyDescent="0.25">
      <c r="A4939" s="104"/>
      <c r="B4939" s="104"/>
    </row>
    <row r="4940" spans="1:2" x14ac:dyDescent="0.25">
      <c r="A4940" s="104"/>
      <c r="B4940" s="104"/>
    </row>
    <row r="4941" spans="1:2" x14ac:dyDescent="0.25">
      <c r="A4941" s="104"/>
      <c r="B4941" s="104"/>
    </row>
    <row r="4942" spans="1:2" x14ac:dyDescent="0.25">
      <c r="A4942" s="104"/>
      <c r="B4942" s="104"/>
    </row>
    <row r="4943" spans="1:2" x14ac:dyDescent="0.25">
      <c r="A4943" s="104"/>
      <c r="B4943" s="104"/>
    </row>
    <row r="4944" spans="1:2" x14ac:dyDescent="0.25">
      <c r="A4944" s="104"/>
      <c r="B4944" s="104"/>
    </row>
    <row r="4945" spans="1:2" x14ac:dyDescent="0.25">
      <c r="A4945" s="104"/>
      <c r="B4945" s="104"/>
    </row>
    <row r="4946" spans="1:2" x14ac:dyDescent="0.25">
      <c r="A4946" s="104"/>
      <c r="B4946" s="104"/>
    </row>
    <row r="4947" spans="1:2" x14ac:dyDescent="0.25">
      <c r="A4947" s="104"/>
      <c r="B4947" s="104"/>
    </row>
    <row r="4948" spans="1:2" x14ac:dyDescent="0.25">
      <c r="A4948" s="104"/>
      <c r="B4948" s="104"/>
    </row>
    <row r="4949" spans="1:2" x14ac:dyDescent="0.25">
      <c r="A4949" s="104"/>
      <c r="B4949" s="104"/>
    </row>
    <row r="4950" spans="1:2" x14ac:dyDescent="0.25">
      <c r="A4950" s="104"/>
      <c r="B4950" s="104"/>
    </row>
    <row r="4951" spans="1:2" x14ac:dyDescent="0.25">
      <c r="A4951" s="104"/>
      <c r="B4951" s="104"/>
    </row>
    <row r="4952" spans="1:2" x14ac:dyDescent="0.25">
      <c r="A4952" s="104"/>
      <c r="B4952" s="104"/>
    </row>
    <row r="4953" spans="1:2" x14ac:dyDescent="0.25">
      <c r="A4953" s="104"/>
      <c r="B4953" s="104"/>
    </row>
    <row r="4954" spans="1:2" x14ac:dyDescent="0.25">
      <c r="A4954" s="104"/>
      <c r="B4954" s="104"/>
    </row>
    <row r="4955" spans="1:2" x14ac:dyDescent="0.25">
      <c r="A4955" s="104"/>
      <c r="B4955" s="104"/>
    </row>
    <row r="4956" spans="1:2" x14ac:dyDescent="0.25">
      <c r="A4956" s="104"/>
      <c r="B4956" s="104"/>
    </row>
    <row r="4957" spans="1:2" x14ac:dyDescent="0.25">
      <c r="A4957" s="104"/>
      <c r="B4957" s="104"/>
    </row>
    <row r="4958" spans="1:2" x14ac:dyDescent="0.25">
      <c r="A4958" s="104"/>
      <c r="B4958" s="104"/>
    </row>
    <row r="4959" spans="1:2" x14ac:dyDescent="0.25">
      <c r="A4959" s="104"/>
      <c r="B4959" s="104"/>
    </row>
    <row r="4960" spans="1:2" x14ac:dyDescent="0.25">
      <c r="A4960" s="104"/>
      <c r="B4960" s="104"/>
    </row>
    <row r="4961" spans="1:2" x14ac:dyDescent="0.25">
      <c r="A4961" s="104"/>
      <c r="B4961" s="104"/>
    </row>
    <row r="4962" spans="1:2" x14ac:dyDescent="0.25">
      <c r="A4962" s="104"/>
      <c r="B4962" s="104"/>
    </row>
    <row r="4963" spans="1:2" x14ac:dyDescent="0.25">
      <c r="A4963" s="104"/>
      <c r="B4963" s="104"/>
    </row>
    <row r="4964" spans="1:2" x14ac:dyDescent="0.25">
      <c r="A4964" s="104"/>
      <c r="B4964" s="104"/>
    </row>
    <row r="4965" spans="1:2" x14ac:dyDescent="0.25">
      <c r="A4965" s="104"/>
      <c r="B4965" s="104"/>
    </row>
    <row r="4966" spans="1:2" x14ac:dyDescent="0.25">
      <c r="A4966" s="104"/>
      <c r="B4966" s="104"/>
    </row>
    <row r="4967" spans="1:2" x14ac:dyDescent="0.25">
      <c r="A4967" s="104"/>
      <c r="B4967" s="104"/>
    </row>
    <row r="4968" spans="1:2" x14ac:dyDescent="0.25">
      <c r="A4968" s="104"/>
      <c r="B4968" s="104"/>
    </row>
    <row r="4969" spans="1:2" x14ac:dyDescent="0.25">
      <c r="A4969" s="104"/>
      <c r="B4969" s="104"/>
    </row>
    <row r="4970" spans="1:2" x14ac:dyDescent="0.25">
      <c r="A4970" s="104"/>
      <c r="B4970" s="104"/>
    </row>
    <row r="4971" spans="1:2" x14ac:dyDescent="0.25">
      <c r="A4971" s="104"/>
      <c r="B4971" s="104"/>
    </row>
    <row r="4972" spans="1:2" x14ac:dyDescent="0.25">
      <c r="A4972" s="104"/>
      <c r="B4972" s="104"/>
    </row>
    <row r="4973" spans="1:2" x14ac:dyDescent="0.25">
      <c r="A4973" s="104"/>
      <c r="B4973" s="104"/>
    </row>
    <row r="4974" spans="1:2" x14ac:dyDescent="0.25">
      <c r="A4974" s="104"/>
      <c r="B4974" s="104"/>
    </row>
    <row r="4975" spans="1:2" x14ac:dyDescent="0.25">
      <c r="A4975" s="104"/>
      <c r="B4975" s="104"/>
    </row>
    <row r="4976" spans="1:2" x14ac:dyDescent="0.25">
      <c r="A4976" s="104"/>
      <c r="B4976" s="104"/>
    </row>
    <row r="4977" spans="1:2" x14ac:dyDescent="0.25">
      <c r="A4977" s="104"/>
      <c r="B4977" s="104"/>
    </row>
    <row r="4978" spans="1:2" x14ac:dyDescent="0.25">
      <c r="A4978" s="104"/>
      <c r="B4978" s="104"/>
    </row>
    <row r="4979" spans="1:2" x14ac:dyDescent="0.25">
      <c r="A4979" s="104"/>
      <c r="B4979" s="104"/>
    </row>
    <row r="4980" spans="1:2" x14ac:dyDescent="0.25">
      <c r="A4980" s="104"/>
      <c r="B4980" s="104"/>
    </row>
    <row r="4981" spans="1:2" x14ac:dyDescent="0.25">
      <c r="A4981" s="104"/>
      <c r="B4981" s="104"/>
    </row>
    <row r="4982" spans="1:2" x14ac:dyDescent="0.25">
      <c r="A4982" s="104"/>
      <c r="B4982" s="104"/>
    </row>
    <row r="4983" spans="1:2" x14ac:dyDescent="0.25">
      <c r="A4983" s="104"/>
      <c r="B4983" s="104"/>
    </row>
    <row r="4984" spans="1:2" x14ac:dyDescent="0.25">
      <c r="A4984" s="104"/>
      <c r="B4984" s="104"/>
    </row>
    <row r="4985" spans="1:2" x14ac:dyDescent="0.25">
      <c r="A4985" s="104"/>
      <c r="B4985" s="104"/>
    </row>
    <row r="4986" spans="1:2" x14ac:dyDescent="0.25">
      <c r="A4986" s="104"/>
      <c r="B4986" s="104"/>
    </row>
    <row r="4987" spans="1:2" x14ac:dyDescent="0.25">
      <c r="A4987" s="104"/>
      <c r="B4987" s="104"/>
    </row>
    <row r="4988" spans="1:2" x14ac:dyDescent="0.25">
      <c r="A4988" s="104"/>
      <c r="B4988" s="104"/>
    </row>
    <row r="4989" spans="1:2" x14ac:dyDescent="0.25">
      <c r="A4989" s="104"/>
      <c r="B4989" s="104"/>
    </row>
    <row r="4990" spans="1:2" x14ac:dyDescent="0.25">
      <c r="A4990" s="104"/>
      <c r="B4990" s="104"/>
    </row>
    <row r="4991" spans="1:2" x14ac:dyDescent="0.25">
      <c r="A4991" s="104"/>
      <c r="B4991" s="104"/>
    </row>
    <row r="4992" spans="1:2" x14ac:dyDescent="0.25">
      <c r="A4992" s="104"/>
      <c r="B4992" s="104"/>
    </row>
    <row r="4993" spans="1:2" x14ac:dyDescent="0.25">
      <c r="A4993" s="104"/>
      <c r="B4993" s="104"/>
    </row>
    <row r="4994" spans="1:2" x14ac:dyDescent="0.25">
      <c r="A4994" s="104"/>
      <c r="B4994" s="104"/>
    </row>
    <row r="4995" spans="1:2" x14ac:dyDescent="0.25">
      <c r="A4995" s="104"/>
      <c r="B4995" s="104"/>
    </row>
    <row r="4996" spans="1:2" x14ac:dyDescent="0.25">
      <c r="A4996" s="104"/>
      <c r="B4996" s="104"/>
    </row>
    <row r="4997" spans="1:2" x14ac:dyDescent="0.25">
      <c r="A4997" s="104"/>
      <c r="B4997" s="104"/>
    </row>
    <row r="4998" spans="1:2" x14ac:dyDescent="0.25">
      <c r="A4998" s="104"/>
      <c r="B4998" s="104"/>
    </row>
    <row r="4999" spans="1:2" x14ac:dyDescent="0.25">
      <c r="A4999" s="104"/>
      <c r="B4999" s="104"/>
    </row>
    <row r="5000" spans="1:2" x14ac:dyDescent="0.25">
      <c r="A5000" s="104"/>
      <c r="B5000" s="104"/>
    </row>
    <row r="5001" spans="1:2" x14ac:dyDescent="0.25">
      <c r="A5001" s="104"/>
      <c r="B5001" s="104"/>
    </row>
    <row r="5002" spans="1:2" x14ac:dyDescent="0.25">
      <c r="A5002" s="104"/>
      <c r="B5002" s="104"/>
    </row>
    <row r="5003" spans="1:2" x14ac:dyDescent="0.25">
      <c r="A5003" s="104"/>
      <c r="B5003" s="104"/>
    </row>
    <row r="5004" spans="1:2" x14ac:dyDescent="0.25">
      <c r="A5004" s="104"/>
      <c r="B5004" s="104"/>
    </row>
    <row r="5005" spans="1:2" x14ac:dyDescent="0.25">
      <c r="A5005" s="104"/>
      <c r="B5005" s="104"/>
    </row>
    <row r="5006" spans="1:2" x14ac:dyDescent="0.25">
      <c r="A5006" s="104"/>
      <c r="B5006" s="104"/>
    </row>
    <row r="5007" spans="1:2" x14ac:dyDescent="0.25">
      <c r="A5007" s="104"/>
      <c r="B5007" s="104"/>
    </row>
    <row r="5008" spans="1:2" x14ac:dyDescent="0.25">
      <c r="A5008" s="104"/>
      <c r="B5008" s="104"/>
    </row>
    <row r="5009" spans="1:2" x14ac:dyDescent="0.25">
      <c r="A5009" s="104"/>
      <c r="B5009" s="104"/>
    </row>
    <row r="5010" spans="1:2" x14ac:dyDescent="0.25">
      <c r="A5010" s="104"/>
      <c r="B5010" s="104"/>
    </row>
    <row r="5011" spans="1:2" x14ac:dyDescent="0.25">
      <c r="A5011" s="104"/>
      <c r="B5011" s="104"/>
    </row>
    <row r="5012" spans="1:2" x14ac:dyDescent="0.25">
      <c r="A5012" s="104"/>
      <c r="B5012" s="104"/>
    </row>
    <row r="5013" spans="1:2" x14ac:dyDescent="0.25">
      <c r="A5013" s="104"/>
      <c r="B5013" s="104"/>
    </row>
    <row r="5014" spans="1:2" x14ac:dyDescent="0.25">
      <c r="A5014" s="104"/>
      <c r="B5014" s="104"/>
    </row>
    <row r="5015" spans="1:2" x14ac:dyDescent="0.25">
      <c r="A5015" s="104"/>
      <c r="B5015" s="104"/>
    </row>
    <row r="5016" spans="1:2" x14ac:dyDescent="0.25">
      <c r="A5016" s="104"/>
      <c r="B5016" s="104"/>
    </row>
    <row r="5017" spans="1:2" x14ac:dyDescent="0.25">
      <c r="A5017" s="104"/>
      <c r="B5017" s="104"/>
    </row>
    <row r="5018" spans="1:2" x14ac:dyDescent="0.25">
      <c r="A5018" s="104"/>
      <c r="B5018" s="104"/>
    </row>
    <row r="5019" spans="1:2" x14ac:dyDescent="0.25">
      <c r="A5019" s="104"/>
      <c r="B5019" s="104"/>
    </row>
    <row r="5020" spans="1:2" x14ac:dyDescent="0.25">
      <c r="A5020" s="104"/>
      <c r="B5020" s="104"/>
    </row>
    <row r="5021" spans="1:2" x14ac:dyDescent="0.25">
      <c r="A5021" s="104"/>
      <c r="B5021" s="104"/>
    </row>
    <row r="5022" spans="1:2" x14ac:dyDescent="0.25">
      <c r="A5022" s="104"/>
      <c r="B5022" s="104"/>
    </row>
    <row r="5023" spans="1:2" x14ac:dyDescent="0.25">
      <c r="A5023" s="104"/>
      <c r="B5023" s="104"/>
    </row>
    <row r="5024" spans="1:2" x14ac:dyDescent="0.25">
      <c r="A5024" s="104"/>
      <c r="B5024" s="104"/>
    </row>
    <row r="5025" spans="1:2" x14ac:dyDescent="0.25">
      <c r="A5025" s="104"/>
      <c r="B5025" s="104"/>
    </row>
    <row r="5026" spans="1:2" x14ac:dyDescent="0.25">
      <c r="A5026" s="104"/>
      <c r="B5026" s="104"/>
    </row>
    <row r="5027" spans="1:2" x14ac:dyDescent="0.25">
      <c r="A5027" s="104"/>
      <c r="B5027" s="104"/>
    </row>
    <row r="5028" spans="1:2" x14ac:dyDescent="0.25">
      <c r="A5028" s="104"/>
      <c r="B5028" s="104"/>
    </row>
    <row r="5029" spans="1:2" x14ac:dyDescent="0.25">
      <c r="A5029" s="104"/>
      <c r="B5029" s="104"/>
    </row>
    <row r="5030" spans="1:2" x14ac:dyDescent="0.25">
      <c r="A5030" s="104"/>
      <c r="B5030" s="104"/>
    </row>
    <row r="5031" spans="1:2" x14ac:dyDescent="0.25">
      <c r="A5031" s="104"/>
      <c r="B5031" s="104"/>
    </row>
    <row r="5032" spans="1:2" x14ac:dyDescent="0.25">
      <c r="A5032" s="104"/>
      <c r="B5032" s="104"/>
    </row>
    <row r="5033" spans="1:2" x14ac:dyDescent="0.25">
      <c r="A5033" s="104"/>
      <c r="B5033" s="104"/>
    </row>
    <row r="5034" spans="1:2" x14ac:dyDescent="0.25">
      <c r="A5034" s="104"/>
      <c r="B5034" s="104"/>
    </row>
    <row r="5035" spans="1:2" x14ac:dyDescent="0.25">
      <c r="A5035" s="104"/>
      <c r="B5035" s="104"/>
    </row>
    <row r="5036" spans="1:2" x14ac:dyDescent="0.25">
      <c r="A5036" s="104"/>
      <c r="B5036" s="104"/>
    </row>
    <row r="5037" spans="1:2" x14ac:dyDescent="0.25">
      <c r="A5037" s="104"/>
      <c r="B5037" s="104"/>
    </row>
    <row r="5038" spans="1:2" x14ac:dyDescent="0.25">
      <c r="A5038" s="104"/>
      <c r="B5038" s="104"/>
    </row>
    <row r="5039" spans="1:2" x14ac:dyDescent="0.25">
      <c r="A5039" s="104"/>
      <c r="B5039" s="104"/>
    </row>
    <row r="5040" spans="1:2" x14ac:dyDescent="0.25">
      <c r="A5040" s="104"/>
      <c r="B5040" s="104"/>
    </row>
    <row r="5041" spans="1:2" x14ac:dyDescent="0.25">
      <c r="A5041" s="104"/>
      <c r="B5041" s="104"/>
    </row>
    <row r="5042" spans="1:2" x14ac:dyDescent="0.25">
      <c r="A5042" s="104"/>
      <c r="B5042" s="104"/>
    </row>
    <row r="5043" spans="1:2" x14ac:dyDescent="0.25">
      <c r="A5043" s="104"/>
      <c r="B5043" s="104"/>
    </row>
    <row r="5044" spans="1:2" x14ac:dyDescent="0.25">
      <c r="A5044" s="104"/>
      <c r="B5044" s="104"/>
    </row>
    <row r="5045" spans="1:2" x14ac:dyDescent="0.25">
      <c r="A5045" s="104"/>
      <c r="B5045" s="104"/>
    </row>
    <row r="5046" spans="1:2" x14ac:dyDescent="0.25">
      <c r="A5046" s="104"/>
      <c r="B5046" s="104"/>
    </row>
    <row r="5047" spans="1:2" x14ac:dyDescent="0.25">
      <c r="A5047" s="104"/>
      <c r="B5047" s="104"/>
    </row>
    <row r="5048" spans="1:2" x14ac:dyDescent="0.25">
      <c r="A5048" s="104"/>
      <c r="B5048" s="104"/>
    </row>
    <row r="5049" spans="1:2" x14ac:dyDescent="0.25">
      <c r="A5049" s="104"/>
      <c r="B5049" s="104"/>
    </row>
    <row r="5050" spans="1:2" x14ac:dyDescent="0.25">
      <c r="A5050" s="104"/>
      <c r="B5050" s="104"/>
    </row>
    <row r="5051" spans="1:2" x14ac:dyDescent="0.25">
      <c r="A5051" s="104"/>
      <c r="B5051" s="104"/>
    </row>
    <row r="5052" spans="1:2" x14ac:dyDescent="0.25">
      <c r="A5052" s="104"/>
      <c r="B5052" s="104"/>
    </row>
    <row r="5053" spans="1:2" x14ac:dyDescent="0.25">
      <c r="A5053" s="104"/>
      <c r="B5053" s="104"/>
    </row>
    <row r="5054" spans="1:2" x14ac:dyDescent="0.25">
      <c r="A5054" s="104"/>
      <c r="B5054" s="104"/>
    </row>
    <row r="5055" spans="1:2" x14ac:dyDescent="0.25">
      <c r="A5055" s="104"/>
      <c r="B5055" s="104"/>
    </row>
    <row r="5056" spans="1:2" x14ac:dyDescent="0.25">
      <c r="A5056" s="104"/>
      <c r="B5056" s="104"/>
    </row>
    <row r="5057" spans="1:2" x14ac:dyDescent="0.25">
      <c r="A5057" s="104"/>
      <c r="B5057" s="104"/>
    </row>
    <row r="5058" spans="1:2" x14ac:dyDescent="0.25">
      <c r="A5058" s="104"/>
      <c r="B5058" s="104"/>
    </row>
    <row r="5059" spans="1:2" x14ac:dyDescent="0.25">
      <c r="A5059" s="104"/>
      <c r="B5059" s="104"/>
    </row>
    <row r="5060" spans="1:2" x14ac:dyDescent="0.25">
      <c r="A5060" s="104"/>
      <c r="B5060" s="104"/>
    </row>
    <row r="5061" spans="1:2" x14ac:dyDescent="0.25">
      <c r="A5061" s="104"/>
      <c r="B5061" s="104"/>
    </row>
    <row r="5062" spans="1:2" x14ac:dyDescent="0.25">
      <c r="A5062" s="104"/>
      <c r="B5062" s="104"/>
    </row>
    <row r="5063" spans="1:2" x14ac:dyDescent="0.25">
      <c r="A5063" s="104"/>
      <c r="B5063" s="104"/>
    </row>
    <row r="5064" spans="1:2" x14ac:dyDescent="0.25">
      <c r="A5064" s="104"/>
      <c r="B5064" s="104"/>
    </row>
    <row r="5065" spans="1:2" x14ac:dyDescent="0.25">
      <c r="A5065" s="104"/>
      <c r="B5065" s="104"/>
    </row>
    <row r="5066" spans="1:2" x14ac:dyDescent="0.25">
      <c r="A5066" s="104"/>
      <c r="B5066" s="104"/>
    </row>
    <row r="5067" spans="1:2" x14ac:dyDescent="0.25">
      <c r="A5067" s="104"/>
      <c r="B5067" s="104"/>
    </row>
    <row r="5068" spans="1:2" x14ac:dyDescent="0.25">
      <c r="A5068" s="104"/>
      <c r="B5068" s="104"/>
    </row>
    <row r="5069" spans="1:2" x14ac:dyDescent="0.25">
      <c r="A5069" s="104"/>
      <c r="B5069" s="104"/>
    </row>
    <row r="5070" spans="1:2" x14ac:dyDescent="0.25">
      <c r="A5070" s="104"/>
      <c r="B5070" s="104"/>
    </row>
    <row r="5071" spans="1:2" x14ac:dyDescent="0.25">
      <c r="A5071" s="104"/>
      <c r="B5071" s="104"/>
    </row>
    <row r="5072" spans="1:2" x14ac:dyDescent="0.25">
      <c r="A5072" s="104"/>
      <c r="B5072" s="104"/>
    </row>
    <row r="5073" spans="1:2" x14ac:dyDescent="0.25">
      <c r="A5073" s="104"/>
      <c r="B5073" s="104"/>
    </row>
    <row r="5074" spans="1:2" x14ac:dyDescent="0.25">
      <c r="A5074" s="104"/>
      <c r="B5074" s="104"/>
    </row>
    <row r="5075" spans="1:2" x14ac:dyDescent="0.25">
      <c r="A5075" s="104"/>
      <c r="B5075" s="104"/>
    </row>
    <row r="5076" spans="1:2" x14ac:dyDescent="0.25">
      <c r="A5076" s="104"/>
      <c r="B5076" s="104"/>
    </row>
    <row r="5077" spans="1:2" x14ac:dyDescent="0.25">
      <c r="A5077" s="104"/>
      <c r="B5077" s="104"/>
    </row>
    <row r="5078" spans="1:2" x14ac:dyDescent="0.25">
      <c r="A5078" s="104"/>
      <c r="B5078" s="104"/>
    </row>
    <row r="5079" spans="1:2" x14ac:dyDescent="0.25">
      <c r="A5079" s="104"/>
      <c r="B5079" s="104"/>
    </row>
    <row r="5080" spans="1:2" x14ac:dyDescent="0.25">
      <c r="A5080" s="104"/>
      <c r="B5080" s="104"/>
    </row>
    <row r="5081" spans="1:2" x14ac:dyDescent="0.25">
      <c r="A5081" s="104"/>
      <c r="B5081" s="104"/>
    </row>
    <row r="5082" spans="1:2" x14ac:dyDescent="0.25">
      <c r="A5082" s="104"/>
      <c r="B5082" s="104"/>
    </row>
    <row r="5083" spans="1:2" x14ac:dyDescent="0.25">
      <c r="A5083" s="104"/>
      <c r="B5083" s="104"/>
    </row>
    <row r="5084" spans="1:2" x14ac:dyDescent="0.25">
      <c r="A5084" s="104"/>
      <c r="B5084" s="104"/>
    </row>
    <row r="5085" spans="1:2" x14ac:dyDescent="0.25">
      <c r="A5085" s="104"/>
      <c r="B5085" s="104"/>
    </row>
    <row r="5086" spans="1:2" x14ac:dyDescent="0.25">
      <c r="A5086" s="104"/>
      <c r="B5086" s="104"/>
    </row>
    <row r="5087" spans="1:2" x14ac:dyDescent="0.25">
      <c r="A5087" s="104"/>
      <c r="B5087" s="104"/>
    </row>
    <row r="5088" spans="1:2" x14ac:dyDescent="0.25">
      <c r="A5088" s="104"/>
      <c r="B5088" s="104"/>
    </row>
    <row r="5089" spans="1:2" x14ac:dyDescent="0.25">
      <c r="A5089" s="104"/>
      <c r="B5089" s="104"/>
    </row>
    <row r="5090" spans="1:2" x14ac:dyDescent="0.25">
      <c r="A5090" s="104"/>
      <c r="B5090" s="104"/>
    </row>
    <row r="5091" spans="1:2" x14ac:dyDescent="0.25">
      <c r="A5091" s="104"/>
      <c r="B5091" s="104"/>
    </row>
    <row r="5092" spans="1:2" x14ac:dyDescent="0.25">
      <c r="A5092" s="104"/>
      <c r="B5092" s="104"/>
    </row>
    <row r="5093" spans="1:2" x14ac:dyDescent="0.25">
      <c r="A5093" s="104"/>
      <c r="B5093" s="104"/>
    </row>
    <row r="5094" spans="1:2" x14ac:dyDescent="0.25">
      <c r="A5094" s="104"/>
      <c r="B5094" s="104"/>
    </row>
    <row r="5095" spans="1:2" x14ac:dyDescent="0.25">
      <c r="A5095" s="104"/>
      <c r="B5095" s="104"/>
    </row>
    <row r="5096" spans="1:2" x14ac:dyDescent="0.25">
      <c r="A5096" s="104"/>
      <c r="B5096" s="104"/>
    </row>
    <row r="5097" spans="1:2" x14ac:dyDescent="0.25">
      <c r="A5097" s="104"/>
      <c r="B5097" s="104"/>
    </row>
    <row r="5098" spans="1:2" x14ac:dyDescent="0.25">
      <c r="A5098" s="104"/>
      <c r="B5098" s="104"/>
    </row>
    <row r="5099" spans="1:2" x14ac:dyDescent="0.25">
      <c r="A5099" s="104"/>
      <c r="B5099" s="104"/>
    </row>
    <row r="5100" spans="1:2" x14ac:dyDescent="0.25">
      <c r="A5100" s="104"/>
      <c r="B5100" s="104"/>
    </row>
    <row r="5101" spans="1:2" x14ac:dyDescent="0.25">
      <c r="A5101" s="104"/>
      <c r="B5101" s="104"/>
    </row>
    <row r="5102" spans="1:2" x14ac:dyDescent="0.25">
      <c r="A5102" s="104"/>
      <c r="B5102" s="104"/>
    </row>
    <row r="5103" spans="1:2" x14ac:dyDescent="0.25">
      <c r="A5103" s="104"/>
      <c r="B5103" s="104"/>
    </row>
    <row r="5104" spans="1:2" x14ac:dyDescent="0.25">
      <c r="A5104" s="104"/>
      <c r="B5104" s="104"/>
    </row>
    <row r="5105" spans="1:2" x14ac:dyDescent="0.25">
      <c r="A5105" s="104"/>
      <c r="B5105" s="104"/>
    </row>
    <row r="5106" spans="1:2" x14ac:dyDescent="0.25">
      <c r="A5106" s="104"/>
      <c r="B5106" s="104"/>
    </row>
    <row r="5107" spans="1:2" x14ac:dyDescent="0.25">
      <c r="A5107" s="104"/>
      <c r="B5107" s="104"/>
    </row>
    <row r="5108" spans="1:2" x14ac:dyDescent="0.25">
      <c r="A5108" s="104"/>
      <c r="B5108" s="104"/>
    </row>
    <row r="5109" spans="1:2" x14ac:dyDescent="0.25">
      <c r="A5109" s="104"/>
      <c r="B5109" s="104"/>
    </row>
    <row r="5110" spans="1:2" x14ac:dyDescent="0.25">
      <c r="A5110" s="104"/>
      <c r="B5110" s="104"/>
    </row>
    <row r="5111" spans="1:2" x14ac:dyDescent="0.25">
      <c r="A5111" s="104"/>
      <c r="B5111" s="104"/>
    </row>
    <row r="5112" spans="1:2" x14ac:dyDescent="0.25">
      <c r="A5112" s="104"/>
      <c r="B5112" s="104"/>
    </row>
    <row r="5113" spans="1:2" x14ac:dyDescent="0.25">
      <c r="A5113" s="104"/>
      <c r="B5113" s="104"/>
    </row>
    <row r="5114" spans="1:2" x14ac:dyDescent="0.25">
      <c r="A5114" s="104"/>
      <c r="B5114" s="104"/>
    </row>
    <row r="5115" spans="1:2" x14ac:dyDescent="0.25">
      <c r="A5115" s="104"/>
      <c r="B5115" s="104"/>
    </row>
    <row r="5116" spans="1:2" x14ac:dyDescent="0.25">
      <c r="A5116" s="104"/>
      <c r="B5116" s="104"/>
    </row>
    <row r="5117" spans="1:2" x14ac:dyDescent="0.25">
      <c r="A5117" s="104"/>
      <c r="B5117" s="104"/>
    </row>
    <row r="5118" spans="1:2" x14ac:dyDescent="0.25">
      <c r="A5118" s="104"/>
      <c r="B5118" s="104"/>
    </row>
    <row r="5119" spans="1:2" x14ac:dyDescent="0.25">
      <c r="A5119" s="104"/>
      <c r="B5119" s="104"/>
    </row>
    <row r="5120" spans="1:2" x14ac:dyDescent="0.25">
      <c r="A5120" s="104"/>
      <c r="B5120" s="104"/>
    </row>
    <row r="5121" spans="1:2" x14ac:dyDescent="0.25">
      <c r="A5121" s="104"/>
      <c r="B5121" s="104"/>
    </row>
    <row r="5122" spans="1:2" x14ac:dyDescent="0.25">
      <c r="A5122" s="104"/>
      <c r="B5122" s="104"/>
    </row>
    <row r="5123" spans="1:2" x14ac:dyDescent="0.25">
      <c r="A5123" s="104"/>
      <c r="B5123" s="104"/>
    </row>
    <row r="5124" spans="1:2" x14ac:dyDescent="0.25">
      <c r="A5124" s="104"/>
      <c r="B5124" s="104"/>
    </row>
    <row r="5125" spans="1:2" x14ac:dyDescent="0.25">
      <c r="A5125" s="104"/>
      <c r="B5125" s="104"/>
    </row>
    <row r="5126" spans="1:2" x14ac:dyDescent="0.25">
      <c r="A5126" s="104"/>
      <c r="B5126" s="104"/>
    </row>
    <row r="5127" spans="1:2" x14ac:dyDescent="0.25">
      <c r="A5127" s="104"/>
      <c r="B5127" s="104"/>
    </row>
    <row r="5128" spans="1:2" x14ac:dyDescent="0.25">
      <c r="A5128" s="104"/>
      <c r="B5128" s="104"/>
    </row>
    <row r="5129" spans="1:2" x14ac:dyDescent="0.25">
      <c r="A5129" s="104"/>
      <c r="B5129" s="104"/>
    </row>
    <row r="5130" spans="1:2" x14ac:dyDescent="0.25">
      <c r="A5130" s="104"/>
      <c r="B5130" s="104"/>
    </row>
    <row r="5131" spans="1:2" x14ac:dyDescent="0.25">
      <c r="A5131" s="104"/>
      <c r="B5131" s="104"/>
    </row>
    <row r="5132" spans="1:2" x14ac:dyDescent="0.25">
      <c r="A5132" s="104"/>
      <c r="B5132" s="104"/>
    </row>
    <row r="5133" spans="1:2" x14ac:dyDescent="0.25">
      <c r="A5133" s="104"/>
      <c r="B5133" s="104"/>
    </row>
    <row r="5134" spans="1:2" x14ac:dyDescent="0.25">
      <c r="A5134" s="104"/>
      <c r="B5134" s="104"/>
    </row>
    <row r="5135" spans="1:2" x14ac:dyDescent="0.25">
      <c r="A5135" s="104"/>
      <c r="B5135" s="104"/>
    </row>
    <row r="5136" spans="1:2" x14ac:dyDescent="0.25">
      <c r="A5136" s="104"/>
      <c r="B5136" s="104"/>
    </row>
    <row r="5137" spans="1:2" x14ac:dyDescent="0.25">
      <c r="A5137" s="104"/>
      <c r="B5137" s="104"/>
    </row>
    <row r="5138" spans="1:2" x14ac:dyDescent="0.25">
      <c r="A5138" s="104"/>
      <c r="B5138" s="104"/>
    </row>
    <row r="5139" spans="1:2" x14ac:dyDescent="0.25">
      <c r="A5139" s="104"/>
      <c r="B5139" s="104"/>
    </row>
    <row r="5140" spans="1:2" x14ac:dyDescent="0.25">
      <c r="A5140" s="104"/>
      <c r="B5140" s="104"/>
    </row>
    <row r="5141" spans="1:2" x14ac:dyDescent="0.25">
      <c r="A5141" s="104"/>
      <c r="B5141" s="104"/>
    </row>
    <row r="5142" spans="1:2" x14ac:dyDescent="0.25">
      <c r="A5142" s="104"/>
      <c r="B5142" s="104"/>
    </row>
    <row r="5143" spans="1:2" x14ac:dyDescent="0.25">
      <c r="A5143" s="104"/>
      <c r="B5143" s="104"/>
    </row>
    <row r="5144" spans="1:2" x14ac:dyDescent="0.25">
      <c r="A5144" s="104"/>
      <c r="B5144" s="104"/>
    </row>
    <row r="5145" spans="1:2" x14ac:dyDescent="0.25">
      <c r="A5145" s="104"/>
      <c r="B5145" s="104"/>
    </row>
    <row r="5146" spans="1:2" x14ac:dyDescent="0.25">
      <c r="A5146" s="104"/>
      <c r="B5146" s="104"/>
    </row>
    <row r="5147" spans="1:2" x14ac:dyDescent="0.25">
      <c r="A5147" s="104"/>
      <c r="B5147" s="104"/>
    </row>
    <row r="5148" spans="1:2" x14ac:dyDescent="0.25">
      <c r="A5148" s="104"/>
      <c r="B5148" s="104"/>
    </row>
    <row r="5149" spans="1:2" x14ac:dyDescent="0.25">
      <c r="A5149" s="104"/>
      <c r="B5149" s="104"/>
    </row>
    <row r="5150" spans="1:2" x14ac:dyDescent="0.25">
      <c r="A5150" s="104"/>
      <c r="B5150" s="104"/>
    </row>
    <row r="5151" spans="1:2" x14ac:dyDescent="0.25">
      <c r="A5151" s="104"/>
      <c r="B5151" s="104"/>
    </row>
    <row r="5152" spans="1:2" x14ac:dyDescent="0.25">
      <c r="A5152" s="104"/>
      <c r="B5152" s="104"/>
    </row>
    <row r="5153" spans="1:2" x14ac:dyDescent="0.25">
      <c r="A5153" s="104"/>
      <c r="B5153" s="104"/>
    </row>
    <row r="5154" spans="1:2" x14ac:dyDescent="0.25">
      <c r="A5154" s="104"/>
      <c r="B5154" s="104"/>
    </row>
    <row r="5155" spans="1:2" x14ac:dyDescent="0.25">
      <c r="A5155" s="104"/>
      <c r="B5155" s="104"/>
    </row>
    <row r="5156" spans="1:2" x14ac:dyDescent="0.25">
      <c r="A5156" s="104"/>
      <c r="B5156" s="104"/>
    </row>
    <row r="5157" spans="1:2" x14ac:dyDescent="0.25">
      <c r="A5157" s="104"/>
      <c r="B5157" s="104"/>
    </row>
    <row r="5158" spans="1:2" x14ac:dyDescent="0.25">
      <c r="A5158" s="104"/>
      <c r="B5158" s="104"/>
    </row>
    <row r="5159" spans="1:2" x14ac:dyDescent="0.25">
      <c r="A5159" s="104"/>
      <c r="B5159" s="104"/>
    </row>
    <row r="5160" spans="1:2" x14ac:dyDescent="0.25">
      <c r="A5160" s="104"/>
      <c r="B5160" s="104"/>
    </row>
    <row r="5161" spans="1:2" x14ac:dyDescent="0.25">
      <c r="A5161" s="104"/>
      <c r="B5161" s="104"/>
    </row>
    <row r="5162" spans="1:2" x14ac:dyDescent="0.25">
      <c r="A5162" s="104"/>
      <c r="B5162" s="104"/>
    </row>
    <row r="5163" spans="1:2" x14ac:dyDescent="0.25">
      <c r="A5163" s="104"/>
      <c r="B5163" s="104"/>
    </row>
    <row r="5164" spans="1:2" x14ac:dyDescent="0.25">
      <c r="A5164" s="104"/>
      <c r="B5164" s="104"/>
    </row>
    <row r="5165" spans="1:2" x14ac:dyDescent="0.25">
      <c r="A5165" s="104"/>
      <c r="B5165" s="104"/>
    </row>
    <row r="5166" spans="1:2" x14ac:dyDescent="0.25">
      <c r="A5166" s="104"/>
      <c r="B5166" s="104"/>
    </row>
    <row r="5167" spans="1:2" x14ac:dyDescent="0.25">
      <c r="A5167" s="104"/>
      <c r="B5167" s="104"/>
    </row>
    <row r="5168" spans="1:2" x14ac:dyDescent="0.25">
      <c r="A5168" s="104"/>
      <c r="B5168" s="104"/>
    </row>
    <row r="5169" spans="1:2" x14ac:dyDescent="0.25">
      <c r="A5169" s="104"/>
      <c r="B5169" s="104"/>
    </row>
    <row r="5170" spans="1:2" x14ac:dyDescent="0.25">
      <c r="A5170" s="104"/>
      <c r="B5170" s="104"/>
    </row>
    <row r="5171" spans="1:2" x14ac:dyDescent="0.25">
      <c r="A5171" s="104"/>
      <c r="B5171" s="104"/>
    </row>
    <row r="5172" spans="1:2" x14ac:dyDescent="0.25">
      <c r="A5172" s="104"/>
      <c r="B5172" s="104"/>
    </row>
    <row r="5173" spans="1:2" x14ac:dyDescent="0.25">
      <c r="A5173" s="104"/>
      <c r="B5173" s="104"/>
    </row>
    <row r="5174" spans="1:2" x14ac:dyDescent="0.25">
      <c r="A5174" s="104"/>
      <c r="B5174" s="104"/>
    </row>
    <row r="5175" spans="1:2" x14ac:dyDescent="0.25">
      <c r="A5175" s="104"/>
      <c r="B5175" s="104"/>
    </row>
    <row r="5176" spans="1:2" x14ac:dyDescent="0.25">
      <c r="A5176" s="104"/>
      <c r="B5176" s="104"/>
    </row>
    <row r="5177" spans="1:2" x14ac:dyDescent="0.25">
      <c r="A5177" s="104"/>
      <c r="B5177" s="104"/>
    </row>
    <row r="5178" spans="1:2" x14ac:dyDescent="0.25">
      <c r="A5178" s="104"/>
      <c r="B5178" s="104"/>
    </row>
    <row r="5179" spans="1:2" x14ac:dyDescent="0.25">
      <c r="A5179" s="104"/>
      <c r="B5179" s="104"/>
    </row>
    <row r="5180" spans="1:2" x14ac:dyDescent="0.25">
      <c r="A5180" s="104"/>
      <c r="B5180" s="104"/>
    </row>
    <row r="5181" spans="1:2" x14ac:dyDescent="0.25">
      <c r="A5181" s="104"/>
      <c r="B5181" s="104"/>
    </row>
    <row r="5182" spans="1:2" x14ac:dyDescent="0.25">
      <c r="A5182" s="104"/>
      <c r="B5182" s="104"/>
    </row>
    <row r="5183" spans="1:2" x14ac:dyDescent="0.25">
      <c r="A5183" s="104"/>
      <c r="B5183" s="104"/>
    </row>
    <row r="5184" spans="1:2" x14ac:dyDescent="0.25">
      <c r="A5184" s="104"/>
      <c r="B5184" s="104"/>
    </row>
    <row r="5185" spans="1:2" x14ac:dyDescent="0.25">
      <c r="A5185" s="104"/>
      <c r="B5185" s="104"/>
    </row>
    <row r="5186" spans="1:2" x14ac:dyDescent="0.25">
      <c r="A5186" s="104"/>
      <c r="B5186" s="104"/>
    </row>
    <row r="5187" spans="1:2" x14ac:dyDescent="0.25">
      <c r="A5187" s="104"/>
      <c r="B5187" s="104"/>
    </row>
    <row r="5188" spans="1:2" x14ac:dyDescent="0.25">
      <c r="A5188" s="104"/>
      <c r="B5188" s="104"/>
    </row>
    <row r="5189" spans="1:2" x14ac:dyDescent="0.25">
      <c r="A5189" s="104"/>
      <c r="B5189" s="104"/>
    </row>
    <row r="5190" spans="1:2" x14ac:dyDescent="0.25">
      <c r="A5190" s="104"/>
      <c r="B5190" s="104"/>
    </row>
    <row r="5191" spans="1:2" x14ac:dyDescent="0.25">
      <c r="A5191" s="104"/>
      <c r="B5191" s="104"/>
    </row>
    <row r="5192" spans="1:2" x14ac:dyDescent="0.25">
      <c r="A5192" s="104"/>
      <c r="B5192" s="104"/>
    </row>
    <row r="5193" spans="1:2" x14ac:dyDescent="0.25">
      <c r="A5193" s="104"/>
      <c r="B5193" s="104"/>
    </row>
    <row r="5194" spans="1:2" x14ac:dyDescent="0.25">
      <c r="A5194" s="104"/>
      <c r="B5194" s="104"/>
    </row>
    <row r="5195" spans="1:2" x14ac:dyDescent="0.25">
      <c r="A5195" s="104"/>
      <c r="B5195" s="104"/>
    </row>
    <row r="5196" spans="1:2" x14ac:dyDescent="0.25">
      <c r="A5196" s="104"/>
      <c r="B5196" s="104"/>
    </row>
    <row r="5197" spans="1:2" x14ac:dyDescent="0.25">
      <c r="A5197" s="104"/>
      <c r="B5197" s="104"/>
    </row>
    <row r="5198" spans="1:2" x14ac:dyDescent="0.25">
      <c r="A5198" s="104"/>
      <c r="B5198" s="104"/>
    </row>
    <row r="5199" spans="1:2" x14ac:dyDescent="0.25">
      <c r="A5199" s="104"/>
      <c r="B5199" s="104"/>
    </row>
    <row r="5200" spans="1:2" x14ac:dyDescent="0.25">
      <c r="A5200" s="104"/>
      <c r="B5200" s="104"/>
    </row>
    <row r="5201" spans="1:2" x14ac:dyDescent="0.25">
      <c r="A5201" s="104"/>
      <c r="B5201" s="104"/>
    </row>
    <row r="5202" spans="1:2" x14ac:dyDescent="0.25">
      <c r="A5202" s="104"/>
      <c r="B5202" s="104"/>
    </row>
    <row r="5203" spans="1:2" x14ac:dyDescent="0.25">
      <c r="A5203" s="104"/>
      <c r="B5203" s="104"/>
    </row>
    <row r="5204" spans="1:2" x14ac:dyDescent="0.25">
      <c r="A5204" s="104"/>
      <c r="B5204" s="104"/>
    </row>
    <row r="5205" spans="1:2" x14ac:dyDescent="0.25">
      <c r="A5205" s="104"/>
      <c r="B5205" s="104"/>
    </row>
    <row r="5206" spans="1:2" x14ac:dyDescent="0.25">
      <c r="A5206" s="104"/>
      <c r="B5206" s="104"/>
    </row>
    <row r="5207" spans="1:2" x14ac:dyDescent="0.25">
      <c r="A5207" s="104"/>
      <c r="B5207" s="104"/>
    </row>
    <row r="5208" spans="1:2" x14ac:dyDescent="0.25">
      <c r="A5208" s="104"/>
      <c r="B5208" s="104"/>
    </row>
    <row r="5209" spans="1:2" x14ac:dyDescent="0.25">
      <c r="A5209" s="104"/>
      <c r="B5209" s="104"/>
    </row>
    <row r="5210" spans="1:2" x14ac:dyDescent="0.25">
      <c r="A5210" s="104"/>
      <c r="B5210" s="104"/>
    </row>
    <row r="5211" spans="1:2" x14ac:dyDescent="0.25">
      <c r="A5211" s="104"/>
      <c r="B5211" s="104"/>
    </row>
    <row r="5212" spans="1:2" x14ac:dyDescent="0.25">
      <c r="A5212" s="104"/>
      <c r="B5212" s="104"/>
    </row>
    <row r="5213" spans="1:2" x14ac:dyDescent="0.25">
      <c r="A5213" s="104"/>
      <c r="B5213" s="104"/>
    </row>
    <row r="5214" spans="1:2" x14ac:dyDescent="0.25">
      <c r="A5214" s="104"/>
      <c r="B5214" s="104"/>
    </row>
    <row r="5215" spans="1:2" x14ac:dyDescent="0.25">
      <c r="A5215" s="104"/>
      <c r="B5215" s="104"/>
    </row>
    <row r="5216" spans="1:2" x14ac:dyDescent="0.25">
      <c r="A5216" s="104"/>
      <c r="B5216" s="104"/>
    </row>
    <row r="5217" spans="1:2" x14ac:dyDescent="0.25">
      <c r="A5217" s="104"/>
      <c r="B5217" s="104"/>
    </row>
    <row r="5218" spans="1:2" x14ac:dyDescent="0.25">
      <c r="A5218" s="104"/>
      <c r="B5218" s="104"/>
    </row>
    <row r="5219" spans="1:2" x14ac:dyDescent="0.25">
      <c r="A5219" s="104"/>
      <c r="B5219" s="104"/>
    </row>
    <row r="5220" spans="1:2" x14ac:dyDescent="0.25">
      <c r="A5220" s="104"/>
      <c r="B5220" s="104"/>
    </row>
    <row r="5221" spans="1:2" x14ac:dyDescent="0.25">
      <c r="A5221" s="104"/>
      <c r="B5221" s="104"/>
    </row>
    <row r="5222" spans="1:2" x14ac:dyDescent="0.25">
      <c r="A5222" s="104"/>
      <c r="B5222" s="104"/>
    </row>
    <row r="5223" spans="1:2" x14ac:dyDescent="0.25">
      <c r="A5223" s="104"/>
      <c r="B5223" s="104"/>
    </row>
    <row r="5224" spans="1:2" x14ac:dyDescent="0.25">
      <c r="A5224" s="104"/>
      <c r="B5224" s="104"/>
    </row>
    <row r="5225" spans="1:2" x14ac:dyDescent="0.25">
      <c r="A5225" s="104"/>
      <c r="B5225" s="104"/>
    </row>
    <row r="5226" spans="1:2" x14ac:dyDescent="0.25">
      <c r="A5226" s="104"/>
      <c r="B5226" s="104"/>
    </row>
    <row r="5227" spans="1:2" x14ac:dyDescent="0.25">
      <c r="A5227" s="104"/>
      <c r="B5227" s="104"/>
    </row>
    <row r="5228" spans="1:2" x14ac:dyDescent="0.25">
      <c r="A5228" s="104"/>
      <c r="B5228" s="104"/>
    </row>
    <row r="5229" spans="1:2" x14ac:dyDescent="0.25">
      <c r="A5229" s="104"/>
      <c r="B5229" s="104"/>
    </row>
    <row r="5230" spans="1:2" x14ac:dyDescent="0.25">
      <c r="A5230" s="104"/>
      <c r="B5230" s="104"/>
    </row>
    <row r="5231" spans="1:2" x14ac:dyDescent="0.25">
      <c r="A5231" s="104"/>
      <c r="B5231" s="104"/>
    </row>
    <row r="5232" spans="1:2" x14ac:dyDescent="0.25">
      <c r="A5232" s="104"/>
      <c r="B5232" s="104"/>
    </row>
    <row r="5233" spans="1:2" x14ac:dyDescent="0.25">
      <c r="A5233" s="104"/>
      <c r="B5233" s="104"/>
    </row>
    <row r="5234" spans="1:2" x14ac:dyDescent="0.25">
      <c r="A5234" s="104"/>
      <c r="B5234" s="104"/>
    </row>
    <row r="5235" spans="1:2" x14ac:dyDescent="0.25">
      <c r="A5235" s="104"/>
      <c r="B5235" s="104"/>
    </row>
    <row r="5236" spans="1:2" x14ac:dyDescent="0.25">
      <c r="A5236" s="104"/>
      <c r="B5236" s="104"/>
    </row>
    <row r="5237" spans="1:2" x14ac:dyDescent="0.25">
      <c r="A5237" s="104"/>
      <c r="B5237" s="104"/>
    </row>
    <row r="5238" spans="1:2" x14ac:dyDescent="0.25">
      <c r="A5238" s="104"/>
      <c r="B5238" s="104"/>
    </row>
    <row r="5239" spans="1:2" x14ac:dyDescent="0.25">
      <c r="A5239" s="104"/>
      <c r="B5239" s="104"/>
    </row>
    <row r="5240" spans="1:2" x14ac:dyDescent="0.25">
      <c r="A5240" s="104"/>
      <c r="B5240" s="104"/>
    </row>
    <row r="5241" spans="1:2" x14ac:dyDescent="0.25">
      <c r="A5241" s="104"/>
      <c r="B5241" s="104"/>
    </row>
    <row r="5242" spans="1:2" x14ac:dyDescent="0.25">
      <c r="A5242" s="104"/>
      <c r="B5242" s="104"/>
    </row>
    <row r="5243" spans="1:2" x14ac:dyDescent="0.25">
      <c r="A5243" s="104"/>
      <c r="B5243" s="104"/>
    </row>
    <row r="5244" spans="1:2" x14ac:dyDescent="0.25">
      <c r="A5244" s="104"/>
      <c r="B5244" s="104"/>
    </row>
    <row r="5245" spans="1:2" x14ac:dyDescent="0.25">
      <c r="A5245" s="104"/>
      <c r="B5245" s="104"/>
    </row>
    <row r="5246" spans="1:2" x14ac:dyDescent="0.25">
      <c r="A5246" s="104"/>
      <c r="B5246" s="104"/>
    </row>
    <row r="5247" spans="1:2" x14ac:dyDescent="0.25">
      <c r="A5247" s="104"/>
      <c r="B5247" s="104"/>
    </row>
    <row r="5248" spans="1:2" x14ac:dyDescent="0.25">
      <c r="A5248" s="104"/>
      <c r="B5248" s="104"/>
    </row>
    <row r="5249" spans="1:2" x14ac:dyDescent="0.25">
      <c r="A5249" s="104"/>
      <c r="B5249" s="104"/>
    </row>
    <row r="5250" spans="1:2" x14ac:dyDescent="0.25">
      <c r="A5250" s="104"/>
      <c r="B5250" s="104"/>
    </row>
    <row r="5251" spans="1:2" x14ac:dyDescent="0.25">
      <c r="A5251" s="104"/>
      <c r="B5251" s="104"/>
    </row>
    <row r="5252" spans="1:2" x14ac:dyDescent="0.25">
      <c r="A5252" s="104"/>
      <c r="B5252" s="104"/>
    </row>
    <row r="5253" spans="1:2" x14ac:dyDescent="0.25">
      <c r="A5253" s="104"/>
      <c r="B5253" s="104"/>
    </row>
    <row r="5254" spans="1:2" x14ac:dyDescent="0.25">
      <c r="A5254" s="104"/>
      <c r="B5254" s="104"/>
    </row>
    <row r="5255" spans="1:2" x14ac:dyDescent="0.25">
      <c r="A5255" s="104"/>
      <c r="B5255" s="104"/>
    </row>
    <row r="5256" spans="1:2" x14ac:dyDescent="0.25">
      <c r="A5256" s="104"/>
      <c r="B5256" s="104"/>
    </row>
    <row r="5257" spans="1:2" x14ac:dyDescent="0.25">
      <c r="A5257" s="104"/>
      <c r="B5257" s="104"/>
    </row>
    <row r="5258" spans="1:2" x14ac:dyDescent="0.25">
      <c r="A5258" s="104"/>
      <c r="B5258" s="104"/>
    </row>
    <row r="5259" spans="1:2" x14ac:dyDescent="0.25">
      <c r="A5259" s="104"/>
      <c r="B5259" s="104"/>
    </row>
    <row r="5260" spans="1:2" x14ac:dyDescent="0.25">
      <c r="A5260" s="104"/>
      <c r="B5260" s="104"/>
    </row>
    <row r="5261" spans="1:2" x14ac:dyDescent="0.25">
      <c r="A5261" s="104"/>
      <c r="B5261" s="104"/>
    </row>
    <row r="5262" spans="1:2" x14ac:dyDescent="0.25">
      <c r="A5262" s="104"/>
      <c r="B5262" s="104"/>
    </row>
    <row r="5263" spans="1:2" x14ac:dyDescent="0.25">
      <c r="A5263" s="104"/>
      <c r="B5263" s="104"/>
    </row>
    <row r="5264" spans="1:2" x14ac:dyDescent="0.25">
      <c r="A5264" s="104"/>
      <c r="B5264" s="104"/>
    </row>
    <row r="5265" spans="1:2" x14ac:dyDescent="0.25">
      <c r="A5265" s="104"/>
      <c r="B5265" s="104"/>
    </row>
    <row r="5266" spans="1:2" x14ac:dyDescent="0.25">
      <c r="A5266" s="104"/>
      <c r="B5266" s="104"/>
    </row>
    <row r="5267" spans="1:2" x14ac:dyDescent="0.25">
      <c r="A5267" s="104"/>
      <c r="B5267" s="104"/>
    </row>
    <row r="5268" spans="1:2" x14ac:dyDescent="0.25">
      <c r="A5268" s="104"/>
      <c r="B5268" s="104"/>
    </row>
    <row r="5269" spans="1:2" x14ac:dyDescent="0.25">
      <c r="A5269" s="104"/>
      <c r="B5269" s="104"/>
    </row>
    <row r="5270" spans="1:2" x14ac:dyDescent="0.25">
      <c r="A5270" s="104"/>
      <c r="B5270" s="104"/>
    </row>
    <row r="5271" spans="1:2" x14ac:dyDescent="0.25">
      <c r="A5271" s="104"/>
      <c r="B5271" s="104"/>
    </row>
    <row r="5272" spans="1:2" x14ac:dyDescent="0.25">
      <c r="A5272" s="104"/>
      <c r="B5272" s="104"/>
    </row>
    <row r="5273" spans="1:2" x14ac:dyDescent="0.25">
      <c r="A5273" s="104"/>
      <c r="B5273" s="104"/>
    </row>
    <row r="5274" spans="1:2" x14ac:dyDescent="0.25">
      <c r="A5274" s="104"/>
      <c r="B5274" s="104"/>
    </row>
    <row r="5275" spans="1:2" x14ac:dyDescent="0.25">
      <c r="A5275" s="104"/>
      <c r="B5275" s="104"/>
    </row>
    <row r="5276" spans="1:2" x14ac:dyDescent="0.25">
      <c r="A5276" s="104"/>
      <c r="B5276" s="104"/>
    </row>
    <row r="5277" spans="1:2" x14ac:dyDescent="0.25">
      <c r="A5277" s="104"/>
      <c r="B5277" s="104"/>
    </row>
    <row r="5278" spans="1:2" x14ac:dyDescent="0.25">
      <c r="A5278" s="104"/>
      <c r="B5278" s="104"/>
    </row>
    <row r="5279" spans="1:2" x14ac:dyDescent="0.25">
      <c r="A5279" s="104"/>
      <c r="B5279" s="104"/>
    </row>
    <row r="5280" spans="1:2" x14ac:dyDescent="0.25">
      <c r="A5280" s="104"/>
      <c r="B5280" s="104"/>
    </row>
    <row r="5281" spans="1:2" x14ac:dyDescent="0.25">
      <c r="A5281" s="104"/>
      <c r="B5281" s="104"/>
    </row>
    <row r="5282" spans="1:2" x14ac:dyDescent="0.25">
      <c r="A5282" s="104"/>
      <c r="B5282" s="104"/>
    </row>
    <row r="5283" spans="1:2" x14ac:dyDescent="0.25">
      <c r="A5283" s="104"/>
      <c r="B5283" s="104"/>
    </row>
    <row r="5284" spans="1:2" x14ac:dyDescent="0.25">
      <c r="A5284" s="104"/>
      <c r="B5284" s="104"/>
    </row>
    <row r="5285" spans="1:2" x14ac:dyDescent="0.25">
      <c r="A5285" s="104"/>
      <c r="B5285" s="104"/>
    </row>
    <row r="5286" spans="1:2" x14ac:dyDescent="0.25">
      <c r="A5286" s="104"/>
      <c r="B5286" s="104"/>
    </row>
    <row r="5287" spans="1:2" x14ac:dyDescent="0.25">
      <c r="A5287" s="104"/>
      <c r="B5287" s="104"/>
    </row>
    <row r="5288" spans="1:2" x14ac:dyDescent="0.25">
      <c r="A5288" s="104"/>
      <c r="B5288" s="104"/>
    </row>
    <row r="5289" spans="1:2" x14ac:dyDescent="0.25">
      <c r="A5289" s="104"/>
      <c r="B5289" s="104"/>
    </row>
    <row r="5290" spans="1:2" x14ac:dyDescent="0.25">
      <c r="A5290" s="104"/>
      <c r="B5290" s="104"/>
    </row>
    <row r="5291" spans="1:2" x14ac:dyDescent="0.25">
      <c r="A5291" s="104"/>
      <c r="B5291" s="104"/>
    </row>
    <row r="5292" spans="1:2" x14ac:dyDescent="0.25">
      <c r="A5292" s="104"/>
      <c r="B5292" s="104"/>
    </row>
    <row r="5293" spans="1:2" x14ac:dyDescent="0.25">
      <c r="A5293" s="104"/>
      <c r="B5293" s="104"/>
    </row>
    <row r="5294" spans="1:2" x14ac:dyDescent="0.25">
      <c r="A5294" s="104"/>
      <c r="B5294" s="104"/>
    </row>
    <row r="5295" spans="1:2" x14ac:dyDescent="0.25">
      <c r="A5295" s="104"/>
      <c r="B5295" s="104"/>
    </row>
    <row r="5296" spans="1:2" x14ac:dyDescent="0.25">
      <c r="A5296" s="104"/>
      <c r="B5296" s="104"/>
    </row>
    <row r="5297" spans="1:2" x14ac:dyDescent="0.25">
      <c r="A5297" s="104"/>
      <c r="B5297" s="104"/>
    </row>
    <row r="5298" spans="1:2" x14ac:dyDescent="0.25">
      <c r="A5298" s="104"/>
      <c r="B5298" s="104"/>
    </row>
    <row r="5299" spans="1:2" x14ac:dyDescent="0.25">
      <c r="A5299" s="104"/>
      <c r="B5299" s="104"/>
    </row>
    <row r="5300" spans="1:2" x14ac:dyDescent="0.25">
      <c r="A5300" s="104"/>
      <c r="B5300" s="104"/>
    </row>
    <row r="5301" spans="1:2" x14ac:dyDescent="0.25">
      <c r="A5301" s="104"/>
      <c r="B5301" s="104"/>
    </row>
    <row r="5302" spans="1:2" x14ac:dyDescent="0.25">
      <c r="A5302" s="104"/>
      <c r="B5302" s="104"/>
    </row>
    <row r="5303" spans="1:2" x14ac:dyDescent="0.25">
      <c r="A5303" s="104"/>
      <c r="B5303" s="104"/>
    </row>
    <row r="5304" spans="1:2" x14ac:dyDescent="0.25">
      <c r="A5304" s="104"/>
      <c r="B5304" s="104"/>
    </row>
    <row r="5305" spans="1:2" x14ac:dyDescent="0.25">
      <c r="A5305" s="104"/>
      <c r="B5305" s="104"/>
    </row>
    <row r="5306" spans="1:2" x14ac:dyDescent="0.25">
      <c r="A5306" s="104"/>
      <c r="B5306" s="104"/>
    </row>
    <row r="5307" spans="1:2" x14ac:dyDescent="0.25">
      <c r="A5307" s="104"/>
      <c r="B5307" s="104"/>
    </row>
    <row r="5308" spans="1:2" x14ac:dyDescent="0.25">
      <c r="A5308" s="104"/>
      <c r="B5308" s="104"/>
    </row>
    <row r="5309" spans="1:2" x14ac:dyDescent="0.25">
      <c r="A5309" s="104"/>
      <c r="B5309" s="104"/>
    </row>
    <row r="5310" spans="1:2" x14ac:dyDescent="0.25">
      <c r="A5310" s="104"/>
      <c r="B5310" s="104"/>
    </row>
    <row r="5311" spans="1:2" x14ac:dyDescent="0.25">
      <c r="A5311" s="104"/>
      <c r="B5311" s="104"/>
    </row>
    <row r="5312" spans="1:2" x14ac:dyDescent="0.25">
      <c r="A5312" s="104"/>
      <c r="B5312" s="104"/>
    </row>
    <row r="5313" spans="1:2" x14ac:dyDescent="0.25">
      <c r="A5313" s="104"/>
      <c r="B5313" s="104"/>
    </row>
    <row r="5314" spans="1:2" x14ac:dyDescent="0.25">
      <c r="A5314" s="104"/>
      <c r="B5314" s="104"/>
    </row>
    <row r="5315" spans="1:2" x14ac:dyDescent="0.25">
      <c r="A5315" s="104"/>
      <c r="B5315" s="104"/>
    </row>
    <row r="5316" spans="1:2" x14ac:dyDescent="0.25">
      <c r="A5316" s="104"/>
      <c r="B5316" s="104"/>
    </row>
    <row r="5317" spans="1:2" x14ac:dyDescent="0.25">
      <c r="A5317" s="104"/>
      <c r="B5317" s="104"/>
    </row>
    <row r="5318" spans="1:2" x14ac:dyDescent="0.25">
      <c r="A5318" s="104"/>
      <c r="B5318" s="104"/>
    </row>
    <row r="5319" spans="1:2" x14ac:dyDescent="0.25">
      <c r="A5319" s="104"/>
      <c r="B5319" s="104"/>
    </row>
    <row r="5320" spans="1:2" x14ac:dyDescent="0.25">
      <c r="A5320" s="104"/>
      <c r="B5320" s="104"/>
    </row>
    <row r="5321" spans="1:2" x14ac:dyDescent="0.25">
      <c r="A5321" s="104"/>
      <c r="B5321" s="104"/>
    </row>
    <row r="5322" spans="1:2" x14ac:dyDescent="0.25">
      <c r="A5322" s="104"/>
      <c r="B5322" s="104"/>
    </row>
    <row r="5323" spans="1:2" x14ac:dyDescent="0.25">
      <c r="A5323" s="104"/>
      <c r="B5323" s="104"/>
    </row>
    <row r="5324" spans="1:2" x14ac:dyDescent="0.25">
      <c r="A5324" s="104"/>
      <c r="B5324" s="104"/>
    </row>
    <row r="5325" spans="1:2" x14ac:dyDescent="0.25">
      <c r="A5325" s="104"/>
      <c r="B5325" s="104"/>
    </row>
    <row r="5326" spans="1:2" x14ac:dyDescent="0.25">
      <c r="A5326" s="104"/>
      <c r="B5326" s="104"/>
    </row>
    <row r="5327" spans="1:2" x14ac:dyDescent="0.25">
      <c r="A5327" s="104"/>
      <c r="B5327" s="104"/>
    </row>
    <row r="5328" spans="1:2" x14ac:dyDescent="0.25">
      <c r="A5328" s="104"/>
      <c r="B5328" s="104"/>
    </row>
    <row r="5329" spans="1:2" x14ac:dyDescent="0.25">
      <c r="A5329" s="104"/>
      <c r="B5329" s="104"/>
    </row>
    <row r="5330" spans="1:2" x14ac:dyDescent="0.25">
      <c r="A5330" s="104"/>
      <c r="B5330" s="104"/>
    </row>
    <row r="5331" spans="1:2" x14ac:dyDescent="0.25">
      <c r="A5331" s="104"/>
      <c r="B5331" s="104"/>
    </row>
    <row r="5332" spans="1:2" x14ac:dyDescent="0.25">
      <c r="A5332" s="104"/>
      <c r="B5332" s="104"/>
    </row>
    <row r="5333" spans="1:2" x14ac:dyDescent="0.25">
      <c r="A5333" s="104"/>
      <c r="B5333" s="104"/>
    </row>
    <row r="5334" spans="1:2" x14ac:dyDescent="0.25">
      <c r="A5334" s="104"/>
      <c r="B5334" s="104"/>
    </row>
    <row r="5335" spans="1:2" x14ac:dyDescent="0.25">
      <c r="A5335" s="104"/>
      <c r="B5335" s="104"/>
    </row>
    <row r="5336" spans="1:2" x14ac:dyDescent="0.25">
      <c r="A5336" s="104"/>
      <c r="B5336" s="104"/>
    </row>
    <row r="5337" spans="1:2" x14ac:dyDescent="0.25">
      <c r="A5337" s="104"/>
      <c r="B5337" s="104"/>
    </row>
    <row r="5338" spans="1:2" x14ac:dyDescent="0.25">
      <c r="A5338" s="104"/>
      <c r="B5338" s="104"/>
    </row>
    <row r="5339" spans="1:2" x14ac:dyDescent="0.25">
      <c r="A5339" s="104"/>
      <c r="B5339" s="104"/>
    </row>
    <row r="5340" spans="1:2" x14ac:dyDescent="0.25">
      <c r="A5340" s="104"/>
      <c r="B5340" s="104"/>
    </row>
    <row r="5341" spans="1:2" x14ac:dyDescent="0.25">
      <c r="A5341" s="104"/>
      <c r="B5341" s="104"/>
    </row>
    <row r="5342" spans="1:2" x14ac:dyDescent="0.25">
      <c r="A5342" s="104"/>
      <c r="B5342" s="104"/>
    </row>
    <row r="5343" spans="1:2" x14ac:dyDescent="0.25">
      <c r="A5343" s="104"/>
      <c r="B5343" s="104"/>
    </row>
    <row r="5344" spans="1:2" x14ac:dyDescent="0.25">
      <c r="A5344" s="104"/>
      <c r="B5344" s="104"/>
    </row>
    <row r="5345" spans="1:2" x14ac:dyDescent="0.25">
      <c r="A5345" s="104"/>
      <c r="B5345" s="104"/>
    </row>
    <row r="5346" spans="1:2" x14ac:dyDescent="0.25">
      <c r="A5346" s="104"/>
      <c r="B5346" s="104"/>
    </row>
    <row r="5347" spans="1:2" x14ac:dyDescent="0.25">
      <c r="A5347" s="104"/>
      <c r="B5347" s="104"/>
    </row>
    <row r="5348" spans="1:2" x14ac:dyDescent="0.25">
      <c r="A5348" s="104"/>
      <c r="B5348" s="104"/>
    </row>
    <row r="5349" spans="1:2" x14ac:dyDescent="0.25">
      <c r="A5349" s="104"/>
      <c r="B5349" s="104"/>
    </row>
    <row r="5350" spans="1:2" x14ac:dyDescent="0.25">
      <c r="A5350" s="104"/>
      <c r="B5350" s="104"/>
    </row>
    <row r="5351" spans="1:2" x14ac:dyDescent="0.25">
      <c r="A5351" s="104"/>
      <c r="B5351" s="104"/>
    </row>
    <row r="5352" spans="1:2" x14ac:dyDescent="0.25">
      <c r="A5352" s="104"/>
      <c r="B5352" s="104"/>
    </row>
    <row r="5353" spans="1:2" x14ac:dyDescent="0.25">
      <c r="A5353" s="104"/>
      <c r="B5353" s="104"/>
    </row>
    <row r="5354" spans="1:2" x14ac:dyDescent="0.25">
      <c r="A5354" s="104"/>
      <c r="B5354" s="104"/>
    </row>
    <row r="5355" spans="1:2" x14ac:dyDescent="0.25">
      <c r="A5355" s="104"/>
      <c r="B5355" s="104"/>
    </row>
    <row r="5356" spans="1:2" x14ac:dyDescent="0.25">
      <c r="A5356" s="104"/>
      <c r="B5356" s="104"/>
    </row>
    <row r="5357" spans="1:2" x14ac:dyDescent="0.25">
      <c r="A5357" s="104"/>
      <c r="B5357" s="104"/>
    </row>
    <row r="5358" spans="1:2" x14ac:dyDescent="0.25">
      <c r="A5358" s="104"/>
      <c r="B5358" s="104"/>
    </row>
    <row r="5359" spans="1:2" x14ac:dyDescent="0.25">
      <c r="A5359" s="104"/>
      <c r="B5359" s="104"/>
    </row>
    <row r="5360" spans="1:2" x14ac:dyDescent="0.25">
      <c r="A5360" s="104"/>
      <c r="B5360" s="104"/>
    </row>
    <row r="5361" spans="1:2" x14ac:dyDescent="0.25">
      <c r="A5361" s="104"/>
      <c r="B5361" s="104"/>
    </row>
    <row r="5362" spans="1:2" x14ac:dyDescent="0.25">
      <c r="A5362" s="104"/>
      <c r="B5362" s="104"/>
    </row>
    <row r="5363" spans="1:2" x14ac:dyDescent="0.25">
      <c r="A5363" s="104"/>
      <c r="B5363" s="104"/>
    </row>
    <row r="5364" spans="1:2" x14ac:dyDescent="0.25">
      <c r="A5364" s="104"/>
      <c r="B5364" s="104"/>
    </row>
    <row r="5365" spans="1:2" x14ac:dyDescent="0.25">
      <c r="A5365" s="104"/>
      <c r="B5365" s="104"/>
    </row>
    <row r="5366" spans="1:2" x14ac:dyDescent="0.25">
      <c r="A5366" s="104"/>
      <c r="B5366" s="104"/>
    </row>
    <row r="5367" spans="1:2" x14ac:dyDescent="0.25">
      <c r="A5367" s="104"/>
      <c r="B5367" s="104"/>
    </row>
    <row r="5368" spans="1:2" x14ac:dyDescent="0.25">
      <c r="A5368" s="104"/>
      <c r="B5368" s="104"/>
    </row>
    <row r="5369" spans="1:2" x14ac:dyDescent="0.25">
      <c r="A5369" s="104"/>
      <c r="B5369" s="104"/>
    </row>
    <row r="5370" spans="1:2" x14ac:dyDescent="0.25">
      <c r="A5370" s="104"/>
      <c r="B5370" s="104"/>
    </row>
    <row r="5371" spans="1:2" x14ac:dyDescent="0.25">
      <c r="A5371" s="104"/>
      <c r="B5371" s="104"/>
    </row>
    <row r="5372" spans="1:2" x14ac:dyDescent="0.25">
      <c r="A5372" s="104"/>
      <c r="B5372" s="104"/>
    </row>
    <row r="5373" spans="1:2" x14ac:dyDescent="0.25">
      <c r="A5373" s="104"/>
      <c r="B5373" s="104"/>
    </row>
    <row r="5374" spans="1:2" x14ac:dyDescent="0.25">
      <c r="A5374" s="104"/>
      <c r="B5374" s="104"/>
    </row>
    <row r="5375" spans="1:2" x14ac:dyDescent="0.25">
      <c r="A5375" s="104"/>
      <c r="B5375" s="104"/>
    </row>
    <row r="5376" spans="1:2" x14ac:dyDescent="0.25">
      <c r="A5376" s="104"/>
      <c r="B5376" s="104"/>
    </row>
    <row r="5377" spans="1:2" x14ac:dyDescent="0.25">
      <c r="A5377" s="104"/>
      <c r="B5377" s="104"/>
    </row>
    <row r="5378" spans="1:2" x14ac:dyDescent="0.25">
      <c r="A5378" s="104"/>
      <c r="B5378" s="104"/>
    </row>
    <row r="5379" spans="1:2" x14ac:dyDescent="0.25">
      <c r="A5379" s="104"/>
      <c r="B5379" s="104"/>
    </row>
    <row r="5380" spans="1:2" x14ac:dyDescent="0.25">
      <c r="A5380" s="104"/>
      <c r="B5380" s="104"/>
    </row>
    <row r="5381" spans="1:2" x14ac:dyDescent="0.25">
      <c r="A5381" s="104"/>
      <c r="B5381" s="104"/>
    </row>
    <row r="5382" spans="1:2" x14ac:dyDescent="0.25">
      <c r="A5382" s="104"/>
      <c r="B5382" s="104"/>
    </row>
    <row r="5383" spans="1:2" x14ac:dyDescent="0.25">
      <c r="A5383" s="104"/>
      <c r="B5383" s="104"/>
    </row>
    <row r="5384" spans="1:2" x14ac:dyDescent="0.25">
      <c r="A5384" s="104"/>
      <c r="B5384" s="104"/>
    </row>
    <row r="5385" spans="1:2" x14ac:dyDescent="0.25">
      <c r="A5385" s="104"/>
      <c r="B5385" s="104"/>
    </row>
    <row r="5386" spans="1:2" x14ac:dyDescent="0.25">
      <c r="A5386" s="104"/>
      <c r="B5386" s="104"/>
    </row>
    <row r="5387" spans="1:2" x14ac:dyDescent="0.25">
      <c r="A5387" s="104"/>
      <c r="B5387" s="104"/>
    </row>
    <row r="5388" spans="1:2" x14ac:dyDescent="0.25">
      <c r="A5388" s="104"/>
      <c r="B5388" s="104"/>
    </row>
    <row r="5389" spans="1:2" x14ac:dyDescent="0.25">
      <c r="A5389" s="104"/>
      <c r="B5389" s="104"/>
    </row>
    <row r="5390" spans="1:2" x14ac:dyDescent="0.25">
      <c r="A5390" s="104"/>
      <c r="B5390" s="104"/>
    </row>
    <row r="5391" spans="1:2" x14ac:dyDescent="0.25">
      <c r="A5391" s="104"/>
      <c r="B5391" s="104"/>
    </row>
    <row r="5392" spans="1:2" x14ac:dyDescent="0.25">
      <c r="A5392" s="104"/>
      <c r="B5392" s="104"/>
    </row>
    <row r="5393" spans="1:2" x14ac:dyDescent="0.25">
      <c r="A5393" s="104"/>
      <c r="B5393" s="104"/>
    </row>
    <row r="5394" spans="1:2" x14ac:dyDescent="0.25">
      <c r="A5394" s="104"/>
      <c r="B5394" s="104"/>
    </row>
    <row r="5395" spans="1:2" x14ac:dyDescent="0.25">
      <c r="A5395" s="104"/>
      <c r="B5395" s="104"/>
    </row>
    <row r="5396" spans="1:2" x14ac:dyDescent="0.25">
      <c r="A5396" s="104"/>
      <c r="B5396" s="104"/>
    </row>
    <row r="5397" spans="1:2" x14ac:dyDescent="0.25">
      <c r="A5397" s="104"/>
      <c r="B5397" s="104"/>
    </row>
    <row r="5398" spans="1:2" x14ac:dyDescent="0.25">
      <c r="A5398" s="104"/>
      <c r="B5398" s="104"/>
    </row>
    <row r="5399" spans="1:2" x14ac:dyDescent="0.25">
      <c r="A5399" s="104"/>
      <c r="B5399" s="104"/>
    </row>
    <row r="5400" spans="1:2" x14ac:dyDescent="0.25">
      <c r="A5400" s="104"/>
      <c r="B5400" s="104"/>
    </row>
    <row r="5401" spans="1:2" x14ac:dyDescent="0.25">
      <c r="A5401" s="104"/>
      <c r="B5401" s="104"/>
    </row>
    <row r="5402" spans="1:2" x14ac:dyDescent="0.25">
      <c r="A5402" s="104"/>
      <c r="B5402" s="104"/>
    </row>
    <row r="5403" spans="1:2" x14ac:dyDescent="0.25">
      <c r="A5403" s="104"/>
      <c r="B5403" s="104"/>
    </row>
    <row r="5404" spans="1:2" x14ac:dyDescent="0.25">
      <c r="A5404" s="104"/>
      <c r="B5404" s="104"/>
    </row>
    <row r="5405" spans="1:2" x14ac:dyDescent="0.25">
      <c r="A5405" s="104"/>
      <c r="B5405" s="104"/>
    </row>
    <row r="5406" spans="1:2" x14ac:dyDescent="0.25">
      <c r="A5406" s="104"/>
      <c r="B5406" s="104"/>
    </row>
    <row r="5407" spans="1:2" x14ac:dyDescent="0.25">
      <c r="A5407" s="104"/>
      <c r="B5407" s="104"/>
    </row>
    <row r="5408" spans="1:2" x14ac:dyDescent="0.25">
      <c r="A5408" s="104"/>
      <c r="B5408" s="104"/>
    </row>
    <row r="5409" spans="1:2" x14ac:dyDescent="0.25">
      <c r="A5409" s="104"/>
      <c r="B5409" s="104"/>
    </row>
    <row r="5410" spans="1:2" x14ac:dyDescent="0.25">
      <c r="A5410" s="104"/>
      <c r="B5410" s="104"/>
    </row>
    <row r="5411" spans="1:2" x14ac:dyDescent="0.25">
      <c r="A5411" s="104"/>
      <c r="B5411" s="104"/>
    </row>
    <row r="5412" spans="1:2" x14ac:dyDescent="0.25">
      <c r="A5412" s="104"/>
      <c r="B5412" s="104"/>
    </row>
    <row r="5413" spans="1:2" x14ac:dyDescent="0.25">
      <c r="A5413" s="104"/>
      <c r="B5413" s="104"/>
    </row>
    <row r="5414" spans="1:2" x14ac:dyDescent="0.25">
      <c r="A5414" s="104"/>
      <c r="B5414" s="104"/>
    </row>
    <row r="5415" spans="1:2" x14ac:dyDescent="0.25">
      <c r="A5415" s="104"/>
      <c r="B5415" s="104"/>
    </row>
    <row r="5416" spans="1:2" x14ac:dyDescent="0.25">
      <c r="A5416" s="104"/>
      <c r="B5416" s="104"/>
    </row>
    <row r="5417" spans="1:2" x14ac:dyDescent="0.25">
      <c r="A5417" s="104"/>
      <c r="B5417" s="104"/>
    </row>
    <row r="5418" spans="1:2" x14ac:dyDescent="0.25">
      <c r="A5418" s="104"/>
      <c r="B5418" s="104"/>
    </row>
    <row r="5419" spans="1:2" x14ac:dyDescent="0.25">
      <c r="A5419" s="104"/>
      <c r="B5419" s="104"/>
    </row>
    <row r="5420" spans="1:2" x14ac:dyDescent="0.25">
      <c r="A5420" s="104"/>
      <c r="B5420" s="104"/>
    </row>
    <row r="5421" spans="1:2" x14ac:dyDescent="0.25">
      <c r="A5421" s="104"/>
      <c r="B5421" s="104"/>
    </row>
    <row r="5422" spans="1:2" x14ac:dyDescent="0.25">
      <c r="A5422" s="104"/>
      <c r="B5422" s="104"/>
    </row>
    <row r="5423" spans="1:2" x14ac:dyDescent="0.25">
      <c r="A5423" s="104"/>
      <c r="B5423" s="104"/>
    </row>
    <row r="5424" spans="1:2" x14ac:dyDescent="0.25">
      <c r="A5424" s="104"/>
      <c r="B5424" s="104"/>
    </row>
    <row r="5425" spans="1:2" x14ac:dyDescent="0.25">
      <c r="A5425" s="104"/>
      <c r="B5425" s="104"/>
    </row>
    <row r="5426" spans="1:2" x14ac:dyDescent="0.25">
      <c r="A5426" s="104"/>
      <c r="B5426" s="104"/>
    </row>
    <row r="5427" spans="1:2" x14ac:dyDescent="0.25">
      <c r="A5427" s="104"/>
      <c r="B5427" s="104"/>
    </row>
    <row r="5428" spans="1:2" x14ac:dyDescent="0.25">
      <c r="A5428" s="104"/>
      <c r="B5428" s="104"/>
    </row>
    <row r="5429" spans="1:2" x14ac:dyDescent="0.25">
      <c r="A5429" s="104"/>
      <c r="B5429" s="104"/>
    </row>
    <row r="5430" spans="1:2" x14ac:dyDescent="0.25">
      <c r="A5430" s="104"/>
      <c r="B5430" s="104"/>
    </row>
    <row r="5431" spans="1:2" x14ac:dyDescent="0.25">
      <c r="A5431" s="104"/>
      <c r="B5431" s="104"/>
    </row>
    <row r="5432" spans="1:2" x14ac:dyDescent="0.25">
      <c r="A5432" s="104"/>
      <c r="B5432" s="104"/>
    </row>
    <row r="5433" spans="1:2" x14ac:dyDescent="0.25">
      <c r="A5433" s="104"/>
      <c r="B5433" s="104"/>
    </row>
    <row r="5434" spans="1:2" x14ac:dyDescent="0.25">
      <c r="A5434" s="104"/>
      <c r="B5434" s="104"/>
    </row>
    <row r="5435" spans="1:2" x14ac:dyDescent="0.25">
      <c r="A5435" s="104"/>
      <c r="B5435" s="104"/>
    </row>
    <row r="5436" spans="1:2" x14ac:dyDescent="0.25">
      <c r="A5436" s="104"/>
      <c r="B5436" s="104"/>
    </row>
    <row r="5437" spans="1:2" x14ac:dyDescent="0.25">
      <c r="A5437" s="104"/>
      <c r="B5437" s="104"/>
    </row>
    <row r="5438" spans="1:2" x14ac:dyDescent="0.25">
      <c r="A5438" s="104"/>
      <c r="B5438" s="104"/>
    </row>
    <row r="5439" spans="1:2" x14ac:dyDescent="0.25">
      <c r="A5439" s="104"/>
      <c r="B5439" s="104"/>
    </row>
    <row r="5440" spans="1:2" x14ac:dyDescent="0.25">
      <c r="A5440" s="104"/>
      <c r="B5440" s="104"/>
    </row>
    <row r="5441" spans="1:2" x14ac:dyDescent="0.25">
      <c r="A5441" s="104"/>
      <c r="B5441" s="104"/>
    </row>
    <row r="5442" spans="1:2" x14ac:dyDescent="0.25">
      <c r="A5442" s="104"/>
      <c r="B5442" s="104"/>
    </row>
    <row r="5443" spans="1:2" x14ac:dyDescent="0.25">
      <c r="A5443" s="104"/>
      <c r="B5443" s="104"/>
    </row>
    <row r="5444" spans="1:2" x14ac:dyDescent="0.25">
      <c r="A5444" s="104"/>
      <c r="B5444" s="104"/>
    </row>
    <row r="5445" spans="1:2" x14ac:dyDescent="0.25">
      <c r="A5445" s="104"/>
      <c r="B5445" s="104"/>
    </row>
    <row r="5446" spans="1:2" x14ac:dyDescent="0.25">
      <c r="A5446" s="104"/>
      <c r="B5446" s="104"/>
    </row>
    <row r="5447" spans="1:2" x14ac:dyDescent="0.25">
      <c r="A5447" s="104"/>
      <c r="B5447" s="104"/>
    </row>
    <row r="5448" spans="1:2" x14ac:dyDescent="0.25">
      <c r="A5448" s="104"/>
      <c r="B5448" s="104"/>
    </row>
    <row r="5449" spans="1:2" x14ac:dyDescent="0.25">
      <c r="A5449" s="104"/>
      <c r="B5449" s="104"/>
    </row>
    <row r="5450" spans="1:2" x14ac:dyDescent="0.25">
      <c r="A5450" s="104"/>
      <c r="B5450" s="104"/>
    </row>
    <row r="5451" spans="1:2" x14ac:dyDescent="0.25">
      <c r="A5451" s="104"/>
      <c r="B5451" s="104"/>
    </row>
    <row r="5452" spans="1:2" x14ac:dyDescent="0.25">
      <c r="A5452" s="104"/>
      <c r="B5452" s="104"/>
    </row>
    <row r="5453" spans="1:2" x14ac:dyDescent="0.25">
      <c r="A5453" s="104"/>
      <c r="B5453" s="104"/>
    </row>
    <row r="5454" spans="1:2" x14ac:dyDescent="0.25">
      <c r="A5454" s="104"/>
      <c r="B5454" s="104"/>
    </row>
    <row r="5455" spans="1:2" x14ac:dyDescent="0.25">
      <c r="A5455" s="104"/>
      <c r="B5455" s="104"/>
    </row>
    <row r="5456" spans="1:2" x14ac:dyDescent="0.25">
      <c r="A5456" s="104"/>
      <c r="B5456" s="104"/>
    </row>
    <row r="5457" spans="1:2" x14ac:dyDescent="0.25">
      <c r="A5457" s="104"/>
      <c r="B5457" s="104"/>
    </row>
    <row r="5458" spans="1:2" x14ac:dyDescent="0.25">
      <c r="A5458" s="104"/>
      <c r="B5458" s="104"/>
    </row>
    <row r="5459" spans="1:2" x14ac:dyDescent="0.25">
      <c r="A5459" s="104"/>
      <c r="B5459" s="104"/>
    </row>
    <row r="5460" spans="1:2" x14ac:dyDescent="0.25">
      <c r="A5460" s="104"/>
      <c r="B5460" s="104"/>
    </row>
    <row r="5461" spans="1:2" x14ac:dyDescent="0.25">
      <c r="A5461" s="104"/>
      <c r="B5461" s="104"/>
    </row>
    <row r="5462" spans="1:2" x14ac:dyDescent="0.25">
      <c r="A5462" s="104"/>
      <c r="B5462" s="104"/>
    </row>
    <row r="5463" spans="1:2" x14ac:dyDescent="0.25">
      <c r="A5463" s="104"/>
      <c r="B5463" s="104"/>
    </row>
    <row r="5464" spans="1:2" x14ac:dyDescent="0.25">
      <c r="A5464" s="104"/>
      <c r="B5464" s="104"/>
    </row>
    <row r="5465" spans="1:2" x14ac:dyDescent="0.25">
      <c r="A5465" s="104"/>
      <c r="B5465" s="104"/>
    </row>
    <row r="5466" spans="1:2" x14ac:dyDescent="0.25">
      <c r="A5466" s="104"/>
      <c r="B5466" s="104"/>
    </row>
    <row r="5467" spans="1:2" x14ac:dyDescent="0.25">
      <c r="A5467" s="104"/>
      <c r="B5467" s="104"/>
    </row>
    <row r="5468" spans="1:2" x14ac:dyDescent="0.25">
      <c r="A5468" s="104"/>
      <c r="B5468" s="104"/>
    </row>
    <row r="5469" spans="1:2" x14ac:dyDescent="0.25">
      <c r="A5469" s="104"/>
      <c r="B5469" s="104"/>
    </row>
    <row r="5470" spans="1:2" x14ac:dyDescent="0.25">
      <c r="A5470" s="104"/>
      <c r="B5470" s="104"/>
    </row>
    <row r="5471" spans="1:2" x14ac:dyDescent="0.25">
      <c r="A5471" s="104"/>
      <c r="B5471" s="104"/>
    </row>
    <row r="5472" spans="1:2" x14ac:dyDescent="0.25">
      <c r="A5472" s="104"/>
      <c r="B5472" s="104"/>
    </row>
    <row r="5473" spans="1:2" x14ac:dyDescent="0.25">
      <c r="A5473" s="104"/>
      <c r="B5473" s="104"/>
    </row>
    <row r="5474" spans="1:2" x14ac:dyDescent="0.25">
      <c r="A5474" s="104"/>
      <c r="B5474" s="104"/>
    </row>
    <row r="5475" spans="1:2" x14ac:dyDescent="0.25">
      <c r="A5475" s="104"/>
      <c r="B5475" s="104"/>
    </row>
    <row r="5476" spans="1:2" x14ac:dyDescent="0.25">
      <c r="A5476" s="104"/>
      <c r="B5476" s="104"/>
    </row>
    <row r="5477" spans="1:2" x14ac:dyDescent="0.25">
      <c r="A5477" s="104"/>
      <c r="B5477" s="104"/>
    </row>
    <row r="5478" spans="1:2" x14ac:dyDescent="0.25">
      <c r="A5478" s="104"/>
      <c r="B5478" s="104"/>
    </row>
    <row r="5479" spans="1:2" x14ac:dyDescent="0.25">
      <c r="A5479" s="104"/>
      <c r="B5479" s="104"/>
    </row>
    <row r="5480" spans="1:2" x14ac:dyDescent="0.25">
      <c r="A5480" s="104"/>
      <c r="B5480" s="104"/>
    </row>
    <row r="5481" spans="1:2" x14ac:dyDescent="0.25">
      <c r="A5481" s="104"/>
      <c r="B5481" s="104"/>
    </row>
    <row r="5482" spans="1:2" x14ac:dyDescent="0.25">
      <c r="A5482" s="104"/>
      <c r="B5482" s="104"/>
    </row>
    <row r="5483" spans="1:2" x14ac:dyDescent="0.25">
      <c r="A5483" s="104"/>
      <c r="B5483" s="104"/>
    </row>
    <row r="5484" spans="1:2" x14ac:dyDescent="0.25">
      <c r="A5484" s="104"/>
      <c r="B5484" s="104"/>
    </row>
    <row r="5485" spans="1:2" x14ac:dyDescent="0.25">
      <c r="A5485" s="104"/>
      <c r="B5485" s="104"/>
    </row>
    <row r="5486" spans="1:2" x14ac:dyDescent="0.25">
      <c r="A5486" s="104"/>
      <c r="B5486" s="104"/>
    </row>
    <row r="5487" spans="1:2" x14ac:dyDescent="0.25">
      <c r="A5487" s="104"/>
      <c r="B5487" s="104"/>
    </row>
    <row r="5488" spans="1:2" x14ac:dyDescent="0.25">
      <c r="A5488" s="104"/>
      <c r="B5488" s="104"/>
    </row>
    <row r="5489" spans="1:2" x14ac:dyDescent="0.25">
      <c r="A5489" s="104"/>
      <c r="B5489" s="104"/>
    </row>
    <row r="5490" spans="1:2" x14ac:dyDescent="0.25">
      <c r="A5490" s="104"/>
      <c r="B5490" s="104"/>
    </row>
    <row r="5491" spans="1:2" x14ac:dyDescent="0.25">
      <c r="A5491" s="104"/>
      <c r="B5491" s="104"/>
    </row>
    <row r="5492" spans="1:2" x14ac:dyDescent="0.25">
      <c r="A5492" s="104"/>
      <c r="B5492" s="104"/>
    </row>
    <row r="5493" spans="1:2" x14ac:dyDescent="0.25">
      <c r="A5493" s="104"/>
      <c r="B5493" s="104"/>
    </row>
    <row r="5494" spans="1:2" x14ac:dyDescent="0.25">
      <c r="A5494" s="104"/>
      <c r="B5494" s="104"/>
    </row>
    <row r="5495" spans="1:2" x14ac:dyDescent="0.25">
      <c r="A5495" s="104"/>
      <c r="B5495" s="104"/>
    </row>
    <row r="5496" spans="1:2" x14ac:dyDescent="0.25">
      <c r="A5496" s="104"/>
      <c r="B5496" s="104"/>
    </row>
    <row r="5497" spans="1:2" x14ac:dyDescent="0.25">
      <c r="A5497" s="104"/>
      <c r="B5497" s="104"/>
    </row>
    <row r="5498" spans="1:2" x14ac:dyDescent="0.25">
      <c r="A5498" s="104"/>
      <c r="B5498" s="104"/>
    </row>
    <row r="5499" spans="1:2" x14ac:dyDescent="0.25">
      <c r="A5499" s="104"/>
      <c r="B5499" s="104"/>
    </row>
    <row r="5500" spans="1:2" x14ac:dyDescent="0.25">
      <c r="A5500" s="104"/>
      <c r="B5500" s="104"/>
    </row>
    <row r="5501" spans="1:2" x14ac:dyDescent="0.25">
      <c r="A5501" s="104"/>
      <c r="B5501" s="104"/>
    </row>
    <row r="5502" spans="1:2" x14ac:dyDescent="0.25">
      <c r="A5502" s="104"/>
      <c r="B5502" s="104"/>
    </row>
    <row r="5503" spans="1:2" x14ac:dyDescent="0.25">
      <c r="A5503" s="104"/>
      <c r="B5503" s="104"/>
    </row>
    <row r="5504" spans="1:2" x14ac:dyDescent="0.25">
      <c r="A5504" s="104"/>
      <c r="B5504" s="104"/>
    </row>
    <row r="5505" spans="1:2" x14ac:dyDescent="0.25">
      <c r="A5505" s="104"/>
      <c r="B5505" s="104"/>
    </row>
    <row r="5506" spans="1:2" x14ac:dyDescent="0.25">
      <c r="A5506" s="104"/>
      <c r="B5506" s="104"/>
    </row>
    <row r="5507" spans="1:2" x14ac:dyDescent="0.25">
      <c r="A5507" s="104"/>
      <c r="B5507" s="104"/>
    </row>
    <row r="5508" spans="1:2" x14ac:dyDescent="0.25">
      <c r="A5508" s="104"/>
      <c r="B5508" s="104"/>
    </row>
    <row r="5509" spans="1:2" x14ac:dyDescent="0.25">
      <c r="A5509" s="104"/>
      <c r="B5509" s="104"/>
    </row>
    <row r="5510" spans="1:2" x14ac:dyDescent="0.25">
      <c r="A5510" s="104"/>
      <c r="B5510" s="104"/>
    </row>
    <row r="5511" spans="1:2" x14ac:dyDescent="0.25">
      <c r="A5511" s="104"/>
      <c r="B5511" s="104"/>
    </row>
    <row r="5512" spans="1:2" x14ac:dyDescent="0.25">
      <c r="A5512" s="104"/>
      <c r="B5512" s="104"/>
    </row>
    <row r="5513" spans="1:2" x14ac:dyDescent="0.25">
      <c r="A5513" s="104"/>
      <c r="B5513" s="104"/>
    </row>
    <row r="5514" spans="1:2" x14ac:dyDescent="0.25">
      <c r="A5514" s="104"/>
      <c r="B5514" s="104"/>
    </row>
    <row r="5515" spans="1:2" x14ac:dyDescent="0.25">
      <c r="A5515" s="104"/>
      <c r="B5515" s="104"/>
    </row>
    <row r="5516" spans="1:2" x14ac:dyDescent="0.25">
      <c r="A5516" s="104"/>
      <c r="B5516" s="104"/>
    </row>
    <row r="5517" spans="1:2" x14ac:dyDescent="0.25">
      <c r="A5517" s="104"/>
      <c r="B5517" s="104"/>
    </row>
    <row r="5518" spans="1:2" x14ac:dyDescent="0.25">
      <c r="A5518" s="104"/>
      <c r="B5518" s="104"/>
    </row>
    <row r="5519" spans="1:2" x14ac:dyDescent="0.25">
      <c r="A5519" s="104"/>
      <c r="B5519" s="104"/>
    </row>
    <row r="5520" spans="1:2" x14ac:dyDescent="0.25">
      <c r="A5520" s="104"/>
      <c r="B5520" s="104"/>
    </row>
    <row r="5521" spans="1:2" x14ac:dyDescent="0.25">
      <c r="A5521" s="104"/>
      <c r="B5521" s="104"/>
    </row>
    <row r="5522" spans="1:2" x14ac:dyDescent="0.25">
      <c r="A5522" s="104"/>
      <c r="B5522" s="104"/>
    </row>
    <row r="5523" spans="1:2" x14ac:dyDescent="0.25">
      <c r="A5523" s="104"/>
      <c r="B5523" s="104"/>
    </row>
    <row r="5524" spans="1:2" x14ac:dyDescent="0.25">
      <c r="A5524" s="104"/>
      <c r="B5524" s="104"/>
    </row>
    <row r="5525" spans="1:2" x14ac:dyDescent="0.25">
      <c r="A5525" s="104"/>
      <c r="B5525" s="104"/>
    </row>
    <row r="5526" spans="1:2" x14ac:dyDescent="0.25">
      <c r="A5526" s="104"/>
      <c r="B5526" s="104"/>
    </row>
    <row r="5527" spans="1:2" x14ac:dyDescent="0.25">
      <c r="A5527" s="104"/>
      <c r="B5527" s="104"/>
    </row>
    <row r="5528" spans="1:2" x14ac:dyDescent="0.25">
      <c r="A5528" s="104"/>
      <c r="B5528" s="104"/>
    </row>
    <row r="5529" spans="1:2" x14ac:dyDescent="0.25">
      <c r="A5529" s="104"/>
      <c r="B5529" s="104"/>
    </row>
    <row r="5530" spans="1:2" x14ac:dyDescent="0.25">
      <c r="A5530" s="104"/>
      <c r="B5530" s="104"/>
    </row>
    <row r="5531" spans="1:2" x14ac:dyDescent="0.25">
      <c r="A5531" s="104"/>
      <c r="B5531" s="104"/>
    </row>
    <row r="5532" spans="1:2" x14ac:dyDescent="0.25">
      <c r="A5532" s="104"/>
      <c r="B5532" s="104"/>
    </row>
    <row r="5533" spans="1:2" x14ac:dyDescent="0.25">
      <c r="A5533" s="104"/>
      <c r="B5533" s="104"/>
    </row>
    <row r="5534" spans="1:2" x14ac:dyDescent="0.25">
      <c r="A5534" s="104"/>
      <c r="B5534" s="104"/>
    </row>
    <row r="5535" spans="1:2" x14ac:dyDescent="0.25">
      <c r="A5535" s="104"/>
      <c r="B5535" s="104"/>
    </row>
    <row r="5536" spans="1:2" x14ac:dyDescent="0.25">
      <c r="A5536" s="104"/>
      <c r="B5536" s="104"/>
    </row>
    <row r="5537" spans="1:2" x14ac:dyDescent="0.25">
      <c r="A5537" s="104"/>
      <c r="B5537" s="104"/>
    </row>
    <row r="5538" spans="1:2" x14ac:dyDescent="0.25">
      <c r="A5538" s="104"/>
      <c r="B5538" s="104"/>
    </row>
    <row r="5539" spans="1:2" x14ac:dyDescent="0.25">
      <c r="A5539" s="104"/>
      <c r="B5539" s="104"/>
    </row>
    <row r="5540" spans="1:2" x14ac:dyDescent="0.25">
      <c r="A5540" s="104"/>
      <c r="B5540" s="104"/>
    </row>
    <row r="5541" spans="1:2" x14ac:dyDescent="0.25">
      <c r="A5541" s="104"/>
      <c r="B5541" s="104"/>
    </row>
    <row r="5542" spans="1:2" x14ac:dyDescent="0.25">
      <c r="A5542" s="104"/>
      <c r="B5542" s="104"/>
    </row>
    <row r="5543" spans="1:2" x14ac:dyDescent="0.25">
      <c r="A5543" s="104"/>
      <c r="B5543" s="104"/>
    </row>
    <row r="5544" spans="1:2" x14ac:dyDescent="0.25">
      <c r="A5544" s="104"/>
      <c r="B5544" s="104"/>
    </row>
    <row r="5545" spans="1:2" x14ac:dyDescent="0.25">
      <c r="A5545" s="104"/>
      <c r="B5545" s="104"/>
    </row>
    <row r="5546" spans="1:2" x14ac:dyDescent="0.25">
      <c r="A5546" s="104"/>
      <c r="B5546" s="104"/>
    </row>
    <row r="5547" spans="1:2" x14ac:dyDescent="0.25">
      <c r="A5547" s="104"/>
      <c r="B5547" s="104"/>
    </row>
    <row r="5548" spans="1:2" x14ac:dyDescent="0.25">
      <c r="A5548" s="104"/>
      <c r="B5548" s="104"/>
    </row>
    <row r="5549" spans="1:2" x14ac:dyDescent="0.25">
      <c r="A5549" s="104"/>
      <c r="B5549" s="104"/>
    </row>
    <row r="5550" spans="1:2" x14ac:dyDescent="0.25">
      <c r="A5550" s="104"/>
      <c r="B5550" s="104"/>
    </row>
    <row r="5551" spans="1:2" x14ac:dyDescent="0.25">
      <c r="A5551" s="104"/>
      <c r="B5551" s="104"/>
    </row>
    <row r="5552" spans="1:2" x14ac:dyDescent="0.25">
      <c r="A5552" s="104"/>
      <c r="B5552" s="104"/>
    </row>
    <row r="5553" spans="1:2" x14ac:dyDescent="0.25">
      <c r="A5553" s="104"/>
      <c r="B5553" s="104"/>
    </row>
    <row r="5554" spans="1:2" x14ac:dyDescent="0.25">
      <c r="A5554" s="104"/>
      <c r="B5554" s="104"/>
    </row>
    <row r="5555" spans="1:2" x14ac:dyDescent="0.25">
      <c r="A5555" s="104"/>
      <c r="B5555" s="104"/>
    </row>
    <row r="5556" spans="1:2" x14ac:dyDescent="0.25">
      <c r="A5556" s="104"/>
      <c r="B5556" s="104"/>
    </row>
    <row r="5557" spans="1:2" x14ac:dyDescent="0.25">
      <c r="A5557" s="104"/>
      <c r="B5557" s="104"/>
    </row>
    <row r="5558" spans="1:2" x14ac:dyDescent="0.25">
      <c r="A5558" s="104"/>
      <c r="B5558" s="104"/>
    </row>
    <row r="5559" spans="1:2" x14ac:dyDescent="0.25">
      <c r="A5559" s="104"/>
      <c r="B5559" s="104"/>
    </row>
    <row r="5560" spans="1:2" x14ac:dyDescent="0.25">
      <c r="A5560" s="104"/>
      <c r="B5560" s="104"/>
    </row>
    <row r="5561" spans="1:2" x14ac:dyDescent="0.25">
      <c r="A5561" s="104"/>
      <c r="B5561" s="104"/>
    </row>
    <row r="5562" spans="1:2" x14ac:dyDescent="0.25">
      <c r="A5562" s="104"/>
      <c r="B5562" s="104"/>
    </row>
    <row r="5563" spans="1:2" x14ac:dyDescent="0.25">
      <c r="A5563" s="104"/>
      <c r="B5563" s="104"/>
    </row>
    <row r="5564" spans="1:2" x14ac:dyDescent="0.25">
      <c r="A5564" s="104"/>
      <c r="B5564" s="104"/>
    </row>
    <row r="5565" spans="1:2" x14ac:dyDescent="0.25">
      <c r="A5565" s="104"/>
      <c r="B5565" s="104"/>
    </row>
    <row r="5566" spans="1:2" x14ac:dyDescent="0.25">
      <c r="A5566" s="104"/>
      <c r="B5566" s="104"/>
    </row>
    <row r="5567" spans="1:2" x14ac:dyDescent="0.25">
      <c r="A5567" s="104"/>
      <c r="B5567" s="104"/>
    </row>
    <row r="5568" spans="1:2" x14ac:dyDescent="0.25">
      <c r="A5568" s="104"/>
      <c r="B5568" s="104"/>
    </row>
    <row r="5569" spans="1:2" x14ac:dyDescent="0.25">
      <c r="A5569" s="104"/>
      <c r="B5569" s="104"/>
    </row>
    <row r="5570" spans="1:2" x14ac:dyDescent="0.25">
      <c r="A5570" s="104"/>
      <c r="B5570" s="104"/>
    </row>
    <row r="5571" spans="1:2" x14ac:dyDescent="0.25">
      <c r="A5571" s="104"/>
      <c r="B5571" s="104"/>
    </row>
    <row r="5572" spans="1:2" x14ac:dyDescent="0.25">
      <c r="A5572" s="104"/>
      <c r="B5572" s="104"/>
    </row>
    <row r="5573" spans="1:2" x14ac:dyDescent="0.25">
      <c r="A5573" s="104"/>
      <c r="B5573" s="104"/>
    </row>
    <row r="5574" spans="1:2" x14ac:dyDescent="0.25">
      <c r="A5574" s="104"/>
      <c r="B5574" s="104"/>
    </row>
    <row r="5575" spans="1:2" x14ac:dyDescent="0.25">
      <c r="A5575" s="104"/>
      <c r="B5575" s="104"/>
    </row>
    <row r="5576" spans="1:2" x14ac:dyDescent="0.25">
      <c r="A5576" s="104"/>
      <c r="B5576" s="104"/>
    </row>
    <row r="5577" spans="1:2" x14ac:dyDescent="0.25">
      <c r="A5577" s="104"/>
      <c r="B5577" s="104"/>
    </row>
    <row r="5578" spans="1:2" x14ac:dyDescent="0.25">
      <c r="A5578" s="104"/>
      <c r="B5578" s="104"/>
    </row>
    <row r="5579" spans="1:2" x14ac:dyDescent="0.25">
      <c r="A5579" s="104"/>
      <c r="B5579" s="104"/>
    </row>
    <row r="5580" spans="1:2" x14ac:dyDescent="0.25">
      <c r="A5580" s="104"/>
      <c r="B5580" s="104"/>
    </row>
    <row r="5581" spans="1:2" x14ac:dyDescent="0.25">
      <c r="A5581" s="104"/>
      <c r="B5581" s="104"/>
    </row>
    <row r="5582" spans="1:2" x14ac:dyDescent="0.25">
      <c r="A5582" s="104"/>
      <c r="B5582" s="104"/>
    </row>
    <row r="5583" spans="1:2" x14ac:dyDescent="0.25">
      <c r="A5583" s="104"/>
      <c r="B5583" s="104"/>
    </row>
    <row r="5584" spans="1:2" x14ac:dyDescent="0.25">
      <c r="A5584" s="104"/>
      <c r="B5584" s="104"/>
    </row>
    <row r="5585" spans="1:2" x14ac:dyDescent="0.25">
      <c r="A5585" s="104"/>
      <c r="B5585" s="104"/>
    </row>
    <row r="5586" spans="1:2" x14ac:dyDescent="0.25">
      <c r="A5586" s="104"/>
      <c r="B5586" s="104"/>
    </row>
    <row r="5587" spans="1:2" x14ac:dyDescent="0.25">
      <c r="A5587" s="104"/>
      <c r="B5587" s="104"/>
    </row>
    <row r="5588" spans="1:2" x14ac:dyDescent="0.25">
      <c r="A5588" s="104"/>
      <c r="B5588" s="104"/>
    </row>
    <row r="5589" spans="1:2" x14ac:dyDescent="0.25">
      <c r="A5589" s="104"/>
      <c r="B5589" s="104"/>
    </row>
    <row r="5590" spans="1:2" x14ac:dyDescent="0.25">
      <c r="A5590" s="104"/>
      <c r="B5590" s="104"/>
    </row>
    <row r="5591" spans="1:2" x14ac:dyDescent="0.25">
      <c r="A5591" s="104"/>
      <c r="B5591" s="104"/>
    </row>
    <row r="5592" spans="1:2" x14ac:dyDescent="0.25">
      <c r="A5592" s="104"/>
      <c r="B5592" s="104"/>
    </row>
    <row r="5593" spans="1:2" x14ac:dyDescent="0.25">
      <c r="A5593" s="104"/>
      <c r="B5593" s="104"/>
    </row>
    <row r="5594" spans="1:2" x14ac:dyDescent="0.25">
      <c r="A5594" s="104"/>
      <c r="B5594" s="104"/>
    </row>
    <row r="5595" spans="1:2" x14ac:dyDescent="0.25">
      <c r="A5595" s="104"/>
      <c r="B5595" s="104"/>
    </row>
    <row r="5596" spans="1:2" x14ac:dyDescent="0.25">
      <c r="A5596" s="104"/>
      <c r="B5596" s="104"/>
    </row>
    <row r="5597" spans="1:2" x14ac:dyDescent="0.25">
      <c r="A5597" s="104"/>
      <c r="B5597" s="104"/>
    </row>
    <row r="5598" spans="1:2" x14ac:dyDescent="0.25">
      <c r="A5598" s="104"/>
      <c r="B5598" s="104"/>
    </row>
    <row r="5599" spans="1:2" x14ac:dyDescent="0.25">
      <c r="A5599" s="104"/>
      <c r="B5599" s="104"/>
    </row>
    <row r="5600" spans="1:2" x14ac:dyDescent="0.25">
      <c r="A5600" s="104"/>
      <c r="B5600" s="104"/>
    </row>
    <row r="5601" spans="1:2" x14ac:dyDescent="0.25">
      <c r="A5601" s="104"/>
      <c r="B5601" s="104"/>
    </row>
    <row r="5602" spans="1:2" x14ac:dyDescent="0.25">
      <c r="A5602" s="104"/>
      <c r="B5602" s="104"/>
    </row>
    <row r="5603" spans="1:2" x14ac:dyDescent="0.25">
      <c r="A5603" s="104"/>
      <c r="B5603" s="104"/>
    </row>
    <row r="5604" spans="1:2" x14ac:dyDescent="0.25">
      <c r="A5604" s="104"/>
      <c r="B5604" s="104"/>
    </row>
    <row r="5605" spans="1:2" x14ac:dyDescent="0.25">
      <c r="A5605" s="104"/>
      <c r="B5605" s="104"/>
    </row>
    <row r="5606" spans="1:2" x14ac:dyDescent="0.25">
      <c r="A5606" s="104"/>
      <c r="B5606" s="104"/>
    </row>
    <row r="5607" spans="1:2" x14ac:dyDescent="0.25">
      <c r="A5607" s="104"/>
      <c r="B5607" s="104"/>
    </row>
    <row r="5608" spans="1:2" x14ac:dyDescent="0.25">
      <c r="A5608" s="104"/>
      <c r="B5608" s="104"/>
    </row>
    <row r="5609" spans="1:2" x14ac:dyDescent="0.25">
      <c r="A5609" s="104"/>
      <c r="B5609" s="104"/>
    </row>
    <row r="5610" spans="1:2" x14ac:dyDescent="0.25">
      <c r="A5610" s="104"/>
      <c r="B5610" s="104"/>
    </row>
    <row r="5611" spans="1:2" x14ac:dyDescent="0.25">
      <c r="A5611" s="104"/>
      <c r="B5611" s="104"/>
    </row>
    <row r="5612" spans="1:2" x14ac:dyDescent="0.25">
      <c r="A5612" s="104"/>
      <c r="B5612" s="104"/>
    </row>
    <row r="5613" spans="1:2" x14ac:dyDescent="0.25">
      <c r="A5613" s="104"/>
      <c r="B5613" s="104"/>
    </row>
    <row r="5614" spans="1:2" x14ac:dyDescent="0.25">
      <c r="A5614" s="104"/>
      <c r="B5614" s="104"/>
    </row>
    <row r="5615" spans="1:2" x14ac:dyDescent="0.25">
      <c r="A5615" s="104"/>
      <c r="B5615" s="104"/>
    </row>
    <row r="5616" spans="1:2" x14ac:dyDescent="0.25">
      <c r="A5616" s="104"/>
      <c r="B5616" s="104"/>
    </row>
    <row r="5617" spans="1:2" x14ac:dyDescent="0.25">
      <c r="A5617" s="104"/>
      <c r="B5617" s="104"/>
    </row>
    <row r="5618" spans="1:2" x14ac:dyDescent="0.25">
      <c r="A5618" s="104"/>
      <c r="B5618" s="104"/>
    </row>
    <row r="5619" spans="1:2" x14ac:dyDescent="0.25">
      <c r="A5619" s="104"/>
      <c r="B5619" s="104"/>
    </row>
    <row r="5620" spans="1:2" x14ac:dyDescent="0.25">
      <c r="A5620" s="104"/>
      <c r="B5620" s="104"/>
    </row>
    <row r="5621" spans="1:2" x14ac:dyDescent="0.25">
      <c r="A5621" s="104"/>
      <c r="B5621" s="104"/>
    </row>
    <row r="5622" spans="1:2" x14ac:dyDescent="0.25">
      <c r="A5622" s="104"/>
      <c r="B5622" s="104"/>
    </row>
    <row r="5623" spans="1:2" x14ac:dyDescent="0.25">
      <c r="A5623" s="104"/>
      <c r="B5623" s="104"/>
    </row>
    <row r="5624" spans="1:2" x14ac:dyDescent="0.25">
      <c r="A5624" s="104"/>
      <c r="B5624" s="104"/>
    </row>
    <row r="5625" spans="1:2" x14ac:dyDescent="0.25">
      <c r="A5625" s="104"/>
      <c r="B5625" s="104"/>
    </row>
    <row r="5626" spans="1:2" x14ac:dyDescent="0.25">
      <c r="A5626" s="104"/>
      <c r="B5626" s="104"/>
    </row>
    <row r="5627" spans="1:2" x14ac:dyDescent="0.25">
      <c r="A5627" s="104"/>
      <c r="B5627" s="104"/>
    </row>
    <row r="5628" spans="1:2" x14ac:dyDescent="0.25">
      <c r="A5628" s="104"/>
      <c r="B5628" s="104"/>
    </row>
    <row r="5629" spans="1:2" x14ac:dyDescent="0.25">
      <c r="A5629" s="104"/>
      <c r="B5629" s="104"/>
    </row>
    <row r="5630" spans="1:2" x14ac:dyDescent="0.25">
      <c r="A5630" s="104"/>
      <c r="B5630" s="104"/>
    </row>
    <row r="5631" spans="1:2" x14ac:dyDescent="0.25">
      <c r="A5631" s="104"/>
      <c r="B5631" s="104"/>
    </row>
    <row r="5632" spans="1:2" x14ac:dyDescent="0.25">
      <c r="A5632" s="104"/>
      <c r="B5632" s="104"/>
    </row>
    <row r="5633" spans="1:2" x14ac:dyDescent="0.25">
      <c r="A5633" s="104"/>
      <c r="B5633" s="104"/>
    </row>
    <row r="5634" spans="1:2" x14ac:dyDescent="0.25">
      <c r="A5634" s="104"/>
      <c r="B5634" s="104"/>
    </row>
    <row r="5635" spans="1:2" x14ac:dyDescent="0.25">
      <c r="A5635" s="104"/>
      <c r="B5635" s="104"/>
    </row>
    <row r="5636" spans="1:2" x14ac:dyDescent="0.25">
      <c r="A5636" s="104"/>
      <c r="B5636" s="104"/>
    </row>
    <row r="5637" spans="1:2" x14ac:dyDescent="0.25">
      <c r="A5637" s="104"/>
      <c r="B5637" s="104"/>
    </row>
    <row r="5638" spans="1:2" x14ac:dyDescent="0.25">
      <c r="A5638" s="104"/>
      <c r="B5638" s="104"/>
    </row>
    <row r="5639" spans="1:2" x14ac:dyDescent="0.25">
      <c r="A5639" s="104"/>
      <c r="B5639" s="104"/>
    </row>
    <row r="5640" spans="1:2" x14ac:dyDescent="0.25">
      <c r="A5640" s="104"/>
      <c r="B5640" s="104"/>
    </row>
    <row r="5641" spans="1:2" x14ac:dyDescent="0.25">
      <c r="A5641" s="104"/>
      <c r="B5641" s="104"/>
    </row>
    <row r="5642" spans="1:2" x14ac:dyDescent="0.25">
      <c r="A5642" s="104"/>
      <c r="B5642" s="104"/>
    </row>
    <row r="5643" spans="1:2" x14ac:dyDescent="0.25">
      <c r="A5643" s="104"/>
      <c r="B5643" s="104"/>
    </row>
    <row r="5644" spans="1:2" x14ac:dyDescent="0.25">
      <c r="A5644" s="104"/>
      <c r="B5644" s="104"/>
    </row>
    <row r="5645" spans="1:2" x14ac:dyDescent="0.25">
      <c r="A5645" s="104"/>
      <c r="B5645" s="104"/>
    </row>
    <row r="5646" spans="1:2" x14ac:dyDescent="0.25">
      <c r="A5646" s="104"/>
      <c r="B5646" s="104"/>
    </row>
    <row r="5647" spans="1:2" x14ac:dyDescent="0.25">
      <c r="A5647" s="104"/>
      <c r="B5647" s="104"/>
    </row>
    <row r="5648" spans="1:2" x14ac:dyDescent="0.25">
      <c r="A5648" s="104"/>
      <c r="B5648" s="104"/>
    </row>
    <row r="5649" spans="1:2" x14ac:dyDescent="0.25">
      <c r="A5649" s="104"/>
      <c r="B5649" s="104"/>
    </row>
    <row r="5650" spans="1:2" x14ac:dyDescent="0.25">
      <c r="A5650" s="104"/>
      <c r="B5650" s="104"/>
    </row>
    <row r="5651" spans="1:2" x14ac:dyDescent="0.25">
      <c r="A5651" s="104"/>
      <c r="B5651" s="104"/>
    </row>
    <row r="5652" spans="1:2" x14ac:dyDescent="0.25">
      <c r="A5652" s="104"/>
      <c r="B5652" s="104"/>
    </row>
    <row r="5653" spans="1:2" x14ac:dyDescent="0.25">
      <c r="A5653" s="104"/>
      <c r="B5653" s="104"/>
    </row>
    <row r="5654" spans="1:2" x14ac:dyDescent="0.25">
      <c r="A5654" s="104"/>
      <c r="B5654" s="104"/>
    </row>
    <row r="5655" spans="1:2" x14ac:dyDescent="0.25">
      <c r="A5655" s="104"/>
      <c r="B5655" s="104"/>
    </row>
    <row r="5656" spans="1:2" x14ac:dyDescent="0.25">
      <c r="A5656" s="104"/>
      <c r="B5656" s="104"/>
    </row>
    <row r="5657" spans="1:2" x14ac:dyDescent="0.25">
      <c r="A5657" s="104"/>
      <c r="B5657" s="104"/>
    </row>
    <row r="5658" spans="1:2" x14ac:dyDescent="0.25">
      <c r="A5658" s="104"/>
      <c r="B5658" s="104"/>
    </row>
    <row r="5659" spans="1:2" x14ac:dyDescent="0.25">
      <c r="A5659" s="104"/>
      <c r="B5659" s="104"/>
    </row>
    <row r="5660" spans="1:2" x14ac:dyDescent="0.25">
      <c r="A5660" s="104"/>
      <c r="B5660" s="104"/>
    </row>
    <row r="5661" spans="1:2" x14ac:dyDescent="0.25">
      <c r="A5661" s="104"/>
      <c r="B5661" s="104"/>
    </row>
    <row r="5662" spans="1:2" x14ac:dyDescent="0.25">
      <c r="A5662" s="104"/>
      <c r="B5662" s="104"/>
    </row>
    <row r="5663" spans="1:2" x14ac:dyDescent="0.25">
      <c r="A5663" s="104"/>
      <c r="B5663" s="104"/>
    </row>
    <row r="5664" spans="1:2" x14ac:dyDescent="0.25">
      <c r="A5664" s="104"/>
      <c r="B5664" s="104"/>
    </row>
    <row r="5665" spans="1:2" x14ac:dyDescent="0.25">
      <c r="A5665" s="104"/>
      <c r="B5665" s="104"/>
    </row>
    <row r="5666" spans="1:2" x14ac:dyDescent="0.25">
      <c r="A5666" s="104"/>
      <c r="B5666" s="104"/>
    </row>
    <row r="5667" spans="1:2" x14ac:dyDescent="0.25">
      <c r="A5667" s="104"/>
      <c r="B5667" s="104"/>
    </row>
    <row r="5668" spans="1:2" x14ac:dyDescent="0.25">
      <c r="A5668" s="104"/>
      <c r="B5668" s="104"/>
    </row>
    <row r="5669" spans="1:2" x14ac:dyDescent="0.25">
      <c r="A5669" s="104"/>
      <c r="B5669" s="104"/>
    </row>
    <row r="5670" spans="1:2" x14ac:dyDescent="0.25">
      <c r="A5670" s="104"/>
      <c r="B5670" s="104"/>
    </row>
    <row r="5671" spans="1:2" x14ac:dyDescent="0.25">
      <c r="A5671" s="104"/>
      <c r="B5671" s="104"/>
    </row>
    <row r="5672" spans="1:2" x14ac:dyDescent="0.25">
      <c r="A5672" s="104"/>
      <c r="B5672" s="104"/>
    </row>
    <row r="5673" spans="1:2" x14ac:dyDescent="0.25">
      <c r="A5673" s="104"/>
      <c r="B5673" s="104"/>
    </row>
    <row r="5674" spans="1:2" x14ac:dyDescent="0.25">
      <c r="A5674" s="104"/>
      <c r="B5674" s="104"/>
    </row>
    <row r="5675" spans="1:2" x14ac:dyDescent="0.25">
      <c r="A5675" s="104"/>
      <c r="B5675" s="104"/>
    </row>
    <row r="5676" spans="1:2" x14ac:dyDescent="0.25">
      <c r="A5676" s="104"/>
      <c r="B5676" s="104"/>
    </row>
    <row r="5677" spans="1:2" x14ac:dyDescent="0.25">
      <c r="A5677" s="104"/>
      <c r="B5677" s="104"/>
    </row>
    <row r="5678" spans="1:2" x14ac:dyDescent="0.25">
      <c r="A5678" s="104"/>
      <c r="B5678" s="104"/>
    </row>
    <row r="5679" spans="1:2" x14ac:dyDescent="0.25">
      <c r="A5679" s="104"/>
      <c r="B5679" s="104"/>
    </row>
    <row r="5680" spans="1:2" x14ac:dyDescent="0.25">
      <c r="A5680" s="104"/>
      <c r="B5680" s="104"/>
    </row>
    <row r="5681" spans="1:2" x14ac:dyDescent="0.25">
      <c r="A5681" s="104"/>
      <c r="B5681" s="104"/>
    </row>
    <row r="5682" spans="1:2" x14ac:dyDescent="0.25">
      <c r="A5682" s="104"/>
      <c r="B5682" s="104"/>
    </row>
    <row r="5683" spans="1:2" x14ac:dyDescent="0.25">
      <c r="A5683" s="104"/>
      <c r="B5683" s="104"/>
    </row>
    <row r="5684" spans="1:2" x14ac:dyDescent="0.25">
      <c r="A5684" s="104"/>
      <c r="B5684" s="104"/>
    </row>
    <row r="5685" spans="1:2" x14ac:dyDescent="0.25">
      <c r="A5685" s="104"/>
      <c r="B5685" s="104"/>
    </row>
    <row r="5686" spans="1:2" x14ac:dyDescent="0.25">
      <c r="A5686" s="104"/>
      <c r="B5686" s="104"/>
    </row>
    <row r="5687" spans="1:2" x14ac:dyDescent="0.25">
      <c r="A5687" s="104"/>
      <c r="B5687" s="104"/>
    </row>
    <row r="5688" spans="1:2" x14ac:dyDescent="0.25">
      <c r="A5688" s="104"/>
      <c r="B5688" s="104"/>
    </row>
    <row r="5689" spans="1:2" x14ac:dyDescent="0.25">
      <c r="A5689" s="104"/>
      <c r="B5689" s="104"/>
    </row>
    <row r="5690" spans="1:2" x14ac:dyDescent="0.25">
      <c r="A5690" s="104"/>
      <c r="B5690" s="104"/>
    </row>
    <row r="5691" spans="1:2" x14ac:dyDescent="0.25">
      <c r="A5691" s="104"/>
      <c r="B5691" s="104"/>
    </row>
    <row r="5692" spans="1:2" x14ac:dyDescent="0.25">
      <c r="A5692" s="104"/>
      <c r="B5692" s="104"/>
    </row>
    <row r="5693" spans="1:2" x14ac:dyDescent="0.25">
      <c r="A5693" s="104"/>
      <c r="B5693" s="104"/>
    </row>
    <row r="5694" spans="1:2" x14ac:dyDescent="0.25">
      <c r="A5694" s="104"/>
      <c r="B5694" s="104"/>
    </row>
    <row r="5695" spans="1:2" x14ac:dyDescent="0.25">
      <c r="A5695" s="104"/>
      <c r="B5695" s="104"/>
    </row>
    <row r="5696" spans="1:2" x14ac:dyDescent="0.25">
      <c r="A5696" s="104"/>
      <c r="B5696" s="104"/>
    </row>
    <row r="5697" spans="1:2" x14ac:dyDescent="0.25">
      <c r="A5697" s="104"/>
      <c r="B5697" s="104"/>
    </row>
    <row r="5698" spans="1:2" x14ac:dyDescent="0.25">
      <c r="A5698" s="104"/>
      <c r="B5698" s="104"/>
    </row>
    <row r="5699" spans="1:2" x14ac:dyDescent="0.25">
      <c r="A5699" s="104"/>
      <c r="B5699" s="104"/>
    </row>
    <row r="5700" spans="1:2" x14ac:dyDescent="0.25">
      <c r="A5700" s="104"/>
      <c r="B5700" s="104"/>
    </row>
    <row r="5701" spans="1:2" x14ac:dyDescent="0.25">
      <c r="A5701" s="104"/>
      <c r="B5701" s="104"/>
    </row>
    <row r="5702" spans="1:2" x14ac:dyDescent="0.25">
      <c r="A5702" s="104"/>
      <c r="B5702" s="104"/>
    </row>
    <row r="5703" spans="1:2" x14ac:dyDescent="0.25">
      <c r="A5703" s="104"/>
      <c r="B5703" s="104"/>
    </row>
    <row r="5704" spans="1:2" x14ac:dyDescent="0.25">
      <c r="A5704" s="104"/>
      <c r="B5704" s="104"/>
    </row>
    <row r="5705" spans="1:2" x14ac:dyDescent="0.25">
      <c r="A5705" s="104"/>
      <c r="B5705" s="104"/>
    </row>
    <row r="5706" spans="1:2" x14ac:dyDescent="0.25">
      <c r="A5706" s="104"/>
      <c r="B5706" s="104"/>
    </row>
    <row r="5707" spans="1:2" x14ac:dyDescent="0.25">
      <c r="A5707" s="104"/>
      <c r="B5707" s="104"/>
    </row>
    <row r="5708" spans="1:2" x14ac:dyDescent="0.25">
      <c r="A5708" s="104"/>
      <c r="B5708" s="104"/>
    </row>
    <row r="5709" spans="1:2" x14ac:dyDescent="0.25">
      <c r="A5709" s="104"/>
      <c r="B5709" s="104"/>
    </row>
    <row r="5710" spans="1:2" x14ac:dyDescent="0.25">
      <c r="A5710" s="104"/>
      <c r="B5710" s="104"/>
    </row>
    <row r="5711" spans="1:2" x14ac:dyDescent="0.25">
      <c r="A5711" s="104"/>
      <c r="B5711" s="104"/>
    </row>
    <row r="5712" spans="1:2" x14ac:dyDescent="0.25">
      <c r="A5712" s="104"/>
      <c r="B5712" s="104"/>
    </row>
    <row r="5713" spans="1:2" x14ac:dyDescent="0.25">
      <c r="A5713" s="104"/>
      <c r="B5713" s="104"/>
    </row>
    <row r="5714" spans="1:2" x14ac:dyDescent="0.25">
      <c r="A5714" s="104"/>
      <c r="B5714" s="104"/>
    </row>
    <row r="5715" spans="1:2" x14ac:dyDescent="0.25">
      <c r="A5715" s="104"/>
      <c r="B5715" s="104"/>
    </row>
    <row r="5716" spans="1:2" x14ac:dyDescent="0.25">
      <c r="A5716" s="104"/>
      <c r="B5716" s="104"/>
    </row>
    <row r="5717" spans="1:2" x14ac:dyDescent="0.25">
      <c r="A5717" s="104"/>
      <c r="B5717" s="104"/>
    </row>
    <row r="5718" spans="1:2" x14ac:dyDescent="0.25">
      <c r="A5718" s="104"/>
      <c r="B5718" s="104"/>
    </row>
    <row r="5719" spans="1:2" x14ac:dyDescent="0.25">
      <c r="A5719" s="104"/>
      <c r="B5719" s="104"/>
    </row>
    <row r="5720" spans="1:2" x14ac:dyDescent="0.25">
      <c r="A5720" s="104"/>
      <c r="B5720" s="104"/>
    </row>
    <row r="5721" spans="1:2" x14ac:dyDescent="0.25">
      <c r="A5721" s="104"/>
      <c r="B5721" s="104"/>
    </row>
    <row r="5722" spans="1:2" x14ac:dyDescent="0.25">
      <c r="A5722" s="104"/>
      <c r="B5722" s="104"/>
    </row>
    <row r="5723" spans="1:2" x14ac:dyDescent="0.25">
      <c r="A5723" s="104"/>
      <c r="B5723" s="104"/>
    </row>
    <row r="5724" spans="1:2" x14ac:dyDescent="0.25">
      <c r="A5724" s="104"/>
      <c r="B5724" s="104"/>
    </row>
    <row r="5725" spans="1:2" x14ac:dyDescent="0.25">
      <c r="A5725" s="104"/>
      <c r="B5725" s="104"/>
    </row>
    <row r="5726" spans="1:2" x14ac:dyDescent="0.25">
      <c r="A5726" s="104"/>
      <c r="B5726" s="104"/>
    </row>
    <row r="5727" spans="1:2" x14ac:dyDescent="0.25">
      <c r="A5727" s="104"/>
      <c r="B5727" s="104"/>
    </row>
    <row r="5728" spans="1:2" x14ac:dyDescent="0.25">
      <c r="A5728" s="104"/>
      <c r="B5728" s="104"/>
    </row>
    <row r="5729" spans="1:2" x14ac:dyDescent="0.25">
      <c r="A5729" s="104"/>
      <c r="B5729" s="104"/>
    </row>
    <row r="5730" spans="1:2" x14ac:dyDescent="0.25">
      <c r="A5730" s="104"/>
      <c r="B5730" s="104"/>
    </row>
    <row r="5731" spans="1:2" x14ac:dyDescent="0.25">
      <c r="A5731" s="104"/>
      <c r="B5731" s="104"/>
    </row>
    <row r="5732" spans="1:2" x14ac:dyDescent="0.25">
      <c r="A5732" s="104"/>
      <c r="B5732" s="104"/>
    </row>
    <row r="5733" spans="1:2" x14ac:dyDescent="0.25">
      <c r="A5733" s="104"/>
      <c r="B5733" s="104"/>
    </row>
    <row r="5734" spans="1:2" x14ac:dyDescent="0.25">
      <c r="A5734" s="104"/>
      <c r="B5734" s="104"/>
    </row>
    <row r="5735" spans="1:2" x14ac:dyDescent="0.25">
      <c r="A5735" s="104"/>
      <c r="B5735" s="104"/>
    </row>
    <row r="5736" spans="1:2" x14ac:dyDescent="0.25">
      <c r="A5736" s="104"/>
      <c r="B5736" s="104"/>
    </row>
    <row r="5737" spans="1:2" x14ac:dyDescent="0.25">
      <c r="A5737" s="104"/>
      <c r="B5737" s="104"/>
    </row>
    <row r="5738" spans="1:2" x14ac:dyDescent="0.25">
      <c r="A5738" s="104"/>
      <c r="B5738" s="104"/>
    </row>
    <row r="5739" spans="1:2" x14ac:dyDescent="0.25">
      <c r="A5739" s="104"/>
      <c r="B5739" s="104"/>
    </row>
    <row r="5740" spans="1:2" x14ac:dyDescent="0.25">
      <c r="A5740" s="104"/>
      <c r="B5740" s="104"/>
    </row>
    <row r="5741" spans="1:2" x14ac:dyDescent="0.25">
      <c r="A5741" s="104"/>
      <c r="B5741" s="104"/>
    </row>
    <row r="5742" spans="1:2" x14ac:dyDescent="0.25">
      <c r="A5742" s="104"/>
      <c r="B5742" s="104"/>
    </row>
    <row r="5743" spans="1:2" x14ac:dyDescent="0.25">
      <c r="A5743" s="104"/>
      <c r="B5743" s="104"/>
    </row>
    <row r="5744" spans="1:2" x14ac:dyDescent="0.25">
      <c r="A5744" s="104"/>
      <c r="B5744" s="104"/>
    </row>
    <row r="5745" spans="1:2" x14ac:dyDescent="0.25">
      <c r="A5745" s="104"/>
      <c r="B5745" s="104"/>
    </row>
    <row r="5746" spans="1:2" x14ac:dyDescent="0.25">
      <c r="A5746" s="104"/>
      <c r="B5746" s="104"/>
    </row>
    <row r="5747" spans="1:2" x14ac:dyDescent="0.25">
      <c r="A5747" s="104"/>
      <c r="B5747" s="104"/>
    </row>
    <row r="5748" spans="1:2" x14ac:dyDescent="0.25">
      <c r="A5748" s="104"/>
      <c r="B5748" s="104"/>
    </row>
    <row r="5749" spans="1:2" x14ac:dyDescent="0.25">
      <c r="A5749" s="104"/>
      <c r="B5749" s="104"/>
    </row>
    <row r="5750" spans="1:2" x14ac:dyDescent="0.25">
      <c r="A5750" s="104"/>
      <c r="B5750" s="104"/>
    </row>
    <row r="5751" spans="1:2" x14ac:dyDescent="0.25">
      <c r="A5751" s="104"/>
      <c r="B5751" s="104"/>
    </row>
    <row r="5752" spans="1:2" x14ac:dyDescent="0.25">
      <c r="A5752" s="104"/>
      <c r="B5752" s="104"/>
    </row>
    <row r="5753" spans="1:2" x14ac:dyDescent="0.25">
      <c r="A5753" s="104"/>
      <c r="B5753" s="104"/>
    </row>
    <row r="5754" spans="1:2" x14ac:dyDescent="0.25">
      <c r="A5754" s="104"/>
      <c r="B5754" s="104"/>
    </row>
    <row r="5755" spans="1:2" x14ac:dyDescent="0.25">
      <c r="A5755" s="104"/>
      <c r="B5755" s="104"/>
    </row>
    <row r="5756" spans="1:2" x14ac:dyDescent="0.25">
      <c r="A5756" s="104"/>
      <c r="B5756" s="104"/>
    </row>
    <row r="5757" spans="1:2" x14ac:dyDescent="0.25">
      <c r="A5757" s="104"/>
      <c r="B5757" s="104"/>
    </row>
    <row r="5758" spans="1:2" x14ac:dyDescent="0.25">
      <c r="A5758" s="104"/>
      <c r="B5758" s="104"/>
    </row>
    <row r="5759" spans="1:2" x14ac:dyDescent="0.25">
      <c r="A5759" s="104"/>
      <c r="B5759" s="104"/>
    </row>
    <row r="5760" spans="1:2" x14ac:dyDescent="0.25">
      <c r="A5760" s="104"/>
      <c r="B5760" s="104"/>
    </row>
    <row r="5761" spans="1:2" x14ac:dyDescent="0.25">
      <c r="A5761" s="104"/>
      <c r="B5761" s="104"/>
    </row>
    <row r="5762" spans="1:2" x14ac:dyDescent="0.25">
      <c r="A5762" s="104"/>
      <c r="B5762" s="104"/>
    </row>
    <row r="5763" spans="1:2" x14ac:dyDescent="0.25">
      <c r="A5763" s="104"/>
      <c r="B5763" s="104"/>
    </row>
    <row r="5764" spans="1:2" x14ac:dyDescent="0.25">
      <c r="A5764" s="104"/>
      <c r="B5764" s="104"/>
    </row>
    <row r="5765" spans="1:2" x14ac:dyDescent="0.25">
      <c r="A5765" s="104"/>
      <c r="B5765" s="104"/>
    </row>
    <row r="5766" spans="1:2" x14ac:dyDescent="0.25">
      <c r="A5766" s="104"/>
      <c r="B5766" s="104"/>
    </row>
    <row r="5767" spans="1:2" x14ac:dyDescent="0.25">
      <c r="A5767" s="104"/>
      <c r="B5767" s="104"/>
    </row>
    <row r="5768" spans="1:2" x14ac:dyDescent="0.25">
      <c r="A5768" s="104"/>
      <c r="B5768" s="104"/>
    </row>
    <row r="5769" spans="1:2" x14ac:dyDescent="0.25">
      <c r="A5769" s="104"/>
      <c r="B5769" s="104"/>
    </row>
    <row r="5770" spans="1:2" x14ac:dyDescent="0.25">
      <c r="A5770" s="104"/>
      <c r="B5770" s="104"/>
    </row>
    <row r="5771" spans="1:2" x14ac:dyDescent="0.25">
      <c r="A5771" s="104"/>
      <c r="B5771" s="104"/>
    </row>
    <row r="5772" spans="1:2" x14ac:dyDescent="0.25">
      <c r="A5772" s="104"/>
      <c r="B5772" s="104"/>
    </row>
    <row r="5773" spans="1:2" x14ac:dyDescent="0.25">
      <c r="A5773" s="104"/>
      <c r="B5773" s="104"/>
    </row>
    <row r="5774" spans="1:2" x14ac:dyDescent="0.25">
      <c r="A5774" s="104"/>
      <c r="B5774" s="104"/>
    </row>
    <row r="5775" spans="1:2" x14ac:dyDescent="0.25">
      <c r="A5775" s="104"/>
      <c r="B5775" s="104"/>
    </row>
    <row r="5776" spans="1:2" x14ac:dyDescent="0.25">
      <c r="A5776" s="104"/>
      <c r="B5776" s="104"/>
    </row>
    <row r="5777" spans="1:2" x14ac:dyDescent="0.25">
      <c r="A5777" s="104"/>
      <c r="B5777" s="104"/>
    </row>
    <row r="5778" spans="1:2" x14ac:dyDescent="0.25">
      <c r="A5778" s="104"/>
      <c r="B5778" s="104"/>
    </row>
    <row r="5779" spans="1:2" x14ac:dyDescent="0.25">
      <c r="A5779" s="104"/>
      <c r="B5779" s="104"/>
    </row>
    <row r="5780" spans="1:2" x14ac:dyDescent="0.25">
      <c r="A5780" s="104"/>
      <c r="B5780" s="104"/>
    </row>
    <row r="5781" spans="1:2" x14ac:dyDescent="0.25">
      <c r="A5781" s="104"/>
      <c r="B5781" s="104"/>
    </row>
    <row r="5782" spans="1:2" x14ac:dyDescent="0.25">
      <c r="A5782" s="104"/>
      <c r="B5782" s="104"/>
    </row>
    <row r="5783" spans="1:2" x14ac:dyDescent="0.25">
      <c r="A5783" s="104"/>
      <c r="B5783" s="104"/>
    </row>
    <row r="5784" spans="1:2" x14ac:dyDescent="0.25">
      <c r="A5784" s="104"/>
      <c r="B5784" s="104"/>
    </row>
    <row r="5785" spans="1:2" x14ac:dyDescent="0.25">
      <c r="A5785" s="104"/>
      <c r="B5785" s="104"/>
    </row>
    <row r="5786" spans="1:2" x14ac:dyDescent="0.25">
      <c r="A5786" s="104"/>
      <c r="B5786" s="104"/>
    </row>
    <row r="5787" spans="1:2" x14ac:dyDescent="0.25">
      <c r="A5787" s="104"/>
      <c r="B5787" s="104"/>
    </row>
    <row r="5788" spans="1:2" x14ac:dyDescent="0.25">
      <c r="A5788" s="104"/>
      <c r="B5788" s="104"/>
    </row>
    <row r="5789" spans="1:2" x14ac:dyDescent="0.25">
      <c r="A5789" s="104"/>
      <c r="B5789" s="104"/>
    </row>
    <row r="5790" spans="1:2" x14ac:dyDescent="0.25">
      <c r="A5790" s="104"/>
      <c r="B5790" s="104"/>
    </row>
    <row r="5791" spans="1:2" x14ac:dyDescent="0.25">
      <c r="A5791" s="104"/>
      <c r="B5791" s="104"/>
    </row>
    <row r="5792" spans="1:2" x14ac:dyDescent="0.25">
      <c r="A5792" s="104"/>
      <c r="B5792" s="104"/>
    </row>
    <row r="5793" spans="1:2" x14ac:dyDescent="0.25">
      <c r="A5793" s="104"/>
      <c r="B5793" s="104"/>
    </row>
    <row r="5794" spans="1:2" x14ac:dyDescent="0.25">
      <c r="A5794" s="104"/>
      <c r="B5794" s="104"/>
    </row>
    <row r="5795" spans="1:2" x14ac:dyDescent="0.25">
      <c r="A5795" s="104"/>
      <c r="B5795" s="104"/>
    </row>
    <row r="5796" spans="1:2" x14ac:dyDescent="0.25">
      <c r="A5796" s="104"/>
      <c r="B5796" s="104"/>
    </row>
    <row r="5797" spans="1:2" x14ac:dyDescent="0.25">
      <c r="A5797" s="104"/>
      <c r="B5797" s="104"/>
    </row>
    <row r="5798" spans="1:2" x14ac:dyDescent="0.25">
      <c r="A5798" s="104"/>
      <c r="B5798" s="104"/>
    </row>
    <row r="5799" spans="1:2" x14ac:dyDescent="0.25">
      <c r="A5799" s="104"/>
      <c r="B5799" s="104"/>
    </row>
    <row r="5800" spans="1:2" x14ac:dyDescent="0.25">
      <c r="A5800" s="104"/>
      <c r="B5800" s="104"/>
    </row>
    <row r="5801" spans="1:2" x14ac:dyDescent="0.25">
      <c r="A5801" s="104"/>
      <c r="B5801" s="104"/>
    </row>
    <row r="5802" spans="1:2" x14ac:dyDescent="0.25">
      <c r="A5802" s="104"/>
      <c r="B5802" s="104"/>
    </row>
    <row r="5803" spans="1:2" x14ac:dyDescent="0.25">
      <c r="A5803" s="104"/>
      <c r="B5803" s="104"/>
    </row>
    <row r="5804" spans="1:2" x14ac:dyDescent="0.25">
      <c r="A5804" s="104"/>
      <c r="B5804" s="104"/>
    </row>
    <row r="5805" spans="1:2" x14ac:dyDescent="0.25">
      <c r="A5805" s="104"/>
      <c r="B5805" s="104"/>
    </row>
    <row r="5806" spans="1:2" x14ac:dyDescent="0.25">
      <c r="A5806" s="104"/>
      <c r="B5806" s="104"/>
    </row>
    <row r="5807" spans="1:2" x14ac:dyDescent="0.25">
      <c r="A5807" s="104"/>
      <c r="B5807" s="104"/>
    </row>
    <row r="5808" spans="1:2" x14ac:dyDescent="0.25">
      <c r="A5808" s="104"/>
      <c r="B5808" s="104"/>
    </row>
    <row r="5809" spans="1:2" x14ac:dyDescent="0.25">
      <c r="A5809" s="104"/>
      <c r="B5809" s="104"/>
    </row>
    <row r="5810" spans="1:2" x14ac:dyDescent="0.25">
      <c r="A5810" s="104"/>
      <c r="B5810" s="104"/>
    </row>
    <row r="5811" spans="1:2" x14ac:dyDescent="0.25">
      <c r="A5811" s="104"/>
      <c r="B5811" s="104"/>
    </row>
    <row r="5812" spans="1:2" x14ac:dyDescent="0.25">
      <c r="A5812" s="104"/>
      <c r="B5812" s="104"/>
    </row>
    <row r="5813" spans="1:2" x14ac:dyDescent="0.25">
      <c r="A5813" s="104"/>
      <c r="B5813" s="104"/>
    </row>
    <row r="5814" spans="1:2" x14ac:dyDescent="0.25">
      <c r="A5814" s="104"/>
      <c r="B5814" s="104"/>
    </row>
    <row r="5815" spans="1:2" x14ac:dyDescent="0.25">
      <c r="A5815" s="104"/>
      <c r="B5815" s="104"/>
    </row>
    <row r="5816" spans="1:2" x14ac:dyDescent="0.25">
      <c r="A5816" s="104"/>
      <c r="B5816" s="104"/>
    </row>
    <row r="5817" spans="1:2" x14ac:dyDescent="0.25">
      <c r="A5817" s="104"/>
      <c r="B5817" s="104"/>
    </row>
    <row r="5818" spans="1:2" x14ac:dyDescent="0.25">
      <c r="A5818" s="104"/>
      <c r="B5818" s="104"/>
    </row>
    <row r="5819" spans="1:2" x14ac:dyDescent="0.25">
      <c r="A5819" s="104"/>
      <c r="B5819" s="104"/>
    </row>
    <row r="5820" spans="1:2" x14ac:dyDescent="0.25">
      <c r="A5820" s="104"/>
      <c r="B5820" s="104"/>
    </row>
    <row r="5821" spans="1:2" x14ac:dyDescent="0.25">
      <c r="A5821" s="104"/>
      <c r="B5821" s="104"/>
    </row>
    <row r="5822" spans="1:2" x14ac:dyDescent="0.25">
      <c r="A5822" s="104"/>
      <c r="B5822" s="104"/>
    </row>
    <row r="5823" spans="1:2" x14ac:dyDescent="0.25">
      <c r="A5823" s="104"/>
      <c r="B5823" s="104"/>
    </row>
    <row r="5824" spans="1:2" x14ac:dyDescent="0.25">
      <c r="A5824" s="104"/>
      <c r="B5824" s="104"/>
    </row>
    <row r="5825" spans="1:2" x14ac:dyDescent="0.25">
      <c r="A5825" s="104"/>
      <c r="B5825" s="104"/>
    </row>
    <row r="5826" spans="1:2" x14ac:dyDescent="0.25">
      <c r="A5826" s="104"/>
      <c r="B5826" s="104"/>
    </row>
    <row r="5827" spans="1:2" x14ac:dyDescent="0.25">
      <c r="A5827" s="104"/>
      <c r="B5827" s="104"/>
    </row>
    <row r="5828" spans="1:2" x14ac:dyDescent="0.25">
      <c r="A5828" s="104"/>
      <c r="B5828" s="104"/>
    </row>
    <row r="5829" spans="1:2" x14ac:dyDescent="0.25">
      <c r="A5829" s="104"/>
      <c r="B5829" s="104"/>
    </row>
    <row r="5830" spans="1:2" x14ac:dyDescent="0.25">
      <c r="A5830" s="104"/>
      <c r="B5830" s="104"/>
    </row>
    <row r="5831" spans="1:2" x14ac:dyDescent="0.25">
      <c r="A5831" s="104"/>
      <c r="B5831" s="104"/>
    </row>
    <row r="5832" spans="1:2" x14ac:dyDescent="0.25">
      <c r="A5832" s="104"/>
      <c r="B5832" s="104"/>
    </row>
    <row r="5833" spans="1:2" x14ac:dyDescent="0.25">
      <c r="A5833" s="104"/>
      <c r="B5833" s="104"/>
    </row>
    <row r="5834" spans="1:2" x14ac:dyDescent="0.25">
      <c r="A5834" s="104"/>
      <c r="B5834" s="104"/>
    </row>
    <row r="5835" spans="1:2" x14ac:dyDescent="0.25">
      <c r="A5835" s="104"/>
      <c r="B5835" s="104"/>
    </row>
    <row r="5836" spans="1:2" x14ac:dyDescent="0.25">
      <c r="A5836" s="104"/>
      <c r="B5836" s="104"/>
    </row>
    <row r="5837" spans="1:2" x14ac:dyDescent="0.25">
      <c r="A5837" s="104"/>
      <c r="B5837" s="104"/>
    </row>
    <row r="5838" spans="1:2" x14ac:dyDescent="0.25">
      <c r="A5838" s="104"/>
      <c r="B5838" s="104"/>
    </row>
    <row r="5839" spans="1:2" x14ac:dyDescent="0.25">
      <c r="A5839" s="104"/>
      <c r="B5839" s="104"/>
    </row>
    <row r="5840" spans="1:2" x14ac:dyDescent="0.25">
      <c r="A5840" s="104"/>
      <c r="B5840" s="104"/>
    </row>
    <row r="5841" spans="1:2" x14ac:dyDescent="0.25">
      <c r="A5841" s="104"/>
      <c r="B5841" s="104"/>
    </row>
    <row r="5842" spans="1:2" x14ac:dyDescent="0.25">
      <c r="A5842" s="104"/>
      <c r="B5842" s="104"/>
    </row>
    <row r="5843" spans="1:2" x14ac:dyDescent="0.25">
      <c r="A5843" s="104"/>
      <c r="B5843" s="104"/>
    </row>
    <row r="5844" spans="1:2" x14ac:dyDescent="0.25">
      <c r="A5844" s="104"/>
      <c r="B5844" s="104"/>
    </row>
    <row r="5845" spans="1:2" x14ac:dyDescent="0.25">
      <c r="A5845" s="104"/>
      <c r="B5845" s="104"/>
    </row>
    <row r="5846" spans="1:2" x14ac:dyDescent="0.25">
      <c r="A5846" s="104"/>
      <c r="B5846" s="104"/>
    </row>
    <row r="5847" spans="1:2" x14ac:dyDescent="0.25">
      <c r="A5847" s="104"/>
      <c r="B5847" s="104"/>
    </row>
    <row r="5848" spans="1:2" x14ac:dyDescent="0.25">
      <c r="A5848" s="104"/>
      <c r="B5848" s="104"/>
    </row>
    <row r="5849" spans="1:2" x14ac:dyDescent="0.25">
      <c r="A5849" s="104"/>
      <c r="B5849" s="104"/>
    </row>
    <row r="5850" spans="1:2" x14ac:dyDescent="0.25">
      <c r="A5850" s="104"/>
      <c r="B5850" s="104"/>
    </row>
    <row r="5851" spans="1:2" x14ac:dyDescent="0.25">
      <c r="A5851" s="104"/>
      <c r="B5851" s="104"/>
    </row>
    <row r="5852" spans="1:2" x14ac:dyDescent="0.25">
      <c r="A5852" s="104"/>
      <c r="B5852" s="104"/>
    </row>
    <row r="5853" spans="1:2" x14ac:dyDescent="0.25">
      <c r="A5853" s="104"/>
      <c r="B5853" s="104"/>
    </row>
    <row r="5854" spans="1:2" x14ac:dyDescent="0.25">
      <c r="A5854" s="104"/>
      <c r="B5854" s="104"/>
    </row>
    <row r="5855" spans="1:2" x14ac:dyDescent="0.25">
      <c r="A5855" s="104"/>
      <c r="B5855" s="104"/>
    </row>
    <row r="5856" spans="1:2" x14ac:dyDescent="0.25">
      <c r="A5856" s="104"/>
      <c r="B5856" s="104"/>
    </row>
    <row r="5857" spans="1:2" x14ac:dyDescent="0.25">
      <c r="A5857" s="104"/>
      <c r="B5857" s="104"/>
    </row>
    <row r="5858" spans="1:2" x14ac:dyDescent="0.25">
      <c r="A5858" s="104"/>
      <c r="B5858" s="104"/>
    </row>
    <row r="5859" spans="1:2" x14ac:dyDescent="0.25">
      <c r="A5859" s="104"/>
      <c r="B5859" s="104"/>
    </row>
    <row r="5860" spans="1:2" x14ac:dyDescent="0.25">
      <c r="A5860" s="104"/>
      <c r="B5860" s="104"/>
    </row>
    <row r="5861" spans="1:2" x14ac:dyDescent="0.25">
      <c r="A5861" s="104"/>
      <c r="B5861" s="104"/>
    </row>
    <row r="5862" spans="1:2" x14ac:dyDescent="0.25">
      <c r="A5862" s="104"/>
      <c r="B5862" s="104"/>
    </row>
    <row r="5863" spans="1:2" x14ac:dyDescent="0.25">
      <c r="A5863" s="104"/>
      <c r="B5863" s="104"/>
    </row>
    <row r="5864" spans="1:2" x14ac:dyDescent="0.25">
      <c r="A5864" s="104"/>
      <c r="B5864" s="104"/>
    </row>
    <row r="5865" spans="1:2" x14ac:dyDescent="0.25">
      <c r="A5865" s="104"/>
      <c r="B5865" s="104"/>
    </row>
    <row r="5866" spans="1:2" x14ac:dyDescent="0.25">
      <c r="A5866" s="104"/>
      <c r="B5866" s="104"/>
    </row>
    <row r="5867" spans="1:2" x14ac:dyDescent="0.25">
      <c r="A5867" s="104"/>
      <c r="B5867" s="104"/>
    </row>
    <row r="5868" spans="1:2" x14ac:dyDescent="0.25">
      <c r="A5868" s="104"/>
      <c r="B5868" s="104"/>
    </row>
    <row r="5869" spans="1:2" x14ac:dyDescent="0.25">
      <c r="A5869" s="104"/>
      <c r="B5869" s="104"/>
    </row>
    <row r="5870" spans="1:2" x14ac:dyDescent="0.25">
      <c r="A5870" s="104"/>
      <c r="B5870" s="104"/>
    </row>
    <row r="5871" spans="1:2" x14ac:dyDescent="0.25">
      <c r="A5871" s="104"/>
      <c r="B5871" s="104"/>
    </row>
    <row r="5872" spans="1:2" x14ac:dyDescent="0.25">
      <c r="A5872" s="104"/>
      <c r="B5872" s="104"/>
    </row>
    <row r="5873" spans="1:2" x14ac:dyDescent="0.25">
      <c r="A5873" s="104"/>
      <c r="B5873" s="104"/>
    </row>
    <row r="5874" spans="1:2" x14ac:dyDescent="0.25">
      <c r="A5874" s="104"/>
      <c r="B5874" s="104"/>
    </row>
    <row r="5875" spans="1:2" x14ac:dyDescent="0.25">
      <c r="A5875" s="104"/>
      <c r="B5875" s="104"/>
    </row>
    <row r="5876" spans="1:2" x14ac:dyDescent="0.25">
      <c r="A5876" s="104"/>
      <c r="B5876" s="104"/>
    </row>
    <row r="5877" spans="1:2" x14ac:dyDescent="0.25">
      <c r="A5877" s="104"/>
      <c r="B5877" s="104"/>
    </row>
    <row r="5878" spans="1:2" x14ac:dyDescent="0.25">
      <c r="A5878" s="104"/>
      <c r="B5878" s="104"/>
    </row>
    <row r="5879" spans="1:2" x14ac:dyDescent="0.25">
      <c r="A5879" s="104"/>
      <c r="B5879" s="104"/>
    </row>
    <row r="5880" spans="1:2" x14ac:dyDescent="0.25">
      <c r="A5880" s="104"/>
      <c r="B5880" s="104"/>
    </row>
    <row r="5881" spans="1:2" x14ac:dyDescent="0.25">
      <c r="A5881" s="104"/>
      <c r="B5881" s="104"/>
    </row>
    <row r="5882" spans="1:2" x14ac:dyDescent="0.25">
      <c r="A5882" s="104"/>
      <c r="B5882" s="104"/>
    </row>
    <row r="5883" spans="1:2" x14ac:dyDescent="0.25">
      <c r="A5883" s="104"/>
      <c r="B5883" s="104"/>
    </row>
    <row r="5884" spans="1:2" x14ac:dyDescent="0.25">
      <c r="A5884" s="104"/>
      <c r="B5884" s="104"/>
    </row>
    <row r="5885" spans="1:2" x14ac:dyDescent="0.25">
      <c r="A5885" s="104"/>
      <c r="B5885" s="104"/>
    </row>
    <row r="5886" spans="1:2" x14ac:dyDescent="0.25">
      <c r="A5886" s="104"/>
      <c r="B5886" s="104"/>
    </row>
    <row r="5887" spans="1:2" x14ac:dyDescent="0.25">
      <c r="A5887" s="104"/>
      <c r="B5887" s="104"/>
    </row>
    <row r="5888" spans="1:2" x14ac:dyDescent="0.25">
      <c r="A5888" s="104"/>
      <c r="B5888" s="104"/>
    </row>
    <row r="5889" spans="1:2" x14ac:dyDescent="0.25">
      <c r="A5889" s="104"/>
      <c r="B5889" s="104"/>
    </row>
    <row r="5890" spans="1:2" x14ac:dyDescent="0.25">
      <c r="A5890" s="104"/>
      <c r="B5890" s="104"/>
    </row>
    <row r="5891" spans="1:2" x14ac:dyDescent="0.25">
      <c r="A5891" s="104"/>
      <c r="B5891" s="104"/>
    </row>
    <row r="5892" spans="1:2" x14ac:dyDescent="0.25">
      <c r="A5892" s="104"/>
      <c r="B5892" s="104"/>
    </row>
    <row r="5893" spans="1:2" x14ac:dyDescent="0.25">
      <c r="A5893" s="104"/>
      <c r="B5893" s="104"/>
    </row>
    <row r="5894" spans="1:2" x14ac:dyDescent="0.25">
      <c r="A5894" s="104"/>
      <c r="B5894" s="104"/>
    </row>
    <row r="5895" spans="1:2" x14ac:dyDescent="0.25">
      <c r="A5895" s="104"/>
      <c r="B5895" s="104"/>
    </row>
    <row r="5896" spans="1:2" x14ac:dyDescent="0.25">
      <c r="A5896" s="104"/>
      <c r="B5896" s="104"/>
    </row>
    <row r="5897" spans="1:2" x14ac:dyDescent="0.25">
      <c r="A5897" s="104"/>
      <c r="B5897" s="104"/>
    </row>
    <row r="5898" spans="1:2" x14ac:dyDescent="0.25">
      <c r="A5898" s="104"/>
      <c r="B5898" s="104"/>
    </row>
    <row r="5899" spans="1:2" x14ac:dyDescent="0.25">
      <c r="A5899" s="104"/>
      <c r="B5899" s="104"/>
    </row>
    <row r="5900" spans="1:2" x14ac:dyDescent="0.25">
      <c r="A5900" s="104"/>
      <c r="B5900" s="104"/>
    </row>
    <row r="5901" spans="1:2" x14ac:dyDescent="0.25">
      <c r="A5901" s="104"/>
      <c r="B5901" s="104"/>
    </row>
    <row r="5902" spans="1:2" x14ac:dyDescent="0.25">
      <c r="A5902" s="104"/>
      <c r="B5902" s="104"/>
    </row>
    <row r="5903" spans="1:2" x14ac:dyDescent="0.25">
      <c r="A5903" s="104"/>
      <c r="B5903" s="104"/>
    </row>
    <row r="5904" spans="1:2" x14ac:dyDescent="0.25">
      <c r="A5904" s="104"/>
      <c r="B5904" s="104"/>
    </row>
    <row r="5905" spans="1:2" x14ac:dyDescent="0.25">
      <c r="A5905" s="104"/>
      <c r="B5905" s="104"/>
    </row>
    <row r="5906" spans="1:2" x14ac:dyDescent="0.25">
      <c r="A5906" s="104"/>
      <c r="B5906" s="104"/>
    </row>
    <row r="5907" spans="1:2" x14ac:dyDescent="0.25">
      <c r="A5907" s="104"/>
      <c r="B5907" s="104"/>
    </row>
    <row r="5908" spans="1:2" x14ac:dyDescent="0.25">
      <c r="A5908" s="104"/>
      <c r="B5908" s="104"/>
    </row>
    <row r="5909" spans="1:2" x14ac:dyDescent="0.25">
      <c r="A5909" s="104"/>
      <c r="B5909" s="104"/>
    </row>
    <row r="5910" spans="1:2" x14ac:dyDescent="0.25">
      <c r="A5910" s="104"/>
      <c r="B5910" s="104"/>
    </row>
    <row r="5911" spans="1:2" x14ac:dyDescent="0.25">
      <c r="A5911" s="104"/>
      <c r="B5911" s="104"/>
    </row>
    <row r="5912" spans="1:2" x14ac:dyDescent="0.25">
      <c r="A5912" s="104"/>
      <c r="B5912" s="104"/>
    </row>
    <row r="5913" spans="1:2" x14ac:dyDescent="0.25">
      <c r="A5913" s="104"/>
      <c r="B5913" s="104"/>
    </row>
    <row r="5914" spans="1:2" x14ac:dyDescent="0.25">
      <c r="A5914" s="104"/>
      <c r="B5914" s="104"/>
    </row>
    <row r="5915" spans="1:2" x14ac:dyDescent="0.25">
      <c r="A5915" s="104"/>
      <c r="B5915" s="104"/>
    </row>
    <row r="5916" spans="1:2" x14ac:dyDescent="0.25">
      <c r="A5916" s="104"/>
      <c r="B5916" s="104"/>
    </row>
    <row r="5917" spans="1:2" x14ac:dyDescent="0.25">
      <c r="A5917" s="104"/>
      <c r="B5917" s="104"/>
    </row>
    <row r="5918" spans="1:2" x14ac:dyDescent="0.25">
      <c r="A5918" s="104"/>
      <c r="B5918" s="104"/>
    </row>
    <row r="5919" spans="1:2" x14ac:dyDescent="0.25">
      <c r="A5919" s="104"/>
      <c r="B5919" s="104"/>
    </row>
    <row r="5920" spans="1:2" x14ac:dyDescent="0.25">
      <c r="A5920" s="104"/>
      <c r="B5920" s="104"/>
    </row>
    <row r="5921" spans="1:2" x14ac:dyDescent="0.25">
      <c r="A5921" s="104"/>
      <c r="B5921" s="104"/>
    </row>
    <row r="5922" spans="1:2" x14ac:dyDescent="0.25">
      <c r="A5922" s="104"/>
      <c r="B5922" s="104"/>
    </row>
    <row r="5923" spans="1:2" x14ac:dyDescent="0.25">
      <c r="A5923" s="104"/>
      <c r="B5923" s="104"/>
    </row>
    <row r="5924" spans="1:2" x14ac:dyDescent="0.25">
      <c r="A5924" s="104"/>
      <c r="B5924" s="104"/>
    </row>
    <row r="5925" spans="1:2" x14ac:dyDescent="0.25">
      <c r="A5925" s="104"/>
      <c r="B5925" s="104"/>
    </row>
    <row r="5926" spans="1:2" x14ac:dyDescent="0.25">
      <c r="A5926" s="104"/>
      <c r="B5926" s="104"/>
    </row>
    <row r="5927" spans="1:2" x14ac:dyDescent="0.25">
      <c r="A5927" s="104"/>
      <c r="B5927" s="104"/>
    </row>
    <row r="5928" spans="1:2" x14ac:dyDescent="0.25">
      <c r="A5928" s="104"/>
      <c r="B5928" s="104"/>
    </row>
    <row r="5929" spans="1:2" x14ac:dyDescent="0.25">
      <c r="A5929" s="104"/>
      <c r="B5929" s="104"/>
    </row>
    <row r="5930" spans="1:2" x14ac:dyDescent="0.25">
      <c r="A5930" s="104"/>
      <c r="B5930" s="104"/>
    </row>
    <row r="5931" spans="1:2" x14ac:dyDescent="0.25">
      <c r="A5931" s="104"/>
      <c r="B5931" s="104"/>
    </row>
    <row r="5932" spans="1:2" x14ac:dyDescent="0.25">
      <c r="A5932" s="104"/>
      <c r="B5932" s="104"/>
    </row>
    <row r="5933" spans="1:2" x14ac:dyDescent="0.25">
      <c r="A5933" s="104"/>
      <c r="B5933" s="104"/>
    </row>
    <row r="5934" spans="1:2" x14ac:dyDescent="0.25">
      <c r="A5934" s="104"/>
      <c r="B5934" s="104"/>
    </row>
    <row r="5935" spans="1:2" x14ac:dyDescent="0.25">
      <c r="A5935" s="104"/>
      <c r="B5935" s="104"/>
    </row>
    <row r="5936" spans="1:2" x14ac:dyDescent="0.25">
      <c r="A5936" s="104"/>
      <c r="B5936" s="104"/>
    </row>
    <row r="5937" spans="1:2" x14ac:dyDescent="0.25">
      <c r="A5937" s="104"/>
      <c r="B5937" s="104"/>
    </row>
    <row r="5938" spans="1:2" x14ac:dyDescent="0.25">
      <c r="A5938" s="104"/>
      <c r="B5938" s="104"/>
    </row>
    <row r="5939" spans="1:2" x14ac:dyDescent="0.25">
      <c r="A5939" s="104"/>
      <c r="B5939" s="104"/>
    </row>
    <row r="5940" spans="1:2" x14ac:dyDescent="0.25">
      <c r="A5940" s="104"/>
      <c r="B5940" s="104"/>
    </row>
    <row r="5941" spans="1:2" x14ac:dyDescent="0.25">
      <c r="A5941" s="104"/>
      <c r="B5941" s="104"/>
    </row>
    <row r="5942" spans="1:2" x14ac:dyDescent="0.25">
      <c r="A5942" s="104"/>
      <c r="B5942" s="104"/>
    </row>
    <row r="5943" spans="1:2" x14ac:dyDescent="0.25">
      <c r="A5943" s="104"/>
      <c r="B5943" s="104"/>
    </row>
    <row r="5944" spans="1:2" x14ac:dyDescent="0.25">
      <c r="A5944" s="104"/>
      <c r="B5944" s="104"/>
    </row>
    <row r="5945" spans="1:2" x14ac:dyDescent="0.25">
      <c r="A5945" s="104"/>
      <c r="B5945" s="104"/>
    </row>
    <row r="5946" spans="1:2" x14ac:dyDescent="0.25">
      <c r="A5946" s="104"/>
      <c r="B5946" s="104"/>
    </row>
    <row r="5947" spans="1:2" x14ac:dyDescent="0.25">
      <c r="A5947" s="104"/>
      <c r="B5947" s="104"/>
    </row>
    <row r="5948" spans="1:2" x14ac:dyDescent="0.25">
      <c r="A5948" s="104"/>
      <c r="B5948" s="104"/>
    </row>
    <row r="5949" spans="1:2" x14ac:dyDescent="0.25">
      <c r="A5949" s="104"/>
      <c r="B5949" s="104"/>
    </row>
    <row r="5950" spans="1:2" x14ac:dyDescent="0.25">
      <c r="A5950" s="104"/>
      <c r="B5950" s="104"/>
    </row>
    <row r="5951" spans="1:2" x14ac:dyDescent="0.25">
      <c r="A5951" s="104"/>
      <c r="B5951" s="104"/>
    </row>
    <row r="5952" spans="1:2" x14ac:dyDescent="0.25">
      <c r="A5952" s="104"/>
      <c r="B5952" s="104"/>
    </row>
    <row r="5953" spans="1:2" x14ac:dyDescent="0.25">
      <c r="A5953" s="104"/>
      <c r="B5953" s="104"/>
    </row>
    <row r="5954" spans="1:2" x14ac:dyDescent="0.25">
      <c r="A5954" s="104"/>
      <c r="B5954" s="104"/>
    </row>
    <row r="5955" spans="1:2" x14ac:dyDescent="0.25">
      <c r="A5955" s="104"/>
      <c r="B5955" s="104"/>
    </row>
    <row r="5956" spans="1:2" x14ac:dyDescent="0.25">
      <c r="A5956" s="104"/>
      <c r="B5956" s="104"/>
    </row>
    <row r="5957" spans="1:2" x14ac:dyDescent="0.25">
      <c r="A5957" s="104"/>
      <c r="B5957" s="104"/>
    </row>
    <row r="5958" spans="1:2" x14ac:dyDescent="0.25">
      <c r="A5958" s="104"/>
      <c r="B5958" s="104"/>
    </row>
    <row r="5959" spans="1:2" x14ac:dyDescent="0.25">
      <c r="A5959" s="104"/>
      <c r="B5959" s="104"/>
    </row>
    <row r="5960" spans="1:2" x14ac:dyDescent="0.25">
      <c r="A5960" s="104"/>
      <c r="B5960" s="104"/>
    </row>
    <row r="5961" spans="1:2" x14ac:dyDescent="0.25">
      <c r="A5961" s="104"/>
      <c r="B5961" s="104"/>
    </row>
    <row r="5962" spans="1:2" x14ac:dyDescent="0.25">
      <c r="A5962" s="104"/>
      <c r="B5962" s="104"/>
    </row>
    <row r="5963" spans="1:2" x14ac:dyDescent="0.25">
      <c r="A5963" s="104"/>
      <c r="B5963" s="104"/>
    </row>
    <row r="5964" spans="1:2" x14ac:dyDescent="0.25">
      <c r="A5964" s="104"/>
      <c r="B5964" s="104"/>
    </row>
    <row r="5965" spans="1:2" x14ac:dyDescent="0.25">
      <c r="A5965" s="104"/>
      <c r="B5965" s="104"/>
    </row>
    <row r="5966" spans="1:2" x14ac:dyDescent="0.25">
      <c r="A5966" s="104"/>
      <c r="B5966" s="104"/>
    </row>
    <row r="5967" spans="1:2" x14ac:dyDescent="0.25">
      <c r="A5967" s="104"/>
      <c r="B5967" s="104"/>
    </row>
    <row r="5968" spans="1:2" x14ac:dyDescent="0.25">
      <c r="A5968" s="104"/>
      <c r="B5968" s="104"/>
    </row>
    <row r="5969" spans="1:2" x14ac:dyDescent="0.25">
      <c r="A5969" s="104"/>
      <c r="B5969" s="104"/>
    </row>
    <row r="5970" spans="1:2" x14ac:dyDescent="0.25">
      <c r="A5970" s="104"/>
      <c r="B5970" s="104"/>
    </row>
    <row r="5971" spans="1:2" x14ac:dyDescent="0.25">
      <c r="A5971" s="104"/>
      <c r="B5971" s="104"/>
    </row>
    <row r="5972" spans="1:2" x14ac:dyDescent="0.25">
      <c r="A5972" s="104"/>
      <c r="B5972" s="104"/>
    </row>
    <row r="5973" spans="1:2" x14ac:dyDescent="0.25">
      <c r="A5973" s="104"/>
      <c r="B5973" s="104"/>
    </row>
    <row r="5974" spans="1:2" x14ac:dyDescent="0.25">
      <c r="A5974" s="104"/>
      <c r="B5974" s="104"/>
    </row>
    <row r="5975" spans="1:2" x14ac:dyDescent="0.25">
      <c r="A5975" s="104"/>
      <c r="B5975" s="104"/>
    </row>
    <row r="5976" spans="1:2" x14ac:dyDescent="0.25">
      <c r="A5976" s="104"/>
      <c r="B5976" s="104"/>
    </row>
    <row r="5977" spans="1:2" x14ac:dyDescent="0.25">
      <c r="A5977" s="104"/>
      <c r="B5977" s="104"/>
    </row>
    <row r="5978" spans="1:2" x14ac:dyDescent="0.25">
      <c r="A5978" s="104"/>
      <c r="B5978" s="104"/>
    </row>
    <row r="5979" spans="1:2" x14ac:dyDescent="0.25">
      <c r="A5979" s="104"/>
      <c r="B5979" s="104"/>
    </row>
    <row r="5980" spans="1:2" x14ac:dyDescent="0.25">
      <c r="A5980" s="104"/>
      <c r="B5980" s="104"/>
    </row>
    <row r="5981" spans="1:2" x14ac:dyDescent="0.25">
      <c r="A5981" s="104"/>
      <c r="B5981" s="104"/>
    </row>
    <row r="5982" spans="1:2" x14ac:dyDescent="0.25">
      <c r="A5982" s="104"/>
      <c r="B5982" s="104"/>
    </row>
    <row r="5983" spans="1:2" x14ac:dyDescent="0.25">
      <c r="A5983" s="104"/>
      <c r="B5983" s="104"/>
    </row>
    <row r="5984" spans="1:2" x14ac:dyDescent="0.25">
      <c r="A5984" s="104"/>
      <c r="B5984" s="104"/>
    </row>
    <row r="5985" spans="1:2" x14ac:dyDescent="0.25">
      <c r="A5985" s="104"/>
      <c r="B5985" s="104"/>
    </row>
    <row r="5986" spans="1:2" x14ac:dyDescent="0.25">
      <c r="A5986" s="104"/>
      <c r="B5986" s="104"/>
    </row>
    <row r="5987" spans="1:2" x14ac:dyDescent="0.25">
      <c r="A5987" s="104"/>
      <c r="B5987" s="104"/>
    </row>
    <row r="5988" spans="1:2" x14ac:dyDescent="0.25">
      <c r="A5988" s="104"/>
      <c r="B5988" s="104"/>
    </row>
    <row r="5989" spans="1:2" x14ac:dyDescent="0.25">
      <c r="A5989" s="104"/>
      <c r="B5989" s="104"/>
    </row>
    <row r="5990" spans="1:2" x14ac:dyDescent="0.25">
      <c r="A5990" s="104"/>
      <c r="B5990" s="104"/>
    </row>
    <row r="5991" spans="1:2" x14ac:dyDescent="0.25">
      <c r="A5991" s="104"/>
      <c r="B5991" s="104"/>
    </row>
    <row r="5992" spans="1:2" x14ac:dyDescent="0.25">
      <c r="A5992" s="104"/>
      <c r="B5992" s="104"/>
    </row>
    <row r="5993" spans="1:2" x14ac:dyDescent="0.25">
      <c r="A5993" s="104"/>
      <c r="B5993" s="104"/>
    </row>
    <row r="5994" spans="1:2" x14ac:dyDescent="0.25">
      <c r="A5994" s="104"/>
      <c r="B5994" s="104"/>
    </row>
    <row r="5995" spans="1:2" x14ac:dyDescent="0.25">
      <c r="A5995" s="104"/>
      <c r="B5995" s="104"/>
    </row>
    <row r="5996" spans="1:2" x14ac:dyDescent="0.25">
      <c r="A5996" s="104"/>
      <c r="B5996" s="104"/>
    </row>
    <row r="5997" spans="1:2" x14ac:dyDescent="0.25">
      <c r="A5997" s="104"/>
      <c r="B5997" s="104"/>
    </row>
    <row r="5998" spans="1:2" x14ac:dyDescent="0.25">
      <c r="A5998" s="104"/>
      <c r="B5998" s="104"/>
    </row>
    <row r="5999" spans="1:2" x14ac:dyDescent="0.25">
      <c r="A5999" s="104"/>
      <c r="B5999" s="104"/>
    </row>
    <row r="6000" spans="1:2" x14ac:dyDescent="0.25">
      <c r="A6000" s="104"/>
      <c r="B6000" s="104"/>
    </row>
    <row r="6001" spans="1:2" x14ac:dyDescent="0.25">
      <c r="A6001" s="104"/>
      <c r="B6001" s="104"/>
    </row>
    <row r="6002" spans="1:2" x14ac:dyDescent="0.25">
      <c r="A6002" s="104"/>
      <c r="B6002" s="104"/>
    </row>
    <row r="6003" spans="1:2" x14ac:dyDescent="0.25">
      <c r="A6003" s="104"/>
      <c r="B6003" s="104"/>
    </row>
    <row r="6004" spans="1:2" x14ac:dyDescent="0.25">
      <c r="A6004" s="104"/>
      <c r="B6004" s="104"/>
    </row>
    <row r="6005" spans="1:2" x14ac:dyDescent="0.25">
      <c r="A6005" s="104"/>
      <c r="B6005" s="104"/>
    </row>
    <row r="6006" spans="1:2" x14ac:dyDescent="0.25">
      <c r="A6006" s="104"/>
      <c r="B6006" s="104"/>
    </row>
    <row r="6007" spans="1:2" x14ac:dyDescent="0.25">
      <c r="A6007" s="104"/>
      <c r="B6007" s="104"/>
    </row>
    <row r="6008" spans="1:2" x14ac:dyDescent="0.25">
      <c r="A6008" s="104"/>
      <c r="B6008" s="104"/>
    </row>
    <row r="6009" spans="1:2" x14ac:dyDescent="0.25">
      <c r="A6009" s="104"/>
      <c r="B6009" s="104"/>
    </row>
    <row r="6010" spans="1:2" x14ac:dyDescent="0.25">
      <c r="A6010" s="104"/>
      <c r="B6010" s="104"/>
    </row>
    <row r="6011" spans="1:2" x14ac:dyDescent="0.25">
      <c r="A6011" s="104"/>
      <c r="B6011" s="104"/>
    </row>
    <row r="6012" spans="1:2" x14ac:dyDescent="0.25">
      <c r="A6012" s="104"/>
      <c r="B6012" s="104"/>
    </row>
    <row r="6013" spans="1:2" x14ac:dyDescent="0.25">
      <c r="A6013" s="104"/>
      <c r="B6013" s="104"/>
    </row>
    <row r="6014" spans="1:2" x14ac:dyDescent="0.25">
      <c r="A6014" s="104"/>
      <c r="B6014" s="104"/>
    </row>
    <row r="6015" spans="1:2" x14ac:dyDescent="0.25">
      <c r="A6015" s="104"/>
      <c r="B6015" s="104"/>
    </row>
    <row r="6016" spans="1:2" x14ac:dyDescent="0.25">
      <c r="A6016" s="104"/>
      <c r="B6016" s="104"/>
    </row>
    <row r="6017" spans="1:2" x14ac:dyDescent="0.25">
      <c r="A6017" s="104"/>
      <c r="B6017" s="104"/>
    </row>
    <row r="6018" spans="1:2" x14ac:dyDescent="0.25">
      <c r="A6018" s="104"/>
      <c r="B6018" s="104"/>
    </row>
    <row r="6019" spans="1:2" x14ac:dyDescent="0.25">
      <c r="A6019" s="104"/>
      <c r="B6019" s="104"/>
    </row>
    <row r="6020" spans="1:2" x14ac:dyDescent="0.25">
      <c r="A6020" s="104"/>
      <c r="B6020" s="104"/>
    </row>
    <row r="6021" spans="1:2" x14ac:dyDescent="0.25">
      <c r="A6021" s="104"/>
      <c r="B6021" s="104"/>
    </row>
    <row r="6022" spans="1:2" x14ac:dyDescent="0.25">
      <c r="A6022" s="104"/>
      <c r="B6022" s="104"/>
    </row>
    <row r="6023" spans="1:2" x14ac:dyDescent="0.25">
      <c r="A6023" s="104"/>
      <c r="B6023" s="104"/>
    </row>
    <row r="6024" spans="1:2" x14ac:dyDescent="0.25">
      <c r="A6024" s="104"/>
      <c r="B6024" s="104"/>
    </row>
    <row r="6025" spans="1:2" x14ac:dyDescent="0.25">
      <c r="A6025" s="104"/>
      <c r="B6025" s="104"/>
    </row>
    <row r="6026" spans="1:2" x14ac:dyDescent="0.25">
      <c r="A6026" s="104"/>
      <c r="B6026" s="104"/>
    </row>
    <row r="6027" spans="1:2" x14ac:dyDescent="0.25">
      <c r="A6027" s="104"/>
      <c r="B6027" s="104"/>
    </row>
    <row r="6028" spans="1:2" x14ac:dyDescent="0.25">
      <c r="A6028" s="104"/>
      <c r="B6028" s="104"/>
    </row>
    <row r="6029" spans="1:2" x14ac:dyDescent="0.25">
      <c r="A6029" s="104"/>
      <c r="B6029" s="104"/>
    </row>
    <row r="6030" spans="1:2" x14ac:dyDescent="0.25">
      <c r="A6030" s="104"/>
      <c r="B6030" s="104"/>
    </row>
    <row r="6031" spans="1:2" x14ac:dyDescent="0.25">
      <c r="A6031" s="104"/>
      <c r="B6031" s="104"/>
    </row>
    <row r="6032" spans="1:2" x14ac:dyDescent="0.25">
      <c r="A6032" s="104"/>
      <c r="B6032" s="104"/>
    </row>
    <row r="6033" spans="1:2" x14ac:dyDescent="0.25">
      <c r="A6033" s="104"/>
      <c r="B6033" s="104"/>
    </row>
    <row r="6034" spans="1:2" x14ac:dyDescent="0.25">
      <c r="A6034" s="104"/>
      <c r="B6034" s="104"/>
    </row>
    <row r="6035" spans="1:2" x14ac:dyDescent="0.25">
      <c r="A6035" s="104"/>
      <c r="B6035" s="104"/>
    </row>
    <row r="6036" spans="1:2" x14ac:dyDescent="0.25">
      <c r="A6036" s="104"/>
      <c r="B6036" s="104"/>
    </row>
    <row r="6037" spans="1:2" x14ac:dyDescent="0.25">
      <c r="A6037" s="104"/>
      <c r="B6037" s="104"/>
    </row>
    <row r="6038" spans="1:2" x14ac:dyDescent="0.25">
      <c r="A6038" s="104"/>
      <c r="B6038" s="104"/>
    </row>
    <row r="6039" spans="1:2" x14ac:dyDescent="0.25">
      <c r="A6039" s="104"/>
      <c r="B6039" s="104"/>
    </row>
    <row r="6040" spans="1:2" x14ac:dyDescent="0.25">
      <c r="A6040" s="104"/>
      <c r="B6040" s="104"/>
    </row>
    <row r="6041" spans="1:2" x14ac:dyDescent="0.25">
      <c r="A6041" s="104"/>
      <c r="B6041" s="104"/>
    </row>
    <row r="6042" spans="1:2" x14ac:dyDescent="0.25">
      <c r="A6042" s="104"/>
      <c r="B6042" s="104"/>
    </row>
    <row r="6043" spans="1:2" x14ac:dyDescent="0.25">
      <c r="A6043" s="104"/>
      <c r="B6043" s="104"/>
    </row>
    <row r="6044" spans="1:2" x14ac:dyDescent="0.25">
      <c r="A6044" s="104"/>
      <c r="B6044" s="104"/>
    </row>
    <row r="6045" spans="1:2" x14ac:dyDescent="0.25">
      <c r="A6045" s="104"/>
      <c r="B6045" s="104"/>
    </row>
    <row r="6046" spans="1:2" x14ac:dyDescent="0.25">
      <c r="A6046" s="104"/>
      <c r="B6046" s="104"/>
    </row>
    <row r="6047" spans="1:2" x14ac:dyDescent="0.25">
      <c r="A6047" s="104"/>
      <c r="B6047" s="104"/>
    </row>
    <row r="6048" spans="1:2" x14ac:dyDescent="0.25">
      <c r="A6048" s="104"/>
      <c r="B6048" s="104"/>
    </row>
    <row r="6049" spans="1:2" x14ac:dyDescent="0.25">
      <c r="A6049" s="104"/>
      <c r="B6049" s="104"/>
    </row>
    <row r="6050" spans="1:2" x14ac:dyDescent="0.25">
      <c r="A6050" s="104"/>
      <c r="B6050" s="104"/>
    </row>
    <row r="6051" spans="1:2" x14ac:dyDescent="0.25">
      <c r="A6051" s="104"/>
      <c r="B6051" s="104"/>
    </row>
    <row r="6052" spans="1:2" x14ac:dyDescent="0.25">
      <c r="A6052" s="104"/>
      <c r="B6052" s="104"/>
    </row>
    <row r="6053" spans="1:2" x14ac:dyDescent="0.25">
      <c r="A6053" s="104"/>
      <c r="B6053" s="104"/>
    </row>
    <row r="6054" spans="1:2" x14ac:dyDescent="0.25">
      <c r="A6054" s="104"/>
      <c r="B6054" s="104"/>
    </row>
    <row r="6055" spans="1:2" x14ac:dyDescent="0.25">
      <c r="A6055" s="104"/>
      <c r="B6055" s="104"/>
    </row>
    <row r="6056" spans="1:2" x14ac:dyDescent="0.25">
      <c r="A6056" s="104"/>
      <c r="B6056" s="104"/>
    </row>
    <row r="6057" spans="1:2" x14ac:dyDescent="0.25">
      <c r="A6057" s="104"/>
      <c r="B6057" s="104"/>
    </row>
    <row r="6058" spans="1:2" x14ac:dyDescent="0.25">
      <c r="A6058" s="104"/>
      <c r="B6058" s="104"/>
    </row>
    <row r="6059" spans="1:2" x14ac:dyDescent="0.25">
      <c r="A6059" s="104"/>
      <c r="B6059" s="104"/>
    </row>
    <row r="6060" spans="1:2" x14ac:dyDescent="0.25">
      <c r="A6060" s="104"/>
      <c r="B6060" s="104"/>
    </row>
    <row r="6061" spans="1:2" x14ac:dyDescent="0.25">
      <c r="A6061" s="104"/>
      <c r="B6061" s="104"/>
    </row>
    <row r="6062" spans="1:2" x14ac:dyDescent="0.25">
      <c r="A6062" s="104"/>
      <c r="B6062" s="104"/>
    </row>
    <row r="6063" spans="1:2" x14ac:dyDescent="0.25">
      <c r="A6063" s="104"/>
      <c r="B6063" s="104"/>
    </row>
    <row r="6064" spans="1:2" x14ac:dyDescent="0.25">
      <c r="A6064" s="104"/>
      <c r="B6064" s="104"/>
    </row>
    <row r="6065" spans="1:2" x14ac:dyDescent="0.25">
      <c r="A6065" s="104"/>
      <c r="B6065" s="104"/>
    </row>
    <row r="6066" spans="1:2" x14ac:dyDescent="0.25">
      <c r="A6066" s="104"/>
      <c r="B6066" s="104"/>
    </row>
    <row r="6067" spans="1:2" x14ac:dyDescent="0.25">
      <c r="A6067" s="104"/>
      <c r="B6067" s="104"/>
    </row>
    <row r="6068" spans="1:2" x14ac:dyDescent="0.25">
      <c r="A6068" s="104"/>
      <c r="B6068" s="104"/>
    </row>
    <row r="6069" spans="1:2" x14ac:dyDescent="0.25">
      <c r="A6069" s="104"/>
      <c r="B6069" s="104"/>
    </row>
    <row r="6070" spans="1:2" x14ac:dyDescent="0.25">
      <c r="A6070" s="104"/>
      <c r="B6070" s="104"/>
    </row>
    <row r="6071" spans="1:2" x14ac:dyDescent="0.25">
      <c r="A6071" s="104"/>
      <c r="B6071" s="104"/>
    </row>
    <row r="6072" spans="1:2" x14ac:dyDescent="0.25">
      <c r="A6072" s="104"/>
      <c r="B6072" s="104"/>
    </row>
    <row r="6073" spans="1:2" x14ac:dyDescent="0.25">
      <c r="A6073" s="104"/>
      <c r="B6073" s="104"/>
    </row>
    <row r="6074" spans="1:2" x14ac:dyDescent="0.25">
      <c r="A6074" s="104"/>
      <c r="B6074" s="104"/>
    </row>
    <row r="6075" spans="1:2" x14ac:dyDescent="0.25">
      <c r="A6075" s="104"/>
      <c r="B6075" s="104"/>
    </row>
    <row r="6076" spans="1:2" x14ac:dyDescent="0.25">
      <c r="A6076" s="104"/>
      <c r="B6076" s="104"/>
    </row>
    <row r="6077" spans="1:2" x14ac:dyDescent="0.25">
      <c r="A6077" s="104"/>
      <c r="B6077" s="104"/>
    </row>
    <row r="6078" spans="1:2" x14ac:dyDescent="0.25">
      <c r="A6078" s="104"/>
      <c r="B6078" s="104"/>
    </row>
    <row r="6079" spans="1:2" x14ac:dyDescent="0.25">
      <c r="A6079" s="104"/>
      <c r="B6079" s="104"/>
    </row>
    <row r="6080" spans="1:2" x14ac:dyDescent="0.25">
      <c r="A6080" s="104"/>
      <c r="B6080" s="104"/>
    </row>
    <row r="6081" spans="1:2" x14ac:dyDescent="0.25">
      <c r="A6081" s="104"/>
      <c r="B6081" s="104"/>
    </row>
    <row r="6082" spans="1:2" x14ac:dyDescent="0.25">
      <c r="A6082" s="104"/>
      <c r="B6082" s="104"/>
    </row>
    <row r="6083" spans="1:2" x14ac:dyDescent="0.25">
      <c r="A6083" s="104"/>
      <c r="B6083" s="104"/>
    </row>
    <row r="6084" spans="1:2" x14ac:dyDescent="0.25">
      <c r="A6084" s="104"/>
      <c r="B6084" s="104"/>
    </row>
    <row r="6085" spans="1:2" x14ac:dyDescent="0.25">
      <c r="A6085" s="104"/>
      <c r="B6085" s="104"/>
    </row>
    <row r="6086" spans="1:2" x14ac:dyDescent="0.25">
      <c r="A6086" s="104"/>
      <c r="B6086" s="104"/>
    </row>
    <row r="6087" spans="1:2" x14ac:dyDescent="0.25">
      <c r="A6087" s="104"/>
      <c r="B6087" s="104"/>
    </row>
    <row r="6088" spans="1:2" x14ac:dyDescent="0.25">
      <c r="A6088" s="104"/>
      <c r="B6088" s="104"/>
    </row>
    <row r="6089" spans="1:2" x14ac:dyDescent="0.25">
      <c r="A6089" s="104"/>
      <c r="B6089" s="104"/>
    </row>
    <row r="6090" spans="1:2" x14ac:dyDescent="0.25">
      <c r="A6090" s="104"/>
      <c r="B6090" s="104"/>
    </row>
    <row r="6091" spans="1:2" x14ac:dyDescent="0.25">
      <c r="A6091" s="104"/>
      <c r="B6091" s="104"/>
    </row>
    <row r="6092" spans="1:2" x14ac:dyDescent="0.25">
      <c r="A6092" s="104"/>
      <c r="B6092" s="104"/>
    </row>
    <row r="6093" spans="1:2" x14ac:dyDescent="0.25">
      <c r="A6093" s="104"/>
      <c r="B6093" s="104"/>
    </row>
    <row r="6094" spans="1:2" x14ac:dyDescent="0.25">
      <c r="A6094" s="104"/>
      <c r="B6094" s="104"/>
    </row>
    <row r="6095" spans="1:2" x14ac:dyDescent="0.25">
      <c r="A6095" s="104"/>
      <c r="B6095" s="104"/>
    </row>
    <row r="6096" spans="1:2" x14ac:dyDescent="0.25">
      <c r="A6096" s="104"/>
      <c r="B6096" s="104"/>
    </row>
    <row r="6097" spans="1:2" x14ac:dyDescent="0.25">
      <c r="A6097" s="104"/>
      <c r="B6097" s="104"/>
    </row>
    <row r="6098" spans="1:2" x14ac:dyDescent="0.25">
      <c r="A6098" s="104"/>
      <c r="B6098" s="104"/>
    </row>
    <row r="6099" spans="1:2" x14ac:dyDescent="0.25">
      <c r="A6099" s="104"/>
      <c r="B6099" s="104"/>
    </row>
    <row r="6100" spans="1:2" x14ac:dyDescent="0.25">
      <c r="A6100" s="104"/>
      <c r="B6100" s="104"/>
    </row>
    <row r="6101" spans="1:2" x14ac:dyDescent="0.25">
      <c r="A6101" s="104"/>
      <c r="B6101" s="104"/>
    </row>
    <row r="6102" spans="1:2" x14ac:dyDescent="0.25">
      <c r="A6102" s="104"/>
      <c r="B6102" s="104"/>
    </row>
    <row r="6103" spans="1:2" x14ac:dyDescent="0.25">
      <c r="A6103" s="104"/>
      <c r="B6103" s="104"/>
    </row>
    <row r="6104" spans="1:2" x14ac:dyDescent="0.25">
      <c r="A6104" s="104"/>
      <c r="B6104" s="104"/>
    </row>
    <row r="6105" spans="1:2" x14ac:dyDescent="0.25">
      <c r="A6105" s="104"/>
      <c r="B6105" s="104"/>
    </row>
    <row r="6106" spans="1:2" x14ac:dyDescent="0.25">
      <c r="A6106" s="104"/>
      <c r="B6106" s="104"/>
    </row>
    <row r="6107" spans="1:2" x14ac:dyDescent="0.25">
      <c r="A6107" s="104"/>
      <c r="B6107" s="104"/>
    </row>
    <row r="6108" spans="1:2" x14ac:dyDescent="0.25">
      <c r="A6108" s="104"/>
      <c r="B6108" s="104"/>
    </row>
    <row r="6109" spans="1:2" x14ac:dyDescent="0.25">
      <c r="A6109" s="104"/>
      <c r="B6109" s="104"/>
    </row>
    <row r="6110" spans="1:2" x14ac:dyDescent="0.25">
      <c r="A6110" s="104"/>
      <c r="B6110" s="104"/>
    </row>
    <row r="6111" spans="1:2" x14ac:dyDescent="0.25">
      <c r="A6111" s="104"/>
      <c r="B6111" s="104"/>
    </row>
    <row r="6112" spans="1:2" x14ac:dyDescent="0.25">
      <c r="A6112" s="104"/>
      <c r="B6112" s="104"/>
    </row>
    <row r="6113" spans="1:2" x14ac:dyDescent="0.25">
      <c r="A6113" s="104"/>
      <c r="B6113" s="104"/>
    </row>
    <row r="6114" spans="1:2" x14ac:dyDescent="0.25">
      <c r="A6114" s="104"/>
      <c r="B6114" s="104"/>
    </row>
    <row r="6115" spans="1:2" x14ac:dyDescent="0.25">
      <c r="A6115" s="104"/>
      <c r="B6115" s="104"/>
    </row>
    <row r="6116" spans="1:2" x14ac:dyDescent="0.25">
      <c r="A6116" s="104"/>
      <c r="B6116" s="104"/>
    </row>
    <row r="6117" spans="1:2" x14ac:dyDescent="0.25">
      <c r="A6117" s="104"/>
      <c r="B6117" s="104"/>
    </row>
    <row r="6118" spans="1:2" x14ac:dyDescent="0.25">
      <c r="A6118" s="104"/>
      <c r="B6118" s="104"/>
    </row>
    <row r="6119" spans="1:2" x14ac:dyDescent="0.25">
      <c r="A6119" s="104"/>
      <c r="B6119" s="104"/>
    </row>
    <row r="6120" spans="1:2" x14ac:dyDescent="0.25">
      <c r="A6120" s="104"/>
      <c r="B6120" s="104"/>
    </row>
    <row r="6121" spans="1:2" x14ac:dyDescent="0.25">
      <c r="A6121" s="104"/>
      <c r="B6121" s="104"/>
    </row>
    <row r="6122" spans="1:2" x14ac:dyDescent="0.25">
      <c r="A6122" s="104"/>
      <c r="B6122" s="104"/>
    </row>
    <row r="6123" spans="1:2" x14ac:dyDescent="0.25">
      <c r="A6123" s="104"/>
      <c r="B6123" s="104"/>
    </row>
    <row r="6124" spans="1:2" x14ac:dyDescent="0.25">
      <c r="A6124" s="104"/>
      <c r="B6124" s="104"/>
    </row>
    <row r="6125" spans="1:2" x14ac:dyDescent="0.25">
      <c r="A6125" s="104"/>
      <c r="B6125" s="104"/>
    </row>
    <row r="6126" spans="1:2" x14ac:dyDescent="0.25">
      <c r="A6126" s="104"/>
      <c r="B6126" s="104"/>
    </row>
    <row r="6127" spans="1:2" x14ac:dyDescent="0.25">
      <c r="A6127" s="104"/>
      <c r="B6127" s="104"/>
    </row>
    <row r="6128" spans="1:2" x14ac:dyDescent="0.25">
      <c r="A6128" s="104"/>
      <c r="B6128" s="104"/>
    </row>
    <row r="6129" spans="1:2" x14ac:dyDescent="0.25">
      <c r="A6129" s="104"/>
      <c r="B6129" s="104"/>
    </row>
    <row r="6130" spans="1:2" x14ac:dyDescent="0.25">
      <c r="A6130" s="104"/>
      <c r="B6130" s="104"/>
    </row>
    <row r="6131" spans="1:2" x14ac:dyDescent="0.25">
      <c r="A6131" s="104"/>
      <c r="B6131" s="104"/>
    </row>
    <row r="6132" spans="1:2" x14ac:dyDescent="0.25">
      <c r="A6132" s="104"/>
      <c r="B6132" s="104"/>
    </row>
    <row r="6133" spans="1:2" x14ac:dyDescent="0.25">
      <c r="A6133" s="104"/>
      <c r="B6133" s="104"/>
    </row>
    <row r="6134" spans="1:2" x14ac:dyDescent="0.25">
      <c r="A6134" s="104"/>
      <c r="B6134" s="104"/>
    </row>
    <row r="6135" spans="1:2" x14ac:dyDescent="0.25">
      <c r="A6135" s="104"/>
      <c r="B6135" s="104"/>
    </row>
    <row r="6136" spans="1:2" x14ac:dyDescent="0.25">
      <c r="A6136" s="104"/>
      <c r="B6136" s="104"/>
    </row>
    <row r="6137" spans="1:2" x14ac:dyDescent="0.25">
      <c r="A6137" s="104"/>
      <c r="B6137" s="104"/>
    </row>
    <row r="6138" spans="1:2" x14ac:dyDescent="0.25">
      <c r="A6138" s="104"/>
      <c r="B6138" s="104"/>
    </row>
    <row r="6139" spans="1:2" x14ac:dyDescent="0.25">
      <c r="A6139" s="104"/>
      <c r="B6139" s="104"/>
    </row>
    <row r="6140" spans="1:2" x14ac:dyDescent="0.25">
      <c r="A6140" s="104"/>
      <c r="B6140" s="104"/>
    </row>
    <row r="6141" spans="1:2" x14ac:dyDescent="0.25">
      <c r="A6141" s="104"/>
      <c r="B6141" s="104"/>
    </row>
    <row r="6142" spans="1:2" x14ac:dyDescent="0.25">
      <c r="A6142" s="104"/>
      <c r="B6142" s="104"/>
    </row>
    <row r="6143" spans="1:2" x14ac:dyDescent="0.25">
      <c r="A6143" s="104"/>
      <c r="B6143" s="104"/>
    </row>
    <row r="6144" spans="1:2" x14ac:dyDescent="0.25">
      <c r="A6144" s="104"/>
      <c r="B6144" s="104"/>
    </row>
    <row r="6145" spans="1:2" x14ac:dyDescent="0.25">
      <c r="A6145" s="104"/>
      <c r="B6145" s="104"/>
    </row>
    <row r="6146" spans="1:2" x14ac:dyDescent="0.25">
      <c r="A6146" s="104"/>
      <c r="B6146" s="104"/>
    </row>
    <row r="6147" spans="1:2" x14ac:dyDescent="0.25">
      <c r="A6147" s="104"/>
      <c r="B6147" s="104"/>
    </row>
    <row r="6148" spans="1:2" x14ac:dyDescent="0.25">
      <c r="A6148" s="104"/>
      <c r="B6148" s="104"/>
    </row>
    <row r="6149" spans="1:2" x14ac:dyDescent="0.25">
      <c r="A6149" s="104"/>
      <c r="B6149" s="104"/>
    </row>
    <row r="6150" spans="1:2" x14ac:dyDescent="0.25">
      <c r="A6150" s="104"/>
      <c r="B6150" s="104"/>
    </row>
    <row r="6151" spans="1:2" x14ac:dyDescent="0.25">
      <c r="A6151" s="104"/>
      <c r="B6151" s="104"/>
    </row>
    <row r="6152" spans="1:2" x14ac:dyDescent="0.25">
      <c r="A6152" s="104"/>
      <c r="B6152" s="104"/>
    </row>
    <row r="6153" spans="1:2" x14ac:dyDescent="0.25">
      <c r="A6153" s="104"/>
      <c r="B6153" s="104"/>
    </row>
    <row r="6154" spans="1:2" x14ac:dyDescent="0.25">
      <c r="A6154" s="104"/>
      <c r="B6154" s="104"/>
    </row>
    <row r="6155" spans="1:2" x14ac:dyDescent="0.25">
      <c r="A6155" s="104"/>
      <c r="B6155" s="104"/>
    </row>
    <row r="6156" spans="1:2" x14ac:dyDescent="0.25">
      <c r="A6156" s="104"/>
      <c r="B6156" s="104"/>
    </row>
    <row r="6157" spans="1:2" x14ac:dyDescent="0.25">
      <c r="A6157" s="104"/>
      <c r="B6157" s="104"/>
    </row>
    <row r="6158" spans="1:2" x14ac:dyDescent="0.25">
      <c r="A6158" s="104"/>
      <c r="B6158" s="104"/>
    </row>
    <row r="6159" spans="1:2" x14ac:dyDescent="0.25">
      <c r="A6159" s="104"/>
      <c r="B6159" s="104"/>
    </row>
    <row r="6160" spans="1:2" x14ac:dyDescent="0.25">
      <c r="A6160" s="104"/>
      <c r="B6160" s="104"/>
    </row>
    <row r="6161" spans="1:2" x14ac:dyDescent="0.25">
      <c r="A6161" s="104"/>
      <c r="B6161" s="104"/>
    </row>
    <row r="6162" spans="1:2" x14ac:dyDescent="0.25">
      <c r="A6162" s="104"/>
      <c r="B6162" s="104"/>
    </row>
    <row r="6163" spans="1:2" x14ac:dyDescent="0.25">
      <c r="A6163" s="104"/>
      <c r="B6163" s="104"/>
    </row>
    <row r="6164" spans="1:2" x14ac:dyDescent="0.25">
      <c r="A6164" s="104"/>
      <c r="B6164" s="104"/>
    </row>
    <row r="6165" spans="1:2" x14ac:dyDescent="0.25">
      <c r="A6165" s="104"/>
      <c r="B6165" s="104"/>
    </row>
    <row r="6166" spans="1:2" x14ac:dyDescent="0.25">
      <c r="A6166" s="104"/>
      <c r="B6166" s="104"/>
    </row>
    <row r="6167" spans="1:2" x14ac:dyDescent="0.25">
      <c r="A6167" s="104"/>
      <c r="B6167" s="104"/>
    </row>
    <row r="6168" spans="1:2" x14ac:dyDescent="0.25">
      <c r="A6168" s="104"/>
      <c r="B6168" s="104"/>
    </row>
    <row r="6169" spans="1:2" x14ac:dyDescent="0.25">
      <c r="A6169" s="104"/>
      <c r="B6169" s="104"/>
    </row>
    <row r="6170" spans="1:2" x14ac:dyDescent="0.25">
      <c r="A6170" s="104"/>
      <c r="B6170" s="104"/>
    </row>
    <row r="6171" spans="1:2" x14ac:dyDescent="0.25">
      <c r="A6171" s="104"/>
      <c r="B6171" s="104"/>
    </row>
    <row r="6172" spans="1:2" x14ac:dyDescent="0.25">
      <c r="A6172" s="104"/>
      <c r="B6172" s="104"/>
    </row>
    <row r="6173" spans="1:2" x14ac:dyDescent="0.25">
      <c r="A6173" s="104"/>
      <c r="B6173" s="104"/>
    </row>
    <row r="6174" spans="1:2" x14ac:dyDescent="0.25">
      <c r="A6174" s="104"/>
      <c r="B6174" s="104"/>
    </row>
    <row r="6175" spans="1:2" x14ac:dyDescent="0.25">
      <c r="A6175" s="104"/>
      <c r="B6175" s="104"/>
    </row>
    <row r="6176" spans="1:2" x14ac:dyDescent="0.25">
      <c r="A6176" s="104"/>
      <c r="B6176" s="104"/>
    </row>
    <row r="6177" spans="1:2" x14ac:dyDescent="0.25">
      <c r="A6177" s="104"/>
      <c r="B6177" s="104"/>
    </row>
    <row r="6178" spans="1:2" x14ac:dyDescent="0.25">
      <c r="A6178" s="104"/>
      <c r="B6178" s="104"/>
    </row>
    <row r="6179" spans="1:2" x14ac:dyDescent="0.25">
      <c r="A6179" s="104"/>
      <c r="B6179" s="104"/>
    </row>
    <row r="6180" spans="1:2" x14ac:dyDescent="0.25">
      <c r="A6180" s="104"/>
      <c r="B6180" s="104"/>
    </row>
    <row r="6181" spans="1:2" x14ac:dyDescent="0.25">
      <c r="A6181" s="104"/>
      <c r="B6181" s="104"/>
    </row>
    <row r="6182" spans="1:2" x14ac:dyDescent="0.25">
      <c r="A6182" s="104"/>
      <c r="B6182" s="104"/>
    </row>
    <row r="6183" spans="1:2" x14ac:dyDescent="0.25">
      <c r="A6183" s="104"/>
      <c r="B6183" s="104"/>
    </row>
    <row r="6184" spans="1:2" x14ac:dyDescent="0.25">
      <c r="A6184" s="104"/>
      <c r="B6184" s="104"/>
    </row>
    <row r="6185" spans="1:2" x14ac:dyDescent="0.25">
      <c r="A6185" s="104"/>
      <c r="B6185" s="104"/>
    </row>
    <row r="6186" spans="1:2" x14ac:dyDescent="0.25">
      <c r="A6186" s="104"/>
      <c r="B6186" s="104"/>
    </row>
    <row r="6187" spans="1:2" x14ac:dyDescent="0.25">
      <c r="A6187" s="104"/>
      <c r="B6187" s="104"/>
    </row>
    <row r="6188" spans="1:2" x14ac:dyDescent="0.25">
      <c r="A6188" s="104"/>
      <c r="B6188" s="104"/>
    </row>
    <row r="6189" spans="1:2" x14ac:dyDescent="0.25">
      <c r="A6189" s="104"/>
      <c r="B6189" s="104"/>
    </row>
    <row r="6190" spans="1:2" x14ac:dyDescent="0.25">
      <c r="A6190" s="104"/>
      <c r="B6190" s="104"/>
    </row>
    <row r="6191" spans="1:2" x14ac:dyDescent="0.25">
      <c r="A6191" s="104"/>
      <c r="B6191" s="104"/>
    </row>
    <row r="6192" spans="1:2" x14ac:dyDescent="0.25">
      <c r="A6192" s="104"/>
      <c r="B6192" s="104"/>
    </row>
    <row r="6193" spans="1:2" x14ac:dyDescent="0.25">
      <c r="A6193" s="104"/>
      <c r="B6193" s="104"/>
    </row>
    <row r="6194" spans="1:2" x14ac:dyDescent="0.25">
      <c r="A6194" s="104"/>
      <c r="B6194" s="104"/>
    </row>
    <row r="6195" spans="1:2" x14ac:dyDescent="0.25">
      <c r="A6195" s="104"/>
      <c r="B6195" s="104"/>
    </row>
    <row r="6196" spans="1:2" x14ac:dyDescent="0.25">
      <c r="A6196" s="104"/>
      <c r="B6196" s="104"/>
    </row>
    <row r="6197" spans="1:2" x14ac:dyDescent="0.25">
      <c r="A6197" s="104"/>
      <c r="B6197" s="104"/>
    </row>
    <row r="6198" spans="1:2" x14ac:dyDescent="0.25">
      <c r="A6198" s="104"/>
      <c r="B6198" s="104"/>
    </row>
    <row r="6199" spans="1:2" x14ac:dyDescent="0.25">
      <c r="A6199" s="104"/>
      <c r="B6199" s="104"/>
    </row>
    <row r="6200" spans="1:2" x14ac:dyDescent="0.25">
      <c r="A6200" s="104"/>
      <c r="B6200" s="104"/>
    </row>
    <row r="6201" spans="1:2" x14ac:dyDescent="0.25">
      <c r="A6201" s="104"/>
      <c r="B6201" s="104"/>
    </row>
    <row r="6202" spans="1:2" x14ac:dyDescent="0.25">
      <c r="A6202" s="104"/>
      <c r="B6202" s="104"/>
    </row>
    <row r="6203" spans="1:2" x14ac:dyDescent="0.25">
      <c r="A6203" s="104"/>
      <c r="B6203" s="104"/>
    </row>
    <row r="6204" spans="1:2" x14ac:dyDescent="0.25">
      <c r="A6204" s="104"/>
      <c r="B6204" s="104"/>
    </row>
    <row r="6205" spans="1:2" x14ac:dyDescent="0.25">
      <c r="A6205" s="104"/>
      <c r="B6205" s="104"/>
    </row>
    <row r="6206" spans="1:2" x14ac:dyDescent="0.25">
      <c r="A6206" s="104"/>
      <c r="B6206" s="104"/>
    </row>
    <row r="6207" spans="1:2" x14ac:dyDescent="0.25">
      <c r="A6207" s="104"/>
      <c r="B6207" s="104"/>
    </row>
    <row r="6208" spans="1:2" x14ac:dyDescent="0.25">
      <c r="A6208" s="104"/>
      <c r="B6208" s="104"/>
    </row>
    <row r="6209" spans="1:2" x14ac:dyDescent="0.25">
      <c r="A6209" s="104"/>
      <c r="B6209" s="104"/>
    </row>
    <row r="6210" spans="1:2" x14ac:dyDescent="0.25">
      <c r="A6210" s="104"/>
      <c r="B6210" s="104"/>
    </row>
    <row r="6211" spans="1:2" x14ac:dyDescent="0.25">
      <c r="A6211" s="104"/>
      <c r="B6211" s="104"/>
    </row>
    <row r="6212" spans="1:2" x14ac:dyDescent="0.25">
      <c r="A6212" s="104"/>
      <c r="B6212" s="104"/>
    </row>
    <row r="6213" spans="1:2" x14ac:dyDescent="0.25">
      <c r="A6213" s="104"/>
      <c r="B6213" s="104"/>
    </row>
    <row r="6214" spans="1:2" x14ac:dyDescent="0.25">
      <c r="A6214" s="104"/>
      <c r="B6214" s="104"/>
    </row>
    <row r="6215" spans="1:2" x14ac:dyDescent="0.25">
      <c r="A6215" s="104"/>
      <c r="B6215" s="104"/>
    </row>
    <row r="6216" spans="1:2" x14ac:dyDescent="0.25">
      <c r="A6216" s="104"/>
      <c r="B6216" s="104"/>
    </row>
    <row r="6217" spans="1:2" x14ac:dyDescent="0.25">
      <c r="A6217" s="104"/>
      <c r="B6217" s="104"/>
    </row>
    <row r="6218" spans="1:2" x14ac:dyDescent="0.25">
      <c r="A6218" s="104"/>
      <c r="B6218" s="104"/>
    </row>
    <row r="6219" spans="1:2" x14ac:dyDescent="0.25">
      <c r="A6219" s="104"/>
      <c r="B6219" s="104"/>
    </row>
    <row r="6220" spans="1:2" x14ac:dyDescent="0.25">
      <c r="A6220" s="104"/>
      <c r="B6220" s="104"/>
    </row>
    <row r="6221" spans="1:2" x14ac:dyDescent="0.25">
      <c r="A6221" s="104"/>
      <c r="B6221" s="104"/>
    </row>
    <row r="6222" spans="1:2" x14ac:dyDescent="0.25">
      <c r="A6222" s="104"/>
      <c r="B6222" s="104"/>
    </row>
    <row r="6223" spans="1:2" x14ac:dyDescent="0.25">
      <c r="A6223" s="104"/>
      <c r="B6223" s="104"/>
    </row>
    <row r="6224" spans="1:2" x14ac:dyDescent="0.25">
      <c r="A6224" s="104"/>
      <c r="B6224" s="104"/>
    </row>
    <row r="6225" spans="1:2" x14ac:dyDescent="0.25">
      <c r="A6225" s="104"/>
      <c r="B6225" s="104"/>
    </row>
    <row r="6226" spans="1:2" x14ac:dyDescent="0.25">
      <c r="A6226" s="104"/>
      <c r="B6226" s="104"/>
    </row>
    <row r="6227" spans="1:2" x14ac:dyDescent="0.25">
      <c r="A6227" s="104"/>
      <c r="B6227" s="104"/>
    </row>
    <row r="6228" spans="1:2" x14ac:dyDescent="0.25">
      <c r="A6228" s="104"/>
      <c r="B6228" s="104"/>
    </row>
    <row r="6229" spans="1:2" x14ac:dyDescent="0.25">
      <c r="A6229" s="104"/>
      <c r="B6229" s="104"/>
    </row>
    <row r="6230" spans="1:2" x14ac:dyDescent="0.25">
      <c r="A6230" s="104"/>
      <c r="B6230" s="104"/>
    </row>
    <row r="6231" spans="1:2" x14ac:dyDescent="0.25">
      <c r="A6231" s="104"/>
      <c r="B6231" s="104"/>
    </row>
    <row r="6232" spans="1:2" x14ac:dyDescent="0.25">
      <c r="A6232" s="104"/>
      <c r="B6232" s="104"/>
    </row>
    <row r="6233" spans="1:2" x14ac:dyDescent="0.25">
      <c r="A6233" s="104"/>
      <c r="B6233" s="104"/>
    </row>
    <row r="6234" spans="1:2" x14ac:dyDescent="0.25">
      <c r="A6234" s="104"/>
      <c r="B6234" s="104"/>
    </row>
    <row r="6235" spans="1:2" x14ac:dyDescent="0.25">
      <c r="A6235" s="104"/>
      <c r="B6235" s="104"/>
    </row>
    <row r="6236" spans="1:2" x14ac:dyDescent="0.25">
      <c r="A6236" s="104"/>
      <c r="B6236" s="104"/>
    </row>
    <row r="6237" spans="1:2" x14ac:dyDescent="0.25">
      <c r="A6237" s="104"/>
      <c r="B6237" s="104"/>
    </row>
    <row r="6238" spans="1:2" x14ac:dyDescent="0.25">
      <c r="A6238" s="104"/>
      <c r="B6238" s="104"/>
    </row>
    <row r="6239" spans="1:2" x14ac:dyDescent="0.25">
      <c r="A6239" s="104"/>
      <c r="B6239" s="104"/>
    </row>
    <row r="6240" spans="1:2" x14ac:dyDescent="0.25">
      <c r="A6240" s="104"/>
      <c r="B6240" s="104"/>
    </row>
    <row r="6241" spans="1:2" x14ac:dyDescent="0.25">
      <c r="A6241" s="104"/>
      <c r="B6241" s="104"/>
    </row>
    <row r="6242" spans="1:2" x14ac:dyDescent="0.25">
      <c r="A6242" s="104"/>
      <c r="B6242" s="104"/>
    </row>
    <row r="6243" spans="1:2" x14ac:dyDescent="0.25">
      <c r="A6243" s="104"/>
      <c r="B6243" s="104"/>
    </row>
    <row r="6244" spans="1:2" x14ac:dyDescent="0.25">
      <c r="A6244" s="104"/>
      <c r="B6244" s="104"/>
    </row>
    <row r="6245" spans="1:2" x14ac:dyDescent="0.25">
      <c r="A6245" s="104"/>
      <c r="B6245" s="104"/>
    </row>
    <row r="6246" spans="1:2" x14ac:dyDescent="0.25">
      <c r="A6246" s="104"/>
      <c r="B6246" s="104"/>
    </row>
    <row r="6247" spans="1:2" x14ac:dyDescent="0.25">
      <c r="A6247" s="104"/>
      <c r="B6247" s="104"/>
    </row>
    <row r="6248" spans="1:2" x14ac:dyDescent="0.25">
      <c r="A6248" s="104"/>
      <c r="B6248" s="104"/>
    </row>
    <row r="6249" spans="1:2" x14ac:dyDescent="0.25">
      <c r="A6249" s="104"/>
      <c r="B6249" s="104"/>
    </row>
    <row r="6250" spans="1:2" x14ac:dyDescent="0.25">
      <c r="A6250" s="104"/>
      <c r="B6250" s="104"/>
    </row>
    <row r="6251" spans="1:2" x14ac:dyDescent="0.25">
      <c r="A6251" s="104"/>
      <c r="B6251" s="104"/>
    </row>
    <row r="6252" spans="1:2" x14ac:dyDescent="0.25">
      <c r="A6252" s="104"/>
      <c r="B6252" s="104"/>
    </row>
    <row r="6253" spans="1:2" x14ac:dyDescent="0.25">
      <c r="A6253" s="104"/>
      <c r="B6253" s="104"/>
    </row>
    <row r="6254" spans="1:2" x14ac:dyDescent="0.25">
      <c r="A6254" s="104"/>
      <c r="B6254" s="104"/>
    </row>
    <row r="6255" spans="1:2" x14ac:dyDescent="0.25">
      <c r="A6255" s="104"/>
      <c r="B6255" s="104"/>
    </row>
    <row r="6256" spans="1:2" x14ac:dyDescent="0.25">
      <c r="A6256" s="104"/>
      <c r="B6256" s="104"/>
    </row>
    <row r="6257" spans="1:2" x14ac:dyDescent="0.25">
      <c r="A6257" s="104"/>
      <c r="B6257" s="104"/>
    </row>
    <row r="6258" spans="1:2" x14ac:dyDescent="0.25">
      <c r="A6258" s="104"/>
      <c r="B6258" s="104"/>
    </row>
    <row r="6259" spans="1:2" x14ac:dyDescent="0.25">
      <c r="A6259" s="104"/>
      <c r="B6259" s="104"/>
    </row>
    <row r="6260" spans="1:2" x14ac:dyDescent="0.25">
      <c r="A6260" s="104"/>
      <c r="B6260" s="104"/>
    </row>
    <row r="6261" spans="1:2" x14ac:dyDescent="0.25">
      <c r="A6261" s="104"/>
      <c r="B6261" s="104"/>
    </row>
    <row r="6262" spans="1:2" x14ac:dyDescent="0.25">
      <c r="A6262" s="104"/>
      <c r="B6262" s="104"/>
    </row>
    <row r="6263" spans="1:2" x14ac:dyDescent="0.25">
      <c r="A6263" s="104"/>
      <c r="B6263" s="104"/>
    </row>
    <row r="6264" spans="1:2" x14ac:dyDescent="0.25">
      <c r="A6264" s="104"/>
      <c r="B6264" s="104"/>
    </row>
    <row r="6265" spans="1:2" x14ac:dyDescent="0.25">
      <c r="A6265" s="104"/>
      <c r="B6265" s="104"/>
    </row>
    <row r="6266" spans="1:2" x14ac:dyDescent="0.25">
      <c r="A6266" s="104"/>
      <c r="B6266" s="104"/>
    </row>
    <row r="6267" spans="1:2" x14ac:dyDescent="0.25">
      <c r="A6267" s="104"/>
      <c r="B6267" s="104"/>
    </row>
    <row r="6268" spans="1:2" x14ac:dyDescent="0.25">
      <c r="A6268" s="104"/>
      <c r="B6268" s="104"/>
    </row>
    <row r="6269" spans="1:2" x14ac:dyDescent="0.25">
      <c r="A6269" s="104"/>
      <c r="B6269" s="104"/>
    </row>
    <row r="6270" spans="1:2" x14ac:dyDescent="0.25">
      <c r="A6270" s="104"/>
      <c r="B6270" s="104"/>
    </row>
    <row r="6271" spans="1:2" x14ac:dyDescent="0.25">
      <c r="A6271" s="104"/>
      <c r="B6271" s="104"/>
    </row>
    <row r="6272" spans="1:2" x14ac:dyDescent="0.25">
      <c r="A6272" s="104"/>
      <c r="B6272" s="104"/>
    </row>
    <row r="6273" spans="1:2" x14ac:dyDescent="0.25">
      <c r="A6273" s="104"/>
      <c r="B6273" s="104"/>
    </row>
    <row r="6274" spans="1:2" x14ac:dyDescent="0.25">
      <c r="A6274" s="104"/>
      <c r="B6274" s="104"/>
    </row>
    <row r="6275" spans="1:2" x14ac:dyDescent="0.25">
      <c r="A6275" s="104"/>
      <c r="B6275" s="104"/>
    </row>
    <row r="6276" spans="1:2" x14ac:dyDescent="0.25">
      <c r="A6276" s="104"/>
      <c r="B6276" s="104"/>
    </row>
    <row r="6277" spans="1:2" x14ac:dyDescent="0.25">
      <c r="A6277" s="104"/>
      <c r="B6277" s="104"/>
    </row>
    <row r="6278" spans="1:2" x14ac:dyDescent="0.25">
      <c r="A6278" s="104"/>
      <c r="B6278" s="104"/>
    </row>
    <row r="6279" spans="1:2" x14ac:dyDescent="0.25">
      <c r="A6279" s="104"/>
      <c r="B6279" s="104"/>
    </row>
    <row r="6280" spans="1:2" x14ac:dyDescent="0.25">
      <c r="A6280" s="104"/>
      <c r="B6280" s="104"/>
    </row>
    <row r="6281" spans="1:2" x14ac:dyDescent="0.25">
      <c r="A6281" s="104"/>
      <c r="B6281" s="104"/>
    </row>
    <row r="6282" spans="1:2" x14ac:dyDescent="0.25">
      <c r="A6282" s="104"/>
      <c r="B6282" s="104"/>
    </row>
    <row r="6283" spans="1:2" x14ac:dyDescent="0.25">
      <c r="A6283" s="104"/>
      <c r="B6283" s="104"/>
    </row>
    <row r="6284" spans="1:2" x14ac:dyDescent="0.25">
      <c r="A6284" s="104"/>
      <c r="B6284" s="104"/>
    </row>
    <row r="6285" spans="1:2" x14ac:dyDescent="0.25">
      <c r="A6285" s="104"/>
      <c r="B6285" s="104"/>
    </row>
    <row r="6286" spans="1:2" x14ac:dyDescent="0.25">
      <c r="A6286" s="104"/>
      <c r="B6286" s="104"/>
    </row>
    <row r="6287" spans="1:2" x14ac:dyDescent="0.25">
      <c r="A6287" s="104"/>
      <c r="B6287" s="104"/>
    </row>
    <row r="6288" spans="1:2" x14ac:dyDescent="0.25">
      <c r="A6288" s="104"/>
      <c r="B6288" s="104"/>
    </row>
    <row r="6289" spans="1:2" x14ac:dyDescent="0.25">
      <c r="A6289" s="104"/>
      <c r="B6289" s="104"/>
    </row>
    <row r="6290" spans="1:2" x14ac:dyDescent="0.25">
      <c r="A6290" s="104"/>
      <c r="B6290" s="104"/>
    </row>
    <row r="6291" spans="1:2" x14ac:dyDescent="0.25">
      <c r="A6291" s="104"/>
      <c r="B6291" s="104"/>
    </row>
    <row r="6292" spans="1:2" x14ac:dyDescent="0.25">
      <c r="A6292" s="104"/>
      <c r="B6292" s="104"/>
    </row>
    <row r="6293" spans="1:2" x14ac:dyDescent="0.25">
      <c r="A6293" s="104"/>
      <c r="B6293" s="104"/>
    </row>
    <row r="6294" spans="1:2" x14ac:dyDescent="0.25">
      <c r="A6294" s="104"/>
      <c r="B6294" s="104"/>
    </row>
    <row r="6295" spans="1:2" x14ac:dyDescent="0.25">
      <c r="A6295" s="104"/>
      <c r="B6295" s="104"/>
    </row>
    <row r="6296" spans="1:2" x14ac:dyDescent="0.25">
      <c r="A6296" s="104"/>
      <c r="B6296" s="104"/>
    </row>
    <row r="6297" spans="1:2" x14ac:dyDescent="0.25">
      <c r="A6297" s="104"/>
      <c r="B6297" s="104"/>
    </row>
    <row r="6298" spans="1:2" x14ac:dyDescent="0.25">
      <c r="A6298" s="104"/>
      <c r="B6298" s="104"/>
    </row>
    <row r="6299" spans="1:2" x14ac:dyDescent="0.25">
      <c r="A6299" s="104"/>
      <c r="B6299" s="104"/>
    </row>
    <row r="6300" spans="1:2" x14ac:dyDescent="0.25">
      <c r="A6300" s="104"/>
      <c r="B6300" s="104"/>
    </row>
    <row r="6301" spans="1:2" x14ac:dyDescent="0.25">
      <c r="A6301" s="104"/>
      <c r="B6301" s="104"/>
    </row>
    <row r="6302" spans="1:2" x14ac:dyDescent="0.25">
      <c r="A6302" s="104"/>
      <c r="B6302" s="104"/>
    </row>
    <row r="6303" spans="1:2" x14ac:dyDescent="0.25">
      <c r="A6303" s="104"/>
      <c r="B6303" s="104"/>
    </row>
    <row r="6304" spans="1:2" x14ac:dyDescent="0.25">
      <c r="A6304" s="104"/>
      <c r="B6304" s="104"/>
    </row>
    <row r="6305" spans="1:2" x14ac:dyDescent="0.25">
      <c r="A6305" s="104"/>
      <c r="B6305" s="104"/>
    </row>
    <row r="6306" spans="1:2" x14ac:dyDescent="0.25">
      <c r="A6306" s="104"/>
      <c r="B6306" s="104"/>
    </row>
    <row r="6307" spans="1:2" x14ac:dyDescent="0.25">
      <c r="A6307" s="104"/>
      <c r="B6307" s="104"/>
    </row>
    <row r="6308" spans="1:2" x14ac:dyDescent="0.25">
      <c r="A6308" s="104"/>
      <c r="B6308" s="104"/>
    </row>
    <row r="6309" spans="1:2" x14ac:dyDescent="0.25">
      <c r="A6309" s="104"/>
      <c r="B6309" s="104"/>
    </row>
    <row r="6310" spans="1:2" x14ac:dyDescent="0.25">
      <c r="A6310" s="104"/>
      <c r="B6310" s="104"/>
    </row>
    <row r="6311" spans="1:2" x14ac:dyDescent="0.25">
      <c r="A6311" s="104"/>
      <c r="B6311" s="104"/>
    </row>
    <row r="6312" spans="1:2" x14ac:dyDescent="0.25">
      <c r="A6312" s="104"/>
      <c r="B6312" s="104"/>
    </row>
    <row r="6313" spans="1:2" x14ac:dyDescent="0.25">
      <c r="A6313" s="104"/>
      <c r="B6313" s="104"/>
    </row>
    <row r="6314" spans="1:2" x14ac:dyDescent="0.25">
      <c r="A6314" s="104"/>
      <c r="B6314" s="104"/>
    </row>
    <row r="6315" spans="1:2" x14ac:dyDescent="0.25">
      <c r="A6315" s="104"/>
      <c r="B6315" s="104"/>
    </row>
    <row r="6316" spans="1:2" x14ac:dyDescent="0.25">
      <c r="A6316" s="104"/>
      <c r="B6316" s="104"/>
    </row>
    <row r="6317" spans="1:2" x14ac:dyDescent="0.25">
      <c r="A6317" s="104"/>
      <c r="B6317" s="104"/>
    </row>
    <row r="6318" spans="1:2" x14ac:dyDescent="0.25">
      <c r="A6318" s="104"/>
      <c r="B6318" s="104"/>
    </row>
    <row r="6319" spans="1:2" x14ac:dyDescent="0.25">
      <c r="A6319" s="104"/>
      <c r="B6319" s="104"/>
    </row>
    <row r="6320" spans="1:2" x14ac:dyDescent="0.25">
      <c r="A6320" s="104"/>
      <c r="B6320" s="104"/>
    </row>
    <row r="6321" spans="1:2" x14ac:dyDescent="0.25">
      <c r="A6321" s="104"/>
      <c r="B6321" s="104"/>
    </row>
    <row r="6322" spans="1:2" x14ac:dyDescent="0.25">
      <c r="A6322" s="104"/>
      <c r="B6322" s="104"/>
    </row>
    <row r="6323" spans="1:2" x14ac:dyDescent="0.25">
      <c r="A6323" s="104"/>
      <c r="B6323" s="104"/>
    </row>
    <row r="6324" spans="1:2" x14ac:dyDescent="0.25">
      <c r="A6324" s="104"/>
      <c r="B6324" s="104"/>
    </row>
    <row r="6325" spans="1:2" x14ac:dyDescent="0.25">
      <c r="A6325" s="104"/>
      <c r="B6325" s="104"/>
    </row>
    <row r="6326" spans="1:2" x14ac:dyDescent="0.25">
      <c r="A6326" s="104"/>
      <c r="B6326" s="104"/>
    </row>
    <row r="6327" spans="1:2" x14ac:dyDescent="0.25">
      <c r="A6327" s="104"/>
      <c r="B6327" s="104"/>
    </row>
    <row r="6328" spans="1:2" x14ac:dyDescent="0.25">
      <c r="A6328" s="104"/>
      <c r="B6328" s="104"/>
    </row>
    <row r="6329" spans="1:2" x14ac:dyDescent="0.25">
      <c r="A6329" s="104"/>
      <c r="B6329" s="104"/>
    </row>
    <row r="6330" spans="1:2" x14ac:dyDescent="0.25">
      <c r="A6330" s="104"/>
      <c r="B6330" s="104"/>
    </row>
    <row r="6331" spans="1:2" x14ac:dyDescent="0.25">
      <c r="A6331" s="104"/>
      <c r="B6331" s="104"/>
    </row>
    <row r="6332" spans="1:2" x14ac:dyDescent="0.25">
      <c r="A6332" s="104"/>
      <c r="B6332" s="104"/>
    </row>
    <row r="6333" spans="1:2" x14ac:dyDescent="0.25">
      <c r="A6333" s="104"/>
      <c r="B6333" s="104"/>
    </row>
    <row r="6334" spans="1:2" x14ac:dyDescent="0.25">
      <c r="A6334" s="104"/>
      <c r="B6334" s="104"/>
    </row>
    <row r="6335" spans="1:2" x14ac:dyDescent="0.25">
      <c r="A6335" s="104"/>
      <c r="B6335" s="104"/>
    </row>
    <row r="6336" spans="1:2" x14ac:dyDescent="0.25">
      <c r="A6336" s="104"/>
      <c r="B6336" s="104"/>
    </row>
    <row r="6337" spans="1:2" x14ac:dyDescent="0.25">
      <c r="A6337" s="104"/>
      <c r="B6337" s="104"/>
    </row>
    <row r="6338" spans="1:2" x14ac:dyDescent="0.25">
      <c r="A6338" s="104"/>
      <c r="B6338" s="104"/>
    </row>
    <row r="6339" spans="1:2" x14ac:dyDescent="0.25">
      <c r="A6339" s="104"/>
      <c r="B6339" s="104"/>
    </row>
    <row r="6340" spans="1:2" x14ac:dyDescent="0.25">
      <c r="A6340" s="104"/>
      <c r="B6340" s="104"/>
    </row>
    <row r="6341" spans="1:2" x14ac:dyDescent="0.25">
      <c r="A6341" s="104"/>
      <c r="B6341" s="104"/>
    </row>
    <row r="6342" spans="1:2" x14ac:dyDescent="0.25">
      <c r="A6342" s="104"/>
      <c r="B6342" s="104"/>
    </row>
    <row r="6343" spans="1:2" x14ac:dyDescent="0.25">
      <c r="A6343" s="104"/>
      <c r="B6343" s="104"/>
    </row>
    <row r="6344" spans="1:2" x14ac:dyDescent="0.25">
      <c r="A6344" s="104"/>
      <c r="B6344" s="104"/>
    </row>
    <row r="6345" spans="1:2" x14ac:dyDescent="0.25">
      <c r="A6345" s="104"/>
      <c r="B6345" s="104"/>
    </row>
    <row r="6346" spans="1:2" x14ac:dyDescent="0.25">
      <c r="A6346" s="104"/>
      <c r="B6346" s="104"/>
    </row>
    <row r="6347" spans="1:2" x14ac:dyDescent="0.25">
      <c r="A6347" s="104"/>
      <c r="B6347" s="104"/>
    </row>
    <row r="6348" spans="1:2" x14ac:dyDescent="0.25">
      <c r="A6348" s="104"/>
      <c r="B6348" s="104"/>
    </row>
    <row r="6349" spans="1:2" x14ac:dyDescent="0.25">
      <c r="A6349" s="104"/>
      <c r="B6349" s="104"/>
    </row>
    <row r="6350" spans="1:2" x14ac:dyDescent="0.25">
      <c r="A6350" s="104"/>
      <c r="B6350" s="104"/>
    </row>
    <row r="6351" spans="1:2" x14ac:dyDescent="0.25">
      <c r="A6351" s="104"/>
      <c r="B6351" s="104"/>
    </row>
    <row r="6352" spans="1:2" x14ac:dyDescent="0.25">
      <c r="A6352" s="104"/>
      <c r="B6352" s="104"/>
    </row>
    <row r="6353" spans="1:2" x14ac:dyDescent="0.25">
      <c r="A6353" s="104"/>
      <c r="B6353" s="104"/>
    </row>
    <row r="6354" spans="1:2" x14ac:dyDescent="0.25">
      <c r="A6354" s="104"/>
      <c r="B6354" s="104"/>
    </row>
    <row r="6355" spans="1:2" x14ac:dyDescent="0.25">
      <c r="A6355" s="104"/>
      <c r="B6355" s="104"/>
    </row>
    <row r="6356" spans="1:2" x14ac:dyDescent="0.25">
      <c r="A6356" s="104"/>
      <c r="B6356" s="104"/>
    </row>
    <row r="6357" spans="1:2" x14ac:dyDescent="0.25">
      <c r="A6357" s="104"/>
      <c r="B6357" s="104"/>
    </row>
    <row r="6358" spans="1:2" x14ac:dyDescent="0.25">
      <c r="A6358" s="104"/>
      <c r="B6358" s="104"/>
    </row>
    <row r="6359" spans="1:2" x14ac:dyDescent="0.25">
      <c r="A6359" s="104"/>
      <c r="B6359" s="104"/>
    </row>
    <row r="6360" spans="1:2" x14ac:dyDescent="0.25">
      <c r="A6360" s="104"/>
      <c r="B6360" s="104"/>
    </row>
    <row r="6361" spans="1:2" x14ac:dyDescent="0.25">
      <c r="A6361" s="104"/>
      <c r="B6361" s="104"/>
    </row>
    <row r="6362" spans="1:2" x14ac:dyDescent="0.25">
      <c r="A6362" s="104"/>
      <c r="B6362" s="104"/>
    </row>
    <row r="6363" spans="1:2" x14ac:dyDescent="0.25">
      <c r="A6363" s="104"/>
      <c r="B6363" s="104"/>
    </row>
    <row r="6364" spans="1:2" x14ac:dyDescent="0.25">
      <c r="A6364" s="104"/>
      <c r="B6364" s="104"/>
    </row>
    <row r="6365" spans="1:2" x14ac:dyDescent="0.25">
      <c r="A6365" s="104"/>
      <c r="B6365" s="104"/>
    </row>
    <row r="6366" spans="1:2" x14ac:dyDescent="0.25">
      <c r="A6366" s="104"/>
      <c r="B6366" s="104"/>
    </row>
    <row r="6367" spans="1:2" x14ac:dyDescent="0.25">
      <c r="A6367" s="104"/>
      <c r="B6367" s="104"/>
    </row>
    <row r="6368" spans="1:2" x14ac:dyDescent="0.25">
      <c r="A6368" s="104"/>
      <c r="B6368" s="104"/>
    </row>
    <row r="6369" spans="1:2" x14ac:dyDescent="0.25">
      <c r="A6369" s="104"/>
      <c r="B6369" s="104"/>
    </row>
    <row r="6370" spans="1:2" x14ac:dyDescent="0.25">
      <c r="A6370" s="104"/>
      <c r="B6370" s="104"/>
    </row>
    <row r="6371" spans="1:2" x14ac:dyDescent="0.25">
      <c r="A6371" s="104"/>
      <c r="B6371" s="104"/>
    </row>
    <row r="6372" spans="1:2" x14ac:dyDescent="0.25">
      <c r="A6372" s="104"/>
      <c r="B6372" s="104"/>
    </row>
    <row r="6373" spans="1:2" x14ac:dyDescent="0.25">
      <c r="A6373" s="104"/>
      <c r="B6373" s="104"/>
    </row>
    <row r="6374" spans="1:2" x14ac:dyDescent="0.25">
      <c r="A6374" s="104"/>
      <c r="B6374" s="104"/>
    </row>
    <row r="6375" spans="1:2" x14ac:dyDescent="0.25">
      <c r="A6375" s="104"/>
      <c r="B6375" s="104"/>
    </row>
    <row r="6376" spans="1:2" x14ac:dyDescent="0.25">
      <c r="A6376" s="104"/>
      <c r="B6376" s="104"/>
    </row>
    <row r="6377" spans="1:2" x14ac:dyDescent="0.25">
      <c r="A6377" s="104"/>
      <c r="B6377" s="104"/>
    </row>
    <row r="6378" spans="1:2" x14ac:dyDescent="0.25">
      <c r="A6378" s="104"/>
      <c r="B6378" s="104"/>
    </row>
    <row r="6379" spans="1:2" x14ac:dyDescent="0.25">
      <c r="A6379" s="104"/>
      <c r="B6379" s="104"/>
    </row>
    <row r="6380" spans="1:2" x14ac:dyDescent="0.25">
      <c r="A6380" s="104"/>
      <c r="B6380" s="104"/>
    </row>
    <row r="6381" spans="1:2" x14ac:dyDescent="0.25">
      <c r="A6381" s="104"/>
      <c r="B6381" s="104"/>
    </row>
    <row r="6382" spans="1:2" x14ac:dyDescent="0.25">
      <c r="A6382" s="104"/>
      <c r="B6382" s="104"/>
    </row>
    <row r="6383" spans="1:2" x14ac:dyDescent="0.25">
      <c r="A6383" s="104"/>
      <c r="B6383" s="104"/>
    </row>
    <row r="6384" spans="1:2" x14ac:dyDescent="0.25">
      <c r="A6384" s="104"/>
      <c r="B6384" s="104"/>
    </row>
    <row r="6385" spans="1:2" x14ac:dyDescent="0.25">
      <c r="A6385" s="104"/>
      <c r="B6385" s="104"/>
    </row>
    <row r="6386" spans="1:2" x14ac:dyDescent="0.25">
      <c r="A6386" s="104"/>
      <c r="B6386" s="104"/>
    </row>
    <row r="6387" spans="1:2" x14ac:dyDescent="0.25">
      <c r="A6387" s="104"/>
      <c r="B6387" s="104"/>
    </row>
    <row r="6388" spans="1:2" x14ac:dyDescent="0.25">
      <c r="A6388" s="104"/>
      <c r="B6388" s="104"/>
    </row>
    <row r="6389" spans="1:2" x14ac:dyDescent="0.25">
      <c r="A6389" s="104"/>
      <c r="B6389" s="104"/>
    </row>
    <row r="6390" spans="1:2" x14ac:dyDescent="0.25">
      <c r="A6390" s="104"/>
      <c r="B6390" s="104"/>
    </row>
    <row r="6391" spans="1:2" x14ac:dyDescent="0.25">
      <c r="A6391" s="104"/>
      <c r="B6391" s="104"/>
    </row>
    <row r="6392" spans="1:2" x14ac:dyDescent="0.25">
      <c r="A6392" s="104"/>
      <c r="B6392" s="104"/>
    </row>
    <row r="6393" spans="1:2" x14ac:dyDescent="0.25">
      <c r="A6393" s="104"/>
      <c r="B6393" s="104"/>
    </row>
    <row r="6394" spans="1:2" x14ac:dyDescent="0.25">
      <c r="A6394" s="104"/>
      <c r="B6394" s="104"/>
    </row>
    <row r="6395" spans="1:2" x14ac:dyDescent="0.25">
      <c r="A6395" s="104"/>
      <c r="B6395" s="104"/>
    </row>
    <row r="6396" spans="1:2" x14ac:dyDescent="0.25">
      <c r="A6396" s="104"/>
      <c r="B6396" s="104"/>
    </row>
    <row r="6397" spans="1:2" x14ac:dyDescent="0.25">
      <c r="A6397" s="104"/>
      <c r="B6397" s="104"/>
    </row>
    <row r="6398" spans="1:2" x14ac:dyDescent="0.25">
      <c r="A6398" s="104"/>
      <c r="B6398" s="104"/>
    </row>
    <row r="6399" spans="1:2" x14ac:dyDescent="0.25">
      <c r="A6399" s="104"/>
      <c r="B6399" s="104"/>
    </row>
    <row r="6400" spans="1:2" x14ac:dyDescent="0.25">
      <c r="A6400" s="104"/>
      <c r="B6400" s="104"/>
    </row>
    <row r="6401" spans="1:2" x14ac:dyDescent="0.25">
      <c r="A6401" s="104"/>
      <c r="B6401" s="104"/>
    </row>
    <row r="6402" spans="1:2" x14ac:dyDescent="0.25">
      <c r="A6402" s="104"/>
      <c r="B6402" s="104"/>
    </row>
    <row r="6403" spans="1:2" x14ac:dyDescent="0.25">
      <c r="A6403" s="104"/>
      <c r="B6403" s="104"/>
    </row>
    <row r="6404" spans="1:2" x14ac:dyDescent="0.25">
      <c r="A6404" s="104"/>
      <c r="B6404" s="104"/>
    </row>
    <row r="6405" spans="1:2" x14ac:dyDescent="0.25">
      <c r="A6405" s="104"/>
      <c r="B6405" s="104"/>
    </row>
    <row r="6406" spans="1:2" x14ac:dyDescent="0.25">
      <c r="A6406" s="104"/>
      <c r="B6406" s="104"/>
    </row>
    <row r="6407" spans="1:2" x14ac:dyDescent="0.25">
      <c r="A6407" s="104"/>
      <c r="B6407" s="104"/>
    </row>
    <row r="6408" spans="1:2" x14ac:dyDescent="0.25">
      <c r="A6408" s="104"/>
      <c r="B6408" s="104"/>
    </row>
    <row r="6409" spans="1:2" x14ac:dyDescent="0.25">
      <c r="A6409" s="104"/>
      <c r="B6409" s="104"/>
    </row>
    <row r="6410" spans="1:2" x14ac:dyDescent="0.25">
      <c r="A6410" s="104"/>
      <c r="B6410" s="104"/>
    </row>
    <row r="6411" spans="1:2" x14ac:dyDescent="0.25">
      <c r="A6411" s="104"/>
      <c r="B6411" s="104"/>
    </row>
    <row r="6412" spans="1:2" x14ac:dyDescent="0.25">
      <c r="A6412" s="104"/>
      <c r="B6412" s="104"/>
    </row>
    <row r="6413" spans="1:2" x14ac:dyDescent="0.25">
      <c r="A6413" s="104"/>
      <c r="B6413" s="104"/>
    </row>
    <row r="6414" spans="1:2" x14ac:dyDescent="0.25">
      <c r="A6414" s="104"/>
      <c r="B6414" s="104"/>
    </row>
    <row r="6415" spans="1:2" x14ac:dyDescent="0.25">
      <c r="A6415" s="104"/>
      <c r="B6415" s="104"/>
    </row>
    <row r="6416" spans="1:2" x14ac:dyDescent="0.25">
      <c r="A6416" s="104"/>
      <c r="B6416" s="104"/>
    </row>
    <row r="6417" spans="1:2" x14ac:dyDescent="0.25">
      <c r="A6417" s="104"/>
      <c r="B6417" s="104"/>
    </row>
    <row r="6418" spans="1:2" x14ac:dyDescent="0.25">
      <c r="A6418" s="104"/>
      <c r="B6418" s="104"/>
    </row>
    <row r="6419" spans="1:2" x14ac:dyDescent="0.25">
      <c r="A6419" s="104"/>
      <c r="B6419" s="104"/>
    </row>
    <row r="6420" spans="1:2" x14ac:dyDescent="0.25">
      <c r="A6420" s="104"/>
      <c r="B6420" s="104"/>
    </row>
    <row r="6421" spans="1:2" x14ac:dyDescent="0.25">
      <c r="A6421" s="104"/>
      <c r="B6421" s="104"/>
    </row>
    <row r="6422" spans="1:2" x14ac:dyDescent="0.25">
      <c r="A6422" s="104"/>
      <c r="B6422" s="104"/>
    </row>
    <row r="6423" spans="1:2" x14ac:dyDescent="0.25">
      <c r="A6423" s="104"/>
      <c r="B6423" s="104"/>
    </row>
    <row r="6424" spans="1:2" x14ac:dyDescent="0.25">
      <c r="A6424" s="104"/>
      <c r="B6424" s="104"/>
    </row>
    <row r="6425" spans="1:2" x14ac:dyDescent="0.25">
      <c r="A6425" s="104"/>
      <c r="B6425" s="104"/>
    </row>
    <row r="6426" spans="1:2" x14ac:dyDescent="0.25">
      <c r="A6426" s="104"/>
      <c r="B6426" s="104"/>
    </row>
    <row r="6427" spans="1:2" x14ac:dyDescent="0.25">
      <c r="A6427" s="104"/>
      <c r="B6427" s="104"/>
    </row>
    <row r="6428" spans="1:2" x14ac:dyDescent="0.25">
      <c r="A6428" s="104"/>
      <c r="B6428" s="104"/>
    </row>
    <row r="6429" spans="1:2" x14ac:dyDescent="0.25">
      <c r="A6429" s="104"/>
      <c r="B6429" s="104"/>
    </row>
    <row r="6430" spans="1:2" x14ac:dyDescent="0.25">
      <c r="A6430" s="104"/>
      <c r="B6430" s="104"/>
    </row>
    <row r="6431" spans="1:2" x14ac:dyDescent="0.25">
      <c r="A6431" s="104"/>
      <c r="B6431" s="104"/>
    </row>
    <row r="6432" spans="1:2" x14ac:dyDescent="0.25">
      <c r="A6432" s="104"/>
      <c r="B6432" s="104"/>
    </row>
    <row r="6433" spans="1:2" x14ac:dyDescent="0.25">
      <c r="A6433" s="104"/>
      <c r="B6433" s="104"/>
    </row>
    <row r="6434" spans="1:2" x14ac:dyDescent="0.25">
      <c r="A6434" s="104"/>
      <c r="B6434" s="104"/>
    </row>
    <row r="6435" spans="1:2" x14ac:dyDescent="0.25">
      <c r="A6435" s="104"/>
      <c r="B6435" s="104"/>
    </row>
    <row r="6436" spans="1:2" x14ac:dyDescent="0.25">
      <c r="A6436" s="104"/>
      <c r="B6436" s="104"/>
    </row>
    <row r="6437" spans="1:2" x14ac:dyDescent="0.25">
      <c r="A6437" s="104"/>
      <c r="B6437" s="104"/>
    </row>
    <row r="6438" spans="1:2" x14ac:dyDescent="0.25">
      <c r="A6438" s="104"/>
      <c r="B6438" s="104"/>
    </row>
    <row r="6439" spans="1:2" x14ac:dyDescent="0.25">
      <c r="A6439" s="104"/>
      <c r="B6439" s="104"/>
    </row>
    <row r="6440" spans="1:2" x14ac:dyDescent="0.25">
      <c r="A6440" s="104"/>
      <c r="B6440" s="104"/>
    </row>
    <row r="6441" spans="1:2" x14ac:dyDescent="0.25">
      <c r="A6441" s="104"/>
      <c r="B6441" s="104"/>
    </row>
    <row r="6442" spans="1:2" x14ac:dyDescent="0.25">
      <c r="A6442" s="104"/>
      <c r="B6442" s="104"/>
    </row>
    <row r="6443" spans="1:2" x14ac:dyDescent="0.25">
      <c r="A6443" s="104"/>
      <c r="B6443" s="104"/>
    </row>
    <row r="6444" spans="1:2" x14ac:dyDescent="0.25">
      <c r="A6444" s="104"/>
      <c r="B6444" s="104"/>
    </row>
    <row r="6445" spans="1:2" x14ac:dyDescent="0.25">
      <c r="A6445" s="104"/>
      <c r="B6445" s="104"/>
    </row>
    <row r="6446" spans="1:2" x14ac:dyDescent="0.25">
      <c r="A6446" s="104"/>
      <c r="B6446" s="104"/>
    </row>
    <row r="6447" spans="1:2" x14ac:dyDescent="0.25">
      <c r="A6447" s="104"/>
      <c r="B6447" s="104"/>
    </row>
    <row r="6448" spans="1:2" x14ac:dyDescent="0.25">
      <c r="A6448" s="104"/>
      <c r="B6448" s="104"/>
    </row>
    <row r="6449" spans="1:2" x14ac:dyDescent="0.25">
      <c r="A6449" s="104"/>
      <c r="B6449" s="104"/>
    </row>
    <row r="6450" spans="1:2" x14ac:dyDescent="0.25">
      <c r="A6450" s="104"/>
      <c r="B6450" s="104"/>
    </row>
    <row r="6451" spans="1:2" x14ac:dyDescent="0.25">
      <c r="A6451" s="104"/>
      <c r="B6451" s="104"/>
    </row>
    <row r="6452" spans="1:2" x14ac:dyDescent="0.25">
      <c r="A6452" s="104"/>
      <c r="B6452" s="104"/>
    </row>
    <row r="6453" spans="1:2" x14ac:dyDescent="0.25">
      <c r="A6453" s="104"/>
      <c r="B6453" s="104"/>
    </row>
    <row r="6454" spans="1:2" x14ac:dyDescent="0.25">
      <c r="A6454" s="104"/>
      <c r="B6454" s="104"/>
    </row>
    <row r="6455" spans="1:2" x14ac:dyDescent="0.25">
      <c r="A6455" s="104"/>
      <c r="B6455" s="104"/>
    </row>
    <row r="6456" spans="1:2" x14ac:dyDescent="0.25">
      <c r="A6456" s="104"/>
      <c r="B6456" s="104"/>
    </row>
    <row r="6457" spans="1:2" x14ac:dyDescent="0.25">
      <c r="A6457" s="104"/>
      <c r="B6457" s="104"/>
    </row>
    <row r="6458" spans="1:2" x14ac:dyDescent="0.25">
      <c r="A6458" s="104"/>
      <c r="B6458" s="104"/>
    </row>
    <row r="6459" spans="1:2" x14ac:dyDescent="0.25">
      <c r="A6459" s="104"/>
      <c r="B6459" s="104"/>
    </row>
    <row r="6460" spans="1:2" x14ac:dyDescent="0.25">
      <c r="A6460" s="104"/>
      <c r="B6460" s="104"/>
    </row>
    <row r="6461" spans="1:2" x14ac:dyDescent="0.25">
      <c r="A6461" s="104"/>
      <c r="B6461" s="104"/>
    </row>
    <row r="6462" spans="1:2" x14ac:dyDescent="0.25">
      <c r="A6462" s="104"/>
      <c r="B6462" s="104"/>
    </row>
    <row r="6463" spans="1:2" x14ac:dyDescent="0.25">
      <c r="A6463" s="104"/>
      <c r="B6463" s="104"/>
    </row>
    <row r="6464" spans="1:2" x14ac:dyDescent="0.25">
      <c r="A6464" s="104"/>
      <c r="B6464" s="104"/>
    </row>
    <row r="6465" spans="1:2" x14ac:dyDescent="0.25">
      <c r="A6465" s="104"/>
      <c r="B6465" s="104"/>
    </row>
    <row r="6466" spans="1:2" x14ac:dyDescent="0.25">
      <c r="A6466" s="104"/>
      <c r="B6466" s="104"/>
    </row>
    <row r="6467" spans="1:2" x14ac:dyDescent="0.25">
      <c r="A6467" s="104"/>
      <c r="B6467" s="104"/>
    </row>
    <row r="6468" spans="1:2" x14ac:dyDescent="0.25">
      <c r="A6468" s="104"/>
      <c r="B6468" s="104"/>
    </row>
    <row r="6469" spans="1:2" x14ac:dyDescent="0.25">
      <c r="A6469" s="104"/>
      <c r="B6469" s="104"/>
    </row>
    <row r="6470" spans="1:2" x14ac:dyDescent="0.25">
      <c r="A6470" s="104"/>
      <c r="B6470" s="104"/>
    </row>
    <row r="6471" spans="1:2" x14ac:dyDescent="0.25">
      <c r="A6471" s="104"/>
      <c r="B6471" s="104"/>
    </row>
    <row r="6472" spans="1:2" x14ac:dyDescent="0.25">
      <c r="A6472" s="104"/>
      <c r="B6472" s="104"/>
    </row>
    <row r="6473" spans="1:2" x14ac:dyDescent="0.25">
      <c r="A6473" s="104"/>
      <c r="B6473" s="104"/>
    </row>
    <row r="6474" spans="1:2" x14ac:dyDescent="0.25">
      <c r="A6474" s="104"/>
      <c r="B6474" s="104"/>
    </row>
    <row r="6475" spans="1:2" x14ac:dyDescent="0.25">
      <c r="A6475" s="104"/>
      <c r="B6475" s="104"/>
    </row>
    <row r="6476" spans="1:2" x14ac:dyDescent="0.25">
      <c r="A6476" s="104"/>
      <c r="B6476" s="104"/>
    </row>
    <row r="6477" spans="1:2" x14ac:dyDescent="0.25">
      <c r="A6477" s="104"/>
      <c r="B6477" s="104"/>
    </row>
    <row r="6478" spans="1:2" x14ac:dyDescent="0.25">
      <c r="A6478" s="104"/>
      <c r="B6478" s="104"/>
    </row>
    <row r="6479" spans="1:2" x14ac:dyDescent="0.25">
      <c r="A6479" s="104"/>
      <c r="B6479" s="104"/>
    </row>
    <row r="6480" spans="1:2" x14ac:dyDescent="0.25">
      <c r="A6480" s="104"/>
      <c r="B6480" s="104"/>
    </row>
    <row r="6481" spans="1:2" x14ac:dyDescent="0.25">
      <c r="A6481" s="104"/>
      <c r="B6481" s="104"/>
    </row>
    <row r="6482" spans="1:2" x14ac:dyDescent="0.25">
      <c r="A6482" s="104"/>
      <c r="B6482" s="104"/>
    </row>
    <row r="6483" spans="1:2" x14ac:dyDescent="0.25">
      <c r="A6483" s="104"/>
      <c r="B6483" s="104"/>
    </row>
    <row r="6484" spans="1:2" x14ac:dyDescent="0.25">
      <c r="A6484" s="104"/>
      <c r="B6484" s="104"/>
    </row>
    <row r="6485" spans="1:2" x14ac:dyDescent="0.25">
      <c r="A6485" s="104"/>
      <c r="B6485" s="104"/>
    </row>
    <row r="6486" spans="1:2" x14ac:dyDescent="0.25">
      <c r="A6486" s="104"/>
      <c r="B6486" s="104"/>
    </row>
    <row r="6487" spans="1:2" x14ac:dyDescent="0.25">
      <c r="A6487" s="104"/>
      <c r="B6487" s="104"/>
    </row>
    <row r="6488" spans="1:2" x14ac:dyDescent="0.25">
      <c r="A6488" s="104"/>
      <c r="B6488" s="104"/>
    </row>
    <row r="6489" spans="1:2" x14ac:dyDescent="0.25">
      <c r="A6489" s="104"/>
      <c r="B6489" s="104"/>
    </row>
    <row r="6490" spans="1:2" x14ac:dyDescent="0.25">
      <c r="A6490" s="104"/>
      <c r="B6490" s="104"/>
    </row>
    <row r="6491" spans="1:2" x14ac:dyDescent="0.25">
      <c r="A6491" s="104"/>
      <c r="B6491" s="104"/>
    </row>
    <row r="6492" spans="1:2" x14ac:dyDescent="0.25">
      <c r="A6492" s="104"/>
      <c r="B6492" s="104"/>
    </row>
    <row r="6493" spans="1:2" x14ac:dyDescent="0.25">
      <c r="A6493" s="104"/>
      <c r="B6493" s="104"/>
    </row>
    <row r="6494" spans="1:2" x14ac:dyDescent="0.25">
      <c r="A6494" s="104"/>
      <c r="B6494" s="104"/>
    </row>
    <row r="6495" spans="1:2" x14ac:dyDescent="0.25">
      <c r="A6495" s="104"/>
      <c r="B6495" s="104"/>
    </row>
    <row r="6496" spans="1:2" x14ac:dyDescent="0.25">
      <c r="A6496" s="104"/>
      <c r="B6496" s="104"/>
    </row>
    <row r="6497" spans="1:2" x14ac:dyDescent="0.25">
      <c r="A6497" s="104"/>
      <c r="B6497" s="104"/>
    </row>
    <row r="6498" spans="1:2" x14ac:dyDescent="0.25">
      <c r="A6498" s="104"/>
      <c r="B6498" s="104"/>
    </row>
    <row r="6499" spans="1:2" x14ac:dyDescent="0.25">
      <c r="A6499" s="104"/>
      <c r="B6499" s="104"/>
    </row>
    <row r="6500" spans="1:2" x14ac:dyDescent="0.25">
      <c r="A6500" s="104"/>
      <c r="B6500" s="104"/>
    </row>
    <row r="6501" spans="1:2" x14ac:dyDescent="0.25">
      <c r="A6501" s="104"/>
      <c r="B6501" s="104"/>
    </row>
    <row r="6502" spans="1:2" x14ac:dyDescent="0.25">
      <c r="A6502" s="104"/>
      <c r="B6502" s="104"/>
    </row>
    <row r="6503" spans="1:2" x14ac:dyDescent="0.25">
      <c r="A6503" s="104"/>
      <c r="B6503" s="104"/>
    </row>
    <row r="6504" spans="1:2" x14ac:dyDescent="0.25">
      <c r="A6504" s="104"/>
      <c r="B6504" s="104"/>
    </row>
    <row r="6505" spans="1:2" x14ac:dyDescent="0.25">
      <c r="A6505" s="104"/>
      <c r="B6505" s="104"/>
    </row>
    <row r="6506" spans="1:2" x14ac:dyDescent="0.25">
      <c r="A6506" s="104"/>
      <c r="B6506" s="104"/>
    </row>
    <row r="6507" spans="1:2" x14ac:dyDescent="0.25">
      <c r="A6507" s="104"/>
      <c r="B6507" s="104"/>
    </row>
    <row r="6508" spans="1:2" x14ac:dyDescent="0.25">
      <c r="A6508" s="104"/>
      <c r="B6508" s="104"/>
    </row>
    <row r="6509" spans="1:2" x14ac:dyDescent="0.25">
      <c r="A6509" s="104"/>
      <c r="B6509" s="104"/>
    </row>
    <row r="6510" spans="1:2" x14ac:dyDescent="0.25">
      <c r="A6510" s="104"/>
      <c r="B6510" s="104"/>
    </row>
    <row r="6511" spans="1:2" x14ac:dyDescent="0.25">
      <c r="A6511" s="104"/>
      <c r="B6511" s="104"/>
    </row>
    <row r="6512" spans="1:2" x14ac:dyDescent="0.25">
      <c r="A6512" s="104"/>
      <c r="B6512" s="104"/>
    </row>
    <row r="6513" spans="1:2" x14ac:dyDescent="0.25">
      <c r="A6513" s="104"/>
      <c r="B6513" s="104"/>
    </row>
    <row r="6514" spans="1:2" x14ac:dyDescent="0.25">
      <c r="A6514" s="104"/>
      <c r="B6514" s="104"/>
    </row>
    <row r="6515" spans="1:2" x14ac:dyDescent="0.25">
      <c r="A6515" s="104"/>
      <c r="B6515" s="104"/>
    </row>
    <row r="6516" spans="1:2" x14ac:dyDescent="0.25">
      <c r="A6516" s="104"/>
      <c r="B6516" s="104"/>
    </row>
    <row r="6517" spans="1:2" x14ac:dyDescent="0.25">
      <c r="A6517" s="104"/>
      <c r="B6517" s="104"/>
    </row>
    <row r="6518" spans="1:2" x14ac:dyDescent="0.25">
      <c r="A6518" s="104"/>
      <c r="B6518" s="104"/>
    </row>
    <row r="6519" spans="1:2" x14ac:dyDescent="0.25">
      <c r="A6519" s="104"/>
      <c r="B6519" s="104"/>
    </row>
    <row r="6520" spans="1:2" x14ac:dyDescent="0.25">
      <c r="A6520" s="104"/>
      <c r="B6520" s="104"/>
    </row>
    <row r="6521" spans="1:2" x14ac:dyDescent="0.25">
      <c r="A6521" s="104"/>
      <c r="B6521" s="104"/>
    </row>
    <row r="6522" spans="1:2" x14ac:dyDescent="0.25">
      <c r="A6522" s="104"/>
      <c r="B6522" s="104"/>
    </row>
    <row r="6523" spans="1:2" x14ac:dyDescent="0.25">
      <c r="A6523" s="104"/>
      <c r="B6523" s="104"/>
    </row>
    <row r="6524" spans="1:2" x14ac:dyDescent="0.25">
      <c r="A6524" s="104"/>
      <c r="B6524" s="104"/>
    </row>
    <row r="6525" spans="1:2" x14ac:dyDescent="0.25">
      <c r="A6525" s="104"/>
      <c r="B6525" s="104"/>
    </row>
    <row r="6526" spans="1:2" x14ac:dyDescent="0.25">
      <c r="A6526" s="104"/>
      <c r="B6526" s="104"/>
    </row>
    <row r="6527" spans="1:2" x14ac:dyDescent="0.25">
      <c r="A6527" s="104"/>
      <c r="B6527" s="104"/>
    </row>
    <row r="6528" spans="1:2" x14ac:dyDescent="0.25">
      <c r="A6528" s="104"/>
      <c r="B6528" s="104"/>
    </row>
    <row r="6529" spans="1:2" x14ac:dyDescent="0.25">
      <c r="A6529" s="104"/>
      <c r="B6529" s="104"/>
    </row>
    <row r="6530" spans="1:2" x14ac:dyDescent="0.25">
      <c r="A6530" s="104"/>
      <c r="B6530" s="104"/>
    </row>
    <row r="6531" spans="1:2" x14ac:dyDescent="0.25">
      <c r="A6531" s="104"/>
      <c r="B6531" s="104"/>
    </row>
    <row r="6532" spans="1:2" x14ac:dyDescent="0.25">
      <c r="A6532" s="104"/>
      <c r="B6532" s="104"/>
    </row>
    <row r="6533" spans="1:2" x14ac:dyDescent="0.25">
      <c r="A6533" s="104"/>
      <c r="B6533" s="104"/>
    </row>
    <row r="6534" spans="1:2" x14ac:dyDescent="0.25">
      <c r="A6534" s="104"/>
      <c r="B6534" s="104"/>
    </row>
    <row r="6535" spans="1:2" x14ac:dyDescent="0.25">
      <c r="A6535" s="104"/>
      <c r="B6535" s="104"/>
    </row>
    <row r="6536" spans="1:2" x14ac:dyDescent="0.25">
      <c r="A6536" s="104"/>
      <c r="B6536" s="104"/>
    </row>
    <row r="6537" spans="1:2" x14ac:dyDescent="0.25">
      <c r="A6537" s="104"/>
      <c r="B6537" s="104"/>
    </row>
    <row r="6538" spans="1:2" x14ac:dyDescent="0.25">
      <c r="A6538" s="104"/>
      <c r="B6538" s="104"/>
    </row>
    <row r="6539" spans="1:2" x14ac:dyDescent="0.25">
      <c r="A6539" s="104"/>
      <c r="B6539" s="104"/>
    </row>
    <row r="6540" spans="1:2" x14ac:dyDescent="0.25">
      <c r="A6540" s="104"/>
      <c r="B6540" s="104"/>
    </row>
    <row r="6541" spans="1:2" x14ac:dyDescent="0.25">
      <c r="A6541" s="104"/>
      <c r="B6541" s="104"/>
    </row>
    <row r="6542" spans="1:2" x14ac:dyDescent="0.25">
      <c r="A6542" s="104"/>
      <c r="B6542" s="104"/>
    </row>
    <row r="6543" spans="1:2" x14ac:dyDescent="0.25">
      <c r="A6543" s="104"/>
      <c r="B6543" s="104"/>
    </row>
    <row r="6544" spans="1:2" x14ac:dyDescent="0.25">
      <c r="A6544" s="104"/>
      <c r="B6544" s="104"/>
    </row>
    <row r="6545" spans="1:2" x14ac:dyDescent="0.25">
      <c r="A6545" s="104"/>
      <c r="B6545" s="104"/>
    </row>
    <row r="6546" spans="1:2" x14ac:dyDescent="0.25">
      <c r="A6546" s="104"/>
      <c r="B6546" s="104"/>
    </row>
    <row r="6547" spans="1:2" x14ac:dyDescent="0.25">
      <c r="A6547" s="104"/>
      <c r="B6547" s="104"/>
    </row>
    <row r="6548" spans="1:2" x14ac:dyDescent="0.25">
      <c r="A6548" s="104"/>
      <c r="B6548" s="104"/>
    </row>
    <row r="6549" spans="1:2" x14ac:dyDescent="0.25">
      <c r="A6549" s="104"/>
      <c r="B6549" s="104"/>
    </row>
    <row r="6550" spans="1:2" x14ac:dyDescent="0.25">
      <c r="A6550" s="104"/>
      <c r="B6550" s="104"/>
    </row>
    <row r="6551" spans="1:2" x14ac:dyDescent="0.25">
      <c r="A6551" s="104"/>
      <c r="B6551" s="104"/>
    </row>
    <row r="6552" spans="1:2" x14ac:dyDescent="0.25">
      <c r="A6552" s="104"/>
      <c r="B6552" s="104"/>
    </row>
    <row r="6553" spans="1:2" x14ac:dyDescent="0.25">
      <c r="A6553" s="104"/>
      <c r="B6553" s="104"/>
    </row>
    <row r="6554" spans="1:2" x14ac:dyDescent="0.25">
      <c r="A6554" s="104"/>
      <c r="B6554" s="104"/>
    </row>
    <row r="6555" spans="1:2" x14ac:dyDescent="0.25">
      <c r="A6555" s="104"/>
      <c r="B6555" s="104"/>
    </row>
    <row r="6556" spans="1:2" x14ac:dyDescent="0.25">
      <c r="A6556" s="104"/>
      <c r="B6556" s="104"/>
    </row>
    <row r="6557" spans="1:2" x14ac:dyDescent="0.25">
      <c r="A6557" s="104"/>
      <c r="B6557" s="104"/>
    </row>
    <row r="6558" spans="1:2" x14ac:dyDescent="0.25">
      <c r="A6558" s="104"/>
      <c r="B6558" s="104"/>
    </row>
    <row r="6559" spans="1:2" x14ac:dyDescent="0.25">
      <c r="A6559" s="104"/>
      <c r="B6559" s="104"/>
    </row>
    <row r="6560" spans="1:2" x14ac:dyDescent="0.25">
      <c r="A6560" s="104"/>
      <c r="B6560" s="104"/>
    </row>
    <row r="6561" spans="1:2" x14ac:dyDescent="0.25">
      <c r="A6561" s="104"/>
      <c r="B6561" s="104"/>
    </row>
    <row r="6562" spans="1:2" x14ac:dyDescent="0.25">
      <c r="A6562" s="104"/>
      <c r="B6562" s="104"/>
    </row>
    <row r="6563" spans="1:2" x14ac:dyDescent="0.25">
      <c r="A6563" s="104"/>
      <c r="B6563" s="104"/>
    </row>
    <row r="6564" spans="1:2" x14ac:dyDescent="0.25">
      <c r="A6564" s="104"/>
      <c r="B6564" s="104"/>
    </row>
    <row r="6565" spans="1:2" x14ac:dyDescent="0.25">
      <c r="A6565" s="104"/>
      <c r="B6565" s="104"/>
    </row>
    <row r="6566" spans="1:2" x14ac:dyDescent="0.25">
      <c r="A6566" s="104"/>
      <c r="B6566" s="104"/>
    </row>
    <row r="6567" spans="1:2" x14ac:dyDescent="0.25">
      <c r="A6567" s="104"/>
      <c r="B6567" s="104"/>
    </row>
    <row r="6568" spans="1:2" x14ac:dyDescent="0.25">
      <c r="A6568" s="104"/>
      <c r="B6568" s="104"/>
    </row>
    <row r="6569" spans="1:2" x14ac:dyDescent="0.25">
      <c r="A6569" s="104"/>
      <c r="B6569" s="104"/>
    </row>
    <row r="6570" spans="1:2" x14ac:dyDescent="0.25">
      <c r="A6570" s="104"/>
      <c r="B6570" s="104"/>
    </row>
    <row r="6571" spans="1:2" x14ac:dyDescent="0.25">
      <c r="A6571" s="104"/>
      <c r="B6571" s="104"/>
    </row>
    <row r="6572" spans="1:2" x14ac:dyDescent="0.25">
      <c r="A6572" s="104"/>
      <c r="B6572" s="104"/>
    </row>
    <row r="6573" spans="1:2" x14ac:dyDescent="0.25">
      <c r="A6573" s="104"/>
      <c r="B6573" s="104"/>
    </row>
    <row r="6574" spans="1:2" x14ac:dyDescent="0.25">
      <c r="A6574" s="104"/>
      <c r="B6574" s="104"/>
    </row>
    <row r="6575" spans="1:2" x14ac:dyDescent="0.25">
      <c r="A6575" s="104"/>
      <c r="B6575" s="104"/>
    </row>
    <row r="6576" spans="1:2" x14ac:dyDescent="0.25">
      <c r="A6576" s="104"/>
      <c r="B6576" s="104"/>
    </row>
    <row r="6577" spans="1:2" x14ac:dyDescent="0.25">
      <c r="A6577" s="104"/>
      <c r="B6577" s="104"/>
    </row>
    <row r="6578" spans="1:2" x14ac:dyDescent="0.25">
      <c r="A6578" s="104"/>
      <c r="B6578" s="104"/>
    </row>
    <row r="6579" spans="1:2" x14ac:dyDescent="0.25">
      <c r="A6579" s="104"/>
      <c r="B6579" s="104"/>
    </row>
    <row r="6580" spans="1:2" x14ac:dyDescent="0.25">
      <c r="A6580" s="104"/>
      <c r="B6580" s="104"/>
    </row>
    <row r="6581" spans="1:2" x14ac:dyDescent="0.25">
      <c r="A6581" s="104"/>
      <c r="B6581" s="104"/>
    </row>
    <row r="6582" spans="1:2" x14ac:dyDescent="0.25">
      <c r="A6582" s="104"/>
      <c r="B6582" s="104"/>
    </row>
    <row r="6583" spans="1:2" x14ac:dyDescent="0.25">
      <c r="A6583" s="104"/>
      <c r="B6583" s="104"/>
    </row>
    <row r="6584" spans="1:2" x14ac:dyDescent="0.25">
      <c r="A6584" s="104"/>
      <c r="B6584" s="104"/>
    </row>
    <row r="6585" spans="1:2" x14ac:dyDescent="0.25">
      <c r="A6585" s="104"/>
      <c r="B6585" s="104"/>
    </row>
    <row r="6586" spans="1:2" x14ac:dyDescent="0.25">
      <c r="A6586" s="104"/>
      <c r="B6586" s="104"/>
    </row>
    <row r="6587" spans="1:2" x14ac:dyDescent="0.25">
      <c r="A6587" s="104"/>
      <c r="B6587" s="104"/>
    </row>
    <row r="6588" spans="1:2" x14ac:dyDescent="0.25">
      <c r="A6588" s="104"/>
      <c r="B6588" s="104"/>
    </row>
    <row r="6589" spans="1:2" x14ac:dyDescent="0.25">
      <c r="A6589" s="104"/>
      <c r="B6589" s="104"/>
    </row>
    <row r="6590" spans="1:2" x14ac:dyDescent="0.25">
      <c r="A6590" s="104"/>
      <c r="B6590" s="104"/>
    </row>
    <row r="6591" spans="1:2" x14ac:dyDescent="0.25">
      <c r="A6591" s="104"/>
      <c r="B6591" s="104"/>
    </row>
    <row r="6592" spans="1:2" x14ac:dyDescent="0.25">
      <c r="A6592" s="104"/>
      <c r="B6592" s="104"/>
    </row>
    <row r="6593" spans="1:2" x14ac:dyDescent="0.25">
      <c r="A6593" s="104"/>
      <c r="B6593" s="104"/>
    </row>
    <row r="6594" spans="1:2" x14ac:dyDescent="0.25">
      <c r="A6594" s="104"/>
      <c r="B6594" s="104"/>
    </row>
    <row r="6595" spans="1:2" x14ac:dyDescent="0.25">
      <c r="A6595" s="104"/>
      <c r="B6595" s="104"/>
    </row>
    <row r="6596" spans="1:2" x14ac:dyDescent="0.25">
      <c r="A6596" s="104"/>
      <c r="B6596" s="104"/>
    </row>
    <row r="6597" spans="1:2" x14ac:dyDescent="0.25">
      <c r="A6597" s="104"/>
      <c r="B6597" s="104"/>
    </row>
    <row r="6598" spans="1:2" x14ac:dyDescent="0.25">
      <c r="A6598" s="104"/>
      <c r="B6598" s="104"/>
    </row>
    <row r="6599" spans="1:2" x14ac:dyDescent="0.25">
      <c r="A6599" s="104"/>
      <c r="B6599" s="104"/>
    </row>
    <row r="6600" spans="1:2" x14ac:dyDescent="0.25">
      <c r="A6600" s="104"/>
      <c r="B6600" s="104"/>
    </row>
    <row r="6601" spans="1:2" x14ac:dyDescent="0.25">
      <c r="A6601" s="104"/>
      <c r="B6601" s="104"/>
    </row>
    <row r="6602" spans="1:2" x14ac:dyDescent="0.25">
      <c r="A6602" s="104"/>
      <c r="B6602" s="104"/>
    </row>
    <row r="6603" spans="1:2" x14ac:dyDescent="0.25">
      <c r="A6603" s="104"/>
      <c r="B6603" s="104"/>
    </row>
    <row r="6604" spans="1:2" x14ac:dyDescent="0.25">
      <c r="A6604" s="104"/>
      <c r="B6604" s="104"/>
    </row>
    <row r="6605" spans="1:2" x14ac:dyDescent="0.25">
      <c r="A6605" s="104"/>
      <c r="B6605" s="104"/>
    </row>
    <row r="6606" spans="1:2" x14ac:dyDescent="0.25">
      <c r="A6606" s="104"/>
      <c r="B6606" s="104"/>
    </row>
    <row r="6607" spans="1:2" x14ac:dyDescent="0.25">
      <c r="A6607" s="104"/>
      <c r="B6607" s="104"/>
    </row>
    <row r="6608" spans="1:2" x14ac:dyDescent="0.25">
      <c r="A6608" s="104"/>
      <c r="B6608" s="104"/>
    </row>
    <row r="6609" spans="1:2" x14ac:dyDescent="0.25">
      <c r="A6609" s="104"/>
      <c r="B6609" s="104"/>
    </row>
    <row r="6610" spans="1:2" x14ac:dyDescent="0.25">
      <c r="A6610" s="104"/>
      <c r="B6610" s="104"/>
    </row>
    <row r="6611" spans="1:2" x14ac:dyDescent="0.25">
      <c r="A6611" s="104"/>
      <c r="B6611" s="104"/>
    </row>
    <row r="6612" spans="1:2" x14ac:dyDescent="0.25">
      <c r="A6612" s="104"/>
      <c r="B6612" s="104"/>
    </row>
    <row r="6613" spans="1:2" x14ac:dyDescent="0.25">
      <c r="A6613" s="104"/>
      <c r="B6613" s="104"/>
    </row>
    <row r="6614" spans="1:2" x14ac:dyDescent="0.25">
      <c r="A6614" s="104"/>
      <c r="B6614" s="104"/>
    </row>
    <row r="6615" spans="1:2" x14ac:dyDescent="0.25">
      <c r="A6615" s="104"/>
      <c r="B6615" s="104"/>
    </row>
    <row r="6616" spans="1:2" x14ac:dyDescent="0.25">
      <c r="A6616" s="104"/>
      <c r="B6616" s="104"/>
    </row>
    <row r="6617" spans="1:2" x14ac:dyDescent="0.25">
      <c r="A6617" s="104"/>
      <c r="B6617" s="104"/>
    </row>
    <row r="6618" spans="1:2" x14ac:dyDescent="0.25">
      <c r="A6618" s="104"/>
      <c r="B6618" s="104"/>
    </row>
    <row r="6619" spans="1:2" x14ac:dyDescent="0.25">
      <c r="A6619" s="104"/>
      <c r="B6619" s="104"/>
    </row>
    <row r="6620" spans="1:2" x14ac:dyDescent="0.25">
      <c r="A6620" s="104"/>
      <c r="B6620" s="104"/>
    </row>
    <row r="6621" spans="1:2" x14ac:dyDescent="0.25">
      <c r="A6621" s="104"/>
      <c r="B6621" s="104"/>
    </row>
    <row r="6622" spans="1:2" x14ac:dyDescent="0.25">
      <c r="A6622" s="104"/>
      <c r="B6622" s="104"/>
    </row>
    <row r="6623" spans="1:2" x14ac:dyDescent="0.25">
      <c r="A6623" s="104"/>
      <c r="B6623" s="104"/>
    </row>
    <row r="6624" spans="1:2" x14ac:dyDescent="0.25">
      <c r="A6624" s="104"/>
      <c r="B6624" s="104"/>
    </row>
    <row r="6625" spans="1:2" x14ac:dyDescent="0.25">
      <c r="A6625" s="104"/>
      <c r="B6625" s="104"/>
    </row>
    <row r="6626" spans="1:2" x14ac:dyDescent="0.25">
      <c r="A6626" s="104"/>
      <c r="B6626" s="104"/>
    </row>
    <row r="6627" spans="1:2" x14ac:dyDescent="0.25">
      <c r="A6627" s="104"/>
      <c r="B6627" s="104"/>
    </row>
    <row r="6628" spans="1:2" x14ac:dyDescent="0.25">
      <c r="A6628" s="104"/>
      <c r="B6628" s="104"/>
    </row>
    <row r="6629" spans="1:2" x14ac:dyDescent="0.25">
      <c r="A6629" s="104"/>
      <c r="B6629" s="104"/>
    </row>
    <row r="6630" spans="1:2" x14ac:dyDescent="0.25">
      <c r="A6630" s="104"/>
      <c r="B6630" s="104"/>
    </row>
    <row r="6631" spans="1:2" x14ac:dyDescent="0.25">
      <c r="A6631" s="104"/>
      <c r="B6631" s="104"/>
    </row>
    <row r="6632" spans="1:2" x14ac:dyDescent="0.25">
      <c r="A6632" s="104"/>
      <c r="B6632" s="104"/>
    </row>
    <row r="6633" spans="1:2" x14ac:dyDescent="0.25">
      <c r="A6633" s="104"/>
      <c r="B6633" s="104"/>
    </row>
    <row r="6634" spans="1:2" x14ac:dyDescent="0.25">
      <c r="A6634" s="104"/>
      <c r="B6634" s="104"/>
    </row>
    <row r="6635" spans="1:2" x14ac:dyDescent="0.25">
      <c r="A6635" s="104"/>
      <c r="B6635" s="104"/>
    </row>
    <row r="6636" spans="1:2" x14ac:dyDescent="0.25">
      <c r="A6636" s="104"/>
      <c r="B6636" s="104"/>
    </row>
    <row r="6637" spans="1:2" x14ac:dyDescent="0.25">
      <c r="A6637" s="104"/>
      <c r="B6637" s="104"/>
    </row>
    <row r="6638" spans="1:2" x14ac:dyDescent="0.25">
      <c r="A6638" s="104"/>
      <c r="B6638" s="104"/>
    </row>
    <row r="6639" spans="1:2" x14ac:dyDescent="0.25">
      <c r="A6639" s="104"/>
      <c r="B6639" s="104"/>
    </row>
    <row r="6640" spans="1:2" x14ac:dyDescent="0.25">
      <c r="A6640" s="104"/>
      <c r="B6640" s="104"/>
    </row>
    <row r="6641" spans="1:2" x14ac:dyDescent="0.25">
      <c r="A6641" s="104"/>
      <c r="B6641" s="104"/>
    </row>
    <row r="6642" spans="1:2" x14ac:dyDescent="0.25">
      <c r="A6642" s="104"/>
      <c r="B6642" s="104"/>
    </row>
    <row r="6643" spans="1:2" x14ac:dyDescent="0.25">
      <c r="A6643" s="104"/>
      <c r="B6643" s="104"/>
    </row>
    <row r="6644" spans="1:2" x14ac:dyDescent="0.25">
      <c r="A6644" s="104"/>
      <c r="B6644" s="104"/>
    </row>
    <row r="6645" spans="1:2" x14ac:dyDescent="0.25">
      <c r="A6645" s="104"/>
      <c r="B6645" s="104"/>
    </row>
    <row r="6646" spans="1:2" x14ac:dyDescent="0.25">
      <c r="A6646" s="104"/>
      <c r="B6646" s="104"/>
    </row>
    <row r="6647" spans="1:2" x14ac:dyDescent="0.25">
      <c r="A6647" s="104"/>
      <c r="B6647" s="104"/>
    </row>
    <row r="6648" spans="1:2" x14ac:dyDescent="0.25">
      <c r="A6648" s="104"/>
      <c r="B6648" s="104"/>
    </row>
    <row r="6649" spans="1:2" x14ac:dyDescent="0.25">
      <c r="A6649" s="104"/>
      <c r="B6649" s="104"/>
    </row>
    <row r="6650" spans="1:2" x14ac:dyDescent="0.25">
      <c r="A6650" s="104"/>
      <c r="B6650" s="104"/>
    </row>
    <row r="6651" spans="1:2" x14ac:dyDescent="0.25">
      <c r="A6651" s="104"/>
      <c r="B6651" s="104"/>
    </row>
    <row r="6652" spans="1:2" x14ac:dyDescent="0.25">
      <c r="A6652" s="104"/>
      <c r="B6652" s="104"/>
    </row>
    <row r="6653" spans="1:2" x14ac:dyDescent="0.25">
      <c r="A6653" s="104"/>
      <c r="B6653" s="104"/>
    </row>
    <row r="6654" spans="1:2" x14ac:dyDescent="0.25">
      <c r="A6654" s="104"/>
      <c r="B6654" s="104"/>
    </row>
    <row r="6655" spans="1:2" x14ac:dyDescent="0.25">
      <c r="A6655" s="104"/>
      <c r="B6655" s="104"/>
    </row>
    <row r="6656" spans="1:2" x14ac:dyDescent="0.25">
      <c r="A6656" s="104"/>
      <c r="B6656" s="104"/>
    </row>
    <row r="6657" spans="1:2" x14ac:dyDescent="0.25">
      <c r="A6657" s="104"/>
      <c r="B6657" s="104"/>
    </row>
    <row r="6658" spans="1:2" x14ac:dyDescent="0.25">
      <c r="A6658" s="104"/>
      <c r="B6658" s="104"/>
    </row>
    <row r="6659" spans="1:2" x14ac:dyDescent="0.25">
      <c r="A6659" s="104"/>
      <c r="B6659" s="104"/>
    </row>
    <row r="6660" spans="1:2" x14ac:dyDescent="0.25">
      <c r="A6660" s="104"/>
      <c r="B6660" s="104"/>
    </row>
    <row r="6661" spans="1:2" x14ac:dyDescent="0.25">
      <c r="A6661" s="104"/>
      <c r="B6661" s="104"/>
    </row>
    <row r="6662" spans="1:2" x14ac:dyDescent="0.25">
      <c r="A6662" s="104"/>
      <c r="B6662" s="104"/>
    </row>
    <row r="6663" spans="1:2" x14ac:dyDescent="0.25">
      <c r="A6663" s="104"/>
      <c r="B6663" s="104"/>
    </row>
    <row r="6664" spans="1:2" x14ac:dyDescent="0.25">
      <c r="A6664" s="104"/>
      <c r="B6664" s="104"/>
    </row>
    <row r="6665" spans="1:2" x14ac:dyDescent="0.25">
      <c r="A6665" s="104"/>
      <c r="B6665" s="104"/>
    </row>
    <row r="6666" spans="1:2" x14ac:dyDescent="0.25">
      <c r="A6666" s="104"/>
      <c r="B6666" s="104"/>
    </row>
    <row r="6667" spans="1:2" x14ac:dyDescent="0.25">
      <c r="A6667" s="104"/>
      <c r="B6667" s="104"/>
    </row>
    <row r="6668" spans="1:2" x14ac:dyDescent="0.25">
      <c r="A6668" s="104"/>
      <c r="B6668" s="104"/>
    </row>
    <row r="6669" spans="1:2" x14ac:dyDescent="0.25">
      <c r="A6669" s="104"/>
      <c r="B6669" s="104"/>
    </row>
    <row r="6670" spans="1:2" x14ac:dyDescent="0.25">
      <c r="A6670" s="104"/>
      <c r="B6670" s="104"/>
    </row>
    <row r="6671" spans="1:2" x14ac:dyDescent="0.25">
      <c r="A6671" s="104"/>
      <c r="B6671" s="104"/>
    </row>
    <row r="6672" spans="1:2" x14ac:dyDescent="0.25">
      <c r="A6672" s="104"/>
      <c r="B6672" s="104"/>
    </row>
    <row r="6673" spans="1:2" x14ac:dyDescent="0.25">
      <c r="A6673" s="104"/>
      <c r="B6673" s="104"/>
    </row>
    <row r="6674" spans="1:2" x14ac:dyDescent="0.25">
      <c r="A6674" s="104"/>
      <c r="B6674" s="104"/>
    </row>
    <row r="6675" spans="1:2" x14ac:dyDescent="0.25">
      <c r="A6675" s="104"/>
      <c r="B6675" s="104"/>
    </row>
    <row r="6676" spans="1:2" x14ac:dyDescent="0.25">
      <c r="A6676" s="104"/>
      <c r="B6676" s="104"/>
    </row>
    <row r="6677" spans="1:2" x14ac:dyDescent="0.25">
      <c r="A6677" s="104"/>
      <c r="B6677" s="104"/>
    </row>
    <row r="6678" spans="1:2" x14ac:dyDescent="0.25">
      <c r="A6678" s="104"/>
      <c r="B6678" s="104"/>
    </row>
    <row r="6679" spans="1:2" x14ac:dyDescent="0.25">
      <c r="A6679" s="104"/>
      <c r="B6679" s="104"/>
    </row>
    <row r="6680" spans="1:2" x14ac:dyDescent="0.25">
      <c r="A6680" s="104"/>
      <c r="B6680" s="104"/>
    </row>
    <row r="6681" spans="1:2" x14ac:dyDescent="0.25">
      <c r="A6681" s="104"/>
      <c r="B6681" s="104"/>
    </row>
    <row r="6682" spans="1:2" x14ac:dyDescent="0.25">
      <c r="A6682" s="104"/>
      <c r="B6682" s="104"/>
    </row>
    <row r="6683" spans="1:2" x14ac:dyDescent="0.25">
      <c r="A6683" s="104"/>
      <c r="B6683" s="104"/>
    </row>
    <row r="6684" spans="1:2" x14ac:dyDescent="0.25">
      <c r="A6684" s="104"/>
      <c r="B6684" s="104"/>
    </row>
    <row r="6685" spans="1:2" x14ac:dyDescent="0.25">
      <c r="A6685" s="104"/>
      <c r="B6685" s="104"/>
    </row>
    <row r="6686" spans="1:2" x14ac:dyDescent="0.25">
      <c r="A6686" s="104"/>
      <c r="B6686" s="104"/>
    </row>
    <row r="6687" spans="1:2" x14ac:dyDescent="0.25">
      <c r="A6687" s="104"/>
      <c r="B6687" s="104"/>
    </row>
    <row r="6688" spans="1:2" x14ac:dyDescent="0.25">
      <c r="A6688" s="104"/>
      <c r="B6688" s="104"/>
    </row>
    <row r="6689" spans="1:2" x14ac:dyDescent="0.25">
      <c r="A6689" s="104"/>
      <c r="B6689" s="104"/>
    </row>
    <row r="6690" spans="1:2" x14ac:dyDescent="0.25">
      <c r="A6690" s="104"/>
      <c r="B6690" s="104"/>
    </row>
    <row r="6691" spans="1:2" x14ac:dyDescent="0.25">
      <c r="A6691" s="104"/>
      <c r="B6691" s="104"/>
    </row>
    <row r="6692" spans="1:2" x14ac:dyDescent="0.25">
      <c r="A6692" s="104"/>
      <c r="B6692" s="104"/>
    </row>
    <row r="6693" spans="1:2" x14ac:dyDescent="0.25">
      <c r="A6693" s="104"/>
      <c r="B6693" s="104"/>
    </row>
    <row r="6694" spans="1:2" x14ac:dyDescent="0.25">
      <c r="A6694" s="104"/>
      <c r="B6694" s="104"/>
    </row>
    <row r="6695" spans="1:2" x14ac:dyDescent="0.25">
      <c r="A6695" s="104"/>
      <c r="B6695" s="104"/>
    </row>
    <row r="6696" spans="1:2" x14ac:dyDescent="0.25">
      <c r="A6696" s="104"/>
      <c r="B6696" s="104"/>
    </row>
    <row r="6697" spans="1:2" x14ac:dyDescent="0.25">
      <c r="A6697" s="104"/>
      <c r="B6697" s="104"/>
    </row>
    <row r="6698" spans="1:2" x14ac:dyDescent="0.25">
      <c r="A6698" s="104"/>
      <c r="B6698" s="104"/>
    </row>
    <row r="6699" spans="1:2" x14ac:dyDescent="0.25">
      <c r="A6699" s="104"/>
      <c r="B6699" s="104"/>
    </row>
    <row r="6700" spans="1:2" x14ac:dyDescent="0.25">
      <c r="A6700" s="104"/>
      <c r="B6700" s="104"/>
    </row>
    <row r="6701" spans="1:2" x14ac:dyDescent="0.25">
      <c r="A6701" s="104"/>
      <c r="B6701" s="104"/>
    </row>
    <row r="6702" spans="1:2" x14ac:dyDescent="0.25">
      <c r="A6702" s="104"/>
      <c r="B6702" s="104"/>
    </row>
    <row r="6703" spans="1:2" x14ac:dyDescent="0.25">
      <c r="A6703" s="104"/>
      <c r="B6703" s="104"/>
    </row>
    <row r="6704" spans="1:2" x14ac:dyDescent="0.25">
      <c r="A6704" s="104"/>
      <c r="B6704" s="104"/>
    </row>
    <row r="6705" spans="1:2" x14ac:dyDescent="0.25">
      <c r="A6705" s="104"/>
      <c r="B6705" s="104"/>
    </row>
    <row r="6706" spans="1:2" x14ac:dyDescent="0.25">
      <c r="A6706" s="104"/>
      <c r="B6706" s="104"/>
    </row>
    <row r="6707" spans="1:2" x14ac:dyDescent="0.25">
      <c r="A6707" s="104"/>
      <c r="B6707" s="104"/>
    </row>
    <row r="6708" spans="1:2" x14ac:dyDescent="0.25">
      <c r="A6708" s="104"/>
      <c r="B6708" s="104"/>
    </row>
    <row r="6709" spans="1:2" x14ac:dyDescent="0.25">
      <c r="A6709" s="104"/>
      <c r="B6709" s="104"/>
    </row>
    <row r="6710" spans="1:2" x14ac:dyDescent="0.25">
      <c r="A6710" s="104"/>
      <c r="B6710" s="104"/>
    </row>
    <row r="6711" spans="1:2" x14ac:dyDescent="0.25">
      <c r="A6711" s="104"/>
      <c r="B6711" s="104"/>
    </row>
    <row r="6712" spans="1:2" x14ac:dyDescent="0.25">
      <c r="A6712" s="104"/>
      <c r="B6712" s="104"/>
    </row>
    <row r="6713" spans="1:2" x14ac:dyDescent="0.25">
      <c r="A6713" s="104"/>
      <c r="B6713" s="104"/>
    </row>
    <row r="6714" spans="1:2" x14ac:dyDescent="0.25">
      <c r="A6714" s="104"/>
      <c r="B6714" s="104"/>
    </row>
    <row r="6715" spans="1:2" x14ac:dyDescent="0.25">
      <c r="A6715" s="104"/>
      <c r="B6715" s="104"/>
    </row>
    <row r="6716" spans="1:2" x14ac:dyDescent="0.25">
      <c r="A6716" s="104"/>
      <c r="B6716" s="104"/>
    </row>
    <row r="6717" spans="1:2" x14ac:dyDescent="0.25">
      <c r="A6717" s="104"/>
      <c r="B6717" s="104"/>
    </row>
    <row r="6718" spans="1:2" x14ac:dyDescent="0.25">
      <c r="A6718" s="104"/>
      <c r="B6718" s="104"/>
    </row>
    <row r="6719" spans="1:2" x14ac:dyDescent="0.25">
      <c r="A6719" s="104"/>
      <c r="B6719" s="104"/>
    </row>
    <row r="6720" spans="1:2" x14ac:dyDescent="0.25">
      <c r="A6720" s="104"/>
      <c r="B6720" s="104"/>
    </row>
    <row r="6721" spans="1:2" x14ac:dyDescent="0.25">
      <c r="A6721" s="104"/>
      <c r="B6721" s="104"/>
    </row>
    <row r="6722" spans="1:2" x14ac:dyDescent="0.25">
      <c r="A6722" s="104"/>
      <c r="B6722" s="104"/>
    </row>
    <row r="6723" spans="1:2" x14ac:dyDescent="0.25">
      <c r="A6723" s="104"/>
      <c r="B6723" s="104"/>
    </row>
    <row r="6724" spans="1:2" x14ac:dyDescent="0.25">
      <c r="A6724" s="104"/>
      <c r="B6724" s="104"/>
    </row>
    <row r="6725" spans="1:2" x14ac:dyDescent="0.25">
      <c r="A6725" s="104"/>
      <c r="B6725" s="104"/>
    </row>
    <row r="6726" spans="1:2" x14ac:dyDescent="0.25">
      <c r="A6726" s="104"/>
      <c r="B6726" s="104"/>
    </row>
    <row r="6727" spans="1:2" x14ac:dyDescent="0.25">
      <c r="A6727" s="104"/>
      <c r="B6727" s="104"/>
    </row>
    <row r="6728" spans="1:2" x14ac:dyDescent="0.25">
      <c r="A6728" s="104"/>
      <c r="B6728" s="104"/>
    </row>
    <row r="6729" spans="1:2" x14ac:dyDescent="0.25">
      <c r="A6729" s="104"/>
      <c r="B6729" s="104"/>
    </row>
    <row r="6730" spans="1:2" x14ac:dyDescent="0.25">
      <c r="A6730" s="104"/>
      <c r="B6730" s="104"/>
    </row>
    <row r="6731" spans="1:2" x14ac:dyDescent="0.25">
      <c r="A6731" s="104"/>
      <c r="B6731" s="104"/>
    </row>
    <row r="6732" spans="1:2" x14ac:dyDescent="0.25">
      <c r="A6732" s="104"/>
      <c r="B6732" s="104"/>
    </row>
    <row r="6733" spans="1:2" x14ac:dyDescent="0.25">
      <c r="A6733" s="104"/>
      <c r="B6733" s="104"/>
    </row>
    <row r="6734" spans="1:2" x14ac:dyDescent="0.25">
      <c r="A6734" s="104"/>
      <c r="B6734" s="104"/>
    </row>
    <row r="6735" spans="1:2" x14ac:dyDescent="0.25">
      <c r="A6735" s="104"/>
      <c r="B6735" s="104"/>
    </row>
    <row r="6736" spans="1:2" x14ac:dyDescent="0.25">
      <c r="A6736" s="104"/>
      <c r="B6736" s="104"/>
    </row>
    <row r="6737" spans="1:2" x14ac:dyDescent="0.25">
      <c r="A6737" s="104"/>
      <c r="B6737" s="104"/>
    </row>
    <row r="6738" spans="1:2" x14ac:dyDescent="0.25">
      <c r="A6738" s="104"/>
      <c r="B6738" s="104"/>
    </row>
    <row r="6739" spans="1:2" x14ac:dyDescent="0.25">
      <c r="A6739" s="104"/>
      <c r="B6739" s="104"/>
    </row>
    <row r="6740" spans="1:2" x14ac:dyDescent="0.25">
      <c r="A6740" s="104"/>
      <c r="B6740" s="104"/>
    </row>
    <row r="6741" spans="1:2" x14ac:dyDescent="0.25">
      <c r="A6741" s="104"/>
      <c r="B6741" s="104"/>
    </row>
    <row r="6742" spans="1:2" x14ac:dyDescent="0.25">
      <c r="A6742" s="104"/>
      <c r="B6742" s="104"/>
    </row>
    <row r="6743" spans="1:2" x14ac:dyDescent="0.25">
      <c r="A6743" s="104"/>
      <c r="B6743" s="104"/>
    </row>
    <row r="6744" spans="1:2" x14ac:dyDescent="0.25">
      <c r="A6744" s="104"/>
      <c r="B6744" s="104"/>
    </row>
    <row r="6745" spans="1:2" x14ac:dyDescent="0.25">
      <c r="A6745" s="104"/>
      <c r="B6745" s="104"/>
    </row>
    <row r="6746" spans="1:2" x14ac:dyDescent="0.25">
      <c r="A6746" s="104"/>
      <c r="B6746" s="104"/>
    </row>
    <row r="6747" spans="1:2" x14ac:dyDescent="0.25">
      <c r="A6747" s="104"/>
      <c r="B6747" s="104"/>
    </row>
    <row r="6748" spans="1:2" x14ac:dyDescent="0.25">
      <c r="A6748" s="104"/>
      <c r="B6748" s="104"/>
    </row>
    <row r="6749" spans="1:2" x14ac:dyDescent="0.25">
      <c r="A6749" s="104"/>
      <c r="B6749" s="104"/>
    </row>
    <row r="6750" spans="1:2" x14ac:dyDescent="0.25">
      <c r="A6750" s="104"/>
      <c r="B6750" s="104"/>
    </row>
    <row r="6751" spans="1:2" x14ac:dyDescent="0.25">
      <c r="A6751" s="104"/>
      <c r="B6751" s="104"/>
    </row>
    <row r="6752" spans="1:2" x14ac:dyDescent="0.25">
      <c r="A6752" s="104"/>
      <c r="B6752" s="104"/>
    </row>
    <row r="6753" spans="1:2" x14ac:dyDescent="0.25">
      <c r="A6753" s="104"/>
      <c r="B6753" s="104"/>
    </row>
    <row r="6754" spans="1:2" x14ac:dyDescent="0.25">
      <c r="A6754" s="104"/>
      <c r="B6754" s="104"/>
    </row>
    <row r="6755" spans="1:2" x14ac:dyDescent="0.25">
      <c r="A6755" s="104"/>
      <c r="B6755" s="104"/>
    </row>
    <row r="6756" spans="1:2" x14ac:dyDescent="0.25">
      <c r="A6756" s="104"/>
      <c r="B6756" s="104"/>
    </row>
    <row r="6757" spans="1:2" x14ac:dyDescent="0.25">
      <c r="A6757" s="104"/>
      <c r="B6757" s="104"/>
    </row>
    <row r="6758" spans="1:2" x14ac:dyDescent="0.25">
      <c r="A6758" s="104"/>
      <c r="B6758" s="104"/>
    </row>
    <row r="6759" spans="1:2" x14ac:dyDescent="0.25">
      <c r="A6759" s="104"/>
      <c r="B6759" s="104"/>
    </row>
    <row r="6760" spans="1:2" x14ac:dyDescent="0.25">
      <c r="A6760" s="104"/>
      <c r="B6760" s="104"/>
    </row>
    <row r="6761" spans="1:2" x14ac:dyDescent="0.25">
      <c r="A6761" s="104"/>
      <c r="B6761" s="104"/>
    </row>
    <row r="6762" spans="1:2" x14ac:dyDescent="0.25">
      <c r="A6762" s="104"/>
      <c r="B6762" s="104"/>
    </row>
    <row r="6763" spans="1:2" x14ac:dyDescent="0.25">
      <c r="A6763" s="104"/>
      <c r="B6763" s="104"/>
    </row>
    <row r="6764" spans="1:2" x14ac:dyDescent="0.25">
      <c r="A6764" s="104"/>
      <c r="B6764" s="104"/>
    </row>
    <row r="6765" spans="1:2" x14ac:dyDescent="0.25">
      <c r="A6765" s="104"/>
      <c r="B6765" s="104"/>
    </row>
    <row r="6766" spans="1:2" x14ac:dyDescent="0.25">
      <c r="A6766" s="104"/>
      <c r="B6766" s="104"/>
    </row>
    <row r="6767" spans="1:2" x14ac:dyDescent="0.25">
      <c r="A6767" s="104"/>
      <c r="B6767" s="104"/>
    </row>
    <row r="6768" spans="1:2" x14ac:dyDescent="0.25">
      <c r="A6768" s="104"/>
      <c r="B6768" s="104"/>
    </row>
    <row r="6769" spans="1:2" x14ac:dyDescent="0.25">
      <c r="A6769" s="104"/>
      <c r="B6769" s="104"/>
    </row>
    <row r="6770" spans="1:2" x14ac:dyDescent="0.25">
      <c r="A6770" s="104"/>
      <c r="B6770" s="104"/>
    </row>
    <row r="6771" spans="1:2" x14ac:dyDescent="0.25">
      <c r="A6771" s="104"/>
      <c r="B6771" s="104"/>
    </row>
    <row r="6772" spans="1:2" x14ac:dyDescent="0.25">
      <c r="A6772" s="104"/>
      <c r="B6772" s="104"/>
    </row>
    <row r="6773" spans="1:2" x14ac:dyDescent="0.25">
      <c r="A6773" s="104"/>
      <c r="B6773" s="104"/>
    </row>
    <row r="6774" spans="1:2" x14ac:dyDescent="0.25">
      <c r="A6774" s="104"/>
      <c r="B6774" s="104"/>
    </row>
    <row r="6775" spans="1:2" x14ac:dyDescent="0.25">
      <c r="A6775" s="104"/>
      <c r="B6775" s="104"/>
    </row>
    <row r="6776" spans="1:2" x14ac:dyDescent="0.25">
      <c r="A6776" s="104"/>
      <c r="B6776" s="104"/>
    </row>
    <row r="6777" spans="1:2" x14ac:dyDescent="0.25">
      <c r="A6777" s="104"/>
      <c r="B6777" s="104"/>
    </row>
    <row r="6778" spans="1:2" x14ac:dyDescent="0.25">
      <c r="A6778" s="104"/>
      <c r="B6778" s="104"/>
    </row>
    <row r="6779" spans="1:2" x14ac:dyDescent="0.25">
      <c r="A6779" s="104"/>
      <c r="B6779" s="104"/>
    </row>
    <row r="6780" spans="1:2" x14ac:dyDescent="0.25">
      <c r="A6780" s="104"/>
      <c r="B6780" s="104"/>
    </row>
    <row r="6781" spans="1:2" x14ac:dyDescent="0.25">
      <c r="A6781" s="104"/>
      <c r="B6781" s="104"/>
    </row>
    <row r="6782" spans="1:2" x14ac:dyDescent="0.25">
      <c r="A6782" s="104"/>
      <c r="B6782" s="104"/>
    </row>
    <row r="6783" spans="1:2" x14ac:dyDescent="0.25">
      <c r="A6783" s="104"/>
      <c r="B6783" s="104"/>
    </row>
    <row r="6784" spans="1:2" x14ac:dyDescent="0.25">
      <c r="A6784" s="104"/>
      <c r="B6784" s="104"/>
    </row>
    <row r="6785" spans="1:2" x14ac:dyDescent="0.25">
      <c r="A6785" s="104"/>
      <c r="B6785" s="104"/>
    </row>
    <row r="6786" spans="1:2" x14ac:dyDescent="0.25">
      <c r="A6786" s="104"/>
      <c r="B6786" s="104"/>
    </row>
    <row r="6787" spans="1:2" x14ac:dyDescent="0.25">
      <c r="A6787" s="104"/>
      <c r="B6787" s="104"/>
    </row>
    <row r="6788" spans="1:2" x14ac:dyDescent="0.25">
      <c r="A6788" s="104"/>
      <c r="B6788" s="104"/>
    </row>
    <row r="6789" spans="1:2" x14ac:dyDescent="0.25">
      <c r="A6789" s="104"/>
      <c r="B6789" s="104"/>
    </row>
    <row r="6790" spans="1:2" x14ac:dyDescent="0.25">
      <c r="A6790" s="104"/>
      <c r="B6790" s="104"/>
    </row>
    <row r="6791" spans="1:2" x14ac:dyDescent="0.25">
      <c r="A6791" s="104"/>
      <c r="B6791" s="104"/>
    </row>
    <row r="6792" spans="1:2" x14ac:dyDescent="0.25">
      <c r="A6792" s="104"/>
      <c r="B6792" s="104"/>
    </row>
    <row r="6793" spans="1:2" x14ac:dyDescent="0.25">
      <c r="A6793" s="104"/>
      <c r="B6793" s="104"/>
    </row>
    <row r="6794" spans="1:2" x14ac:dyDescent="0.25">
      <c r="A6794" s="104"/>
      <c r="B6794" s="104"/>
    </row>
    <row r="6795" spans="1:2" x14ac:dyDescent="0.25">
      <c r="A6795" s="104"/>
      <c r="B6795" s="104"/>
    </row>
    <row r="6796" spans="1:2" x14ac:dyDescent="0.25">
      <c r="A6796" s="104"/>
      <c r="B6796" s="104"/>
    </row>
    <row r="6797" spans="1:2" x14ac:dyDescent="0.25">
      <c r="A6797" s="104"/>
      <c r="B6797" s="104"/>
    </row>
    <row r="6798" spans="1:2" x14ac:dyDescent="0.25">
      <c r="A6798" s="104"/>
      <c r="B6798" s="104"/>
    </row>
    <row r="6799" spans="1:2" x14ac:dyDescent="0.25">
      <c r="A6799" s="104"/>
      <c r="B6799" s="104"/>
    </row>
    <row r="6800" spans="1:2" x14ac:dyDescent="0.25">
      <c r="A6800" s="104"/>
      <c r="B6800" s="104"/>
    </row>
    <row r="6801" spans="1:2" x14ac:dyDescent="0.25">
      <c r="A6801" s="104"/>
      <c r="B6801" s="104"/>
    </row>
    <row r="6802" spans="1:2" x14ac:dyDescent="0.25">
      <c r="A6802" s="104"/>
      <c r="B6802" s="104"/>
    </row>
    <row r="6803" spans="1:2" x14ac:dyDescent="0.25">
      <c r="A6803" s="104"/>
      <c r="B6803" s="104"/>
    </row>
    <row r="6804" spans="1:2" x14ac:dyDescent="0.25">
      <c r="A6804" s="104"/>
      <c r="B6804" s="104"/>
    </row>
    <row r="6805" spans="1:2" x14ac:dyDescent="0.25">
      <c r="A6805" s="104"/>
      <c r="B6805" s="104"/>
    </row>
    <row r="6806" spans="1:2" x14ac:dyDescent="0.25">
      <c r="A6806" s="104"/>
      <c r="B6806" s="104"/>
    </row>
    <row r="6807" spans="1:2" x14ac:dyDescent="0.25">
      <c r="A6807" s="104"/>
      <c r="B6807" s="104"/>
    </row>
    <row r="6808" spans="1:2" x14ac:dyDescent="0.25">
      <c r="A6808" s="104"/>
      <c r="B6808" s="104"/>
    </row>
    <row r="6809" spans="1:2" x14ac:dyDescent="0.25">
      <c r="A6809" s="104"/>
      <c r="B6809" s="104"/>
    </row>
    <row r="6810" spans="1:2" x14ac:dyDescent="0.25">
      <c r="A6810" s="104"/>
      <c r="B6810" s="104"/>
    </row>
    <row r="6811" spans="1:2" x14ac:dyDescent="0.25">
      <c r="A6811" s="104"/>
      <c r="B6811" s="104"/>
    </row>
    <row r="6812" spans="1:2" x14ac:dyDescent="0.25">
      <c r="A6812" s="104"/>
      <c r="B6812" s="104"/>
    </row>
    <row r="6813" spans="1:2" x14ac:dyDescent="0.25">
      <c r="A6813" s="104"/>
      <c r="B6813" s="104"/>
    </row>
    <row r="6814" spans="1:2" x14ac:dyDescent="0.25">
      <c r="A6814" s="104"/>
      <c r="B6814" s="104"/>
    </row>
    <row r="6815" spans="1:2" x14ac:dyDescent="0.25">
      <c r="A6815" s="104"/>
      <c r="B6815" s="104"/>
    </row>
    <row r="6816" spans="1:2" x14ac:dyDescent="0.25">
      <c r="A6816" s="104"/>
      <c r="B6816" s="104"/>
    </row>
    <row r="6817" spans="1:2" x14ac:dyDescent="0.25">
      <c r="A6817" s="104"/>
      <c r="B6817" s="104"/>
    </row>
    <row r="6818" spans="1:2" x14ac:dyDescent="0.25">
      <c r="A6818" s="104"/>
      <c r="B6818" s="104"/>
    </row>
    <row r="6819" spans="1:2" x14ac:dyDescent="0.25">
      <c r="A6819" s="104"/>
      <c r="B6819" s="104"/>
    </row>
    <row r="6820" spans="1:2" x14ac:dyDescent="0.25">
      <c r="A6820" s="104"/>
      <c r="B6820" s="104"/>
    </row>
    <row r="6821" spans="1:2" x14ac:dyDescent="0.25">
      <c r="A6821" s="104"/>
      <c r="B6821" s="104"/>
    </row>
    <row r="6822" spans="1:2" x14ac:dyDescent="0.25">
      <c r="A6822" s="104"/>
      <c r="B6822" s="104"/>
    </row>
    <row r="6823" spans="1:2" x14ac:dyDescent="0.25">
      <c r="A6823" s="104"/>
      <c r="B6823" s="104"/>
    </row>
    <row r="6824" spans="1:2" x14ac:dyDescent="0.25">
      <c r="A6824" s="104"/>
      <c r="B6824" s="104"/>
    </row>
    <row r="6825" spans="1:2" x14ac:dyDescent="0.25">
      <c r="A6825" s="104"/>
      <c r="B6825" s="104"/>
    </row>
    <row r="6826" spans="1:2" x14ac:dyDescent="0.25">
      <c r="A6826" s="104"/>
      <c r="B6826" s="104"/>
    </row>
    <row r="6827" spans="1:2" x14ac:dyDescent="0.25">
      <c r="A6827" s="104"/>
      <c r="B6827" s="104"/>
    </row>
    <row r="6828" spans="1:2" x14ac:dyDescent="0.25">
      <c r="A6828" s="104"/>
      <c r="B6828" s="104"/>
    </row>
    <row r="6829" spans="1:2" x14ac:dyDescent="0.25">
      <c r="A6829" s="104"/>
      <c r="B6829" s="104"/>
    </row>
    <row r="6830" spans="1:2" x14ac:dyDescent="0.25">
      <c r="A6830" s="104"/>
      <c r="B6830" s="104"/>
    </row>
    <row r="6831" spans="1:2" x14ac:dyDescent="0.25">
      <c r="A6831" s="104"/>
      <c r="B6831" s="104"/>
    </row>
    <row r="6832" spans="1:2" x14ac:dyDescent="0.25">
      <c r="A6832" s="104"/>
      <c r="B6832" s="104"/>
    </row>
    <row r="6833" spans="1:2" x14ac:dyDescent="0.25">
      <c r="A6833" s="104"/>
      <c r="B6833" s="104"/>
    </row>
    <row r="6834" spans="1:2" x14ac:dyDescent="0.25">
      <c r="A6834" s="104"/>
      <c r="B6834" s="104"/>
    </row>
    <row r="6835" spans="1:2" x14ac:dyDescent="0.25">
      <c r="A6835" s="104"/>
      <c r="B6835" s="104"/>
    </row>
    <row r="6836" spans="1:2" x14ac:dyDescent="0.25">
      <c r="A6836" s="104"/>
      <c r="B6836" s="104"/>
    </row>
    <row r="6837" spans="1:2" x14ac:dyDescent="0.25">
      <c r="A6837" s="104"/>
      <c r="B6837" s="104"/>
    </row>
    <row r="6838" spans="1:2" x14ac:dyDescent="0.25">
      <c r="A6838" s="104"/>
      <c r="B6838" s="104"/>
    </row>
    <row r="6839" spans="1:2" x14ac:dyDescent="0.25">
      <c r="A6839" s="104"/>
      <c r="B6839" s="104"/>
    </row>
    <row r="6840" spans="1:2" x14ac:dyDescent="0.25">
      <c r="A6840" s="104"/>
      <c r="B6840" s="104"/>
    </row>
    <row r="6841" spans="1:2" x14ac:dyDescent="0.25">
      <c r="A6841" s="104"/>
      <c r="B6841" s="104"/>
    </row>
    <row r="6842" spans="1:2" x14ac:dyDescent="0.25">
      <c r="A6842" s="104"/>
      <c r="B6842" s="104"/>
    </row>
    <row r="6843" spans="1:2" x14ac:dyDescent="0.25">
      <c r="A6843" s="104"/>
      <c r="B6843" s="104"/>
    </row>
    <row r="6844" spans="1:2" x14ac:dyDescent="0.25">
      <c r="A6844" s="104"/>
      <c r="B6844" s="104"/>
    </row>
    <row r="6845" spans="1:2" x14ac:dyDescent="0.25">
      <c r="A6845" s="104"/>
      <c r="B6845" s="104"/>
    </row>
    <row r="6846" spans="1:2" x14ac:dyDescent="0.25">
      <c r="A6846" s="104"/>
      <c r="B6846" s="104"/>
    </row>
    <row r="6847" spans="1:2" x14ac:dyDescent="0.25">
      <c r="A6847" s="104"/>
      <c r="B6847" s="104"/>
    </row>
    <row r="6848" spans="1:2" x14ac:dyDescent="0.25">
      <c r="A6848" s="104"/>
      <c r="B6848" s="104"/>
    </row>
    <row r="6849" spans="1:2" x14ac:dyDescent="0.25">
      <c r="A6849" s="104"/>
      <c r="B6849" s="104"/>
    </row>
    <row r="6850" spans="1:2" x14ac:dyDescent="0.25">
      <c r="A6850" s="104"/>
      <c r="B6850" s="104"/>
    </row>
    <row r="6851" spans="1:2" x14ac:dyDescent="0.25">
      <c r="A6851" s="104"/>
      <c r="B6851" s="104"/>
    </row>
    <row r="6852" spans="1:2" x14ac:dyDescent="0.25">
      <c r="A6852" s="104"/>
      <c r="B6852" s="104"/>
    </row>
    <row r="6853" spans="1:2" x14ac:dyDescent="0.25">
      <c r="A6853" s="104"/>
      <c r="B6853" s="104"/>
    </row>
    <row r="6854" spans="1:2" x14ac:dyDescent="0.25">
      <c r="A6854" s="104"/>
      <c r="B6854" s="104"/>
    </row>
    <row r="6855" spans="1:2" x14ac:dyDescent="0.25">
      <c r="A6855" s="104"/>
      <c r="B6855" s="104"/>
    </row>
    <row r="6856" spans="1:2" x14ac:dyDescent="0.25">
      <c r="A6856" s="104"/>
      <c r="B6856" s="104"/>
    </row>
    <row r="6857" spans="1:2" x14ac:dyDescent="0.25">
      <c r="A6857" s="104"/>
      <c r="B6857" s="104"/>
    </row>
    <row r="6858" spans="1:2" x14ac:dyDescent="0.25">
      <c r="A6858" s="104"/>
      <c r="B6858" s="104"/>
    </row>
    <row r="6859" spans="1:2" x14ac:dyDescent="0.25">
      <c r="A6859" s="104"/>
      <c r="B6859" s="104"/>
    </row>
    <row r="6860" spans="1:2" x14ac:dyDescent="0.25">
      <c r="A6860" s="104"/>
      <c r="B6860" s="104"/>
    </row>
    <row r="6861" spans="1:2" x14ac:dyDescent="0.25">
      <c r="A6861" s="104"/>
      <c r="B6861" s="104"/>
    </row>
    <row r="6862" spans="1:2" x14ac:dyDescent="0.25">
      <c r="A6862" s="104"/>
      <c r="B6862" s="104"/>
    </row>
    <row r="6863" spans="1:2" x14ac:dyDescent="0.25">
      <c r="A6863" s="104"/>
      <c r="B6863" s="104"/>
    </row>
    <row r="6864" spans="1:2" x14ac:dyDescent="0.25">
      <c r="A6864" s="104"/>
      <c r="B6864" s="104"/>
    </row>
    <row r="6865" spans="1:2" x14ac:dyDescent="0.25">
      <c r="A6865" s="104"/>
      <c r="B6865" s="104"/>
    </row>
    <row r="6866" spans="1:2" x14ac:dyDescent="0.25">
      <c r="A6866" s="104"/>
      <c r="B6866" s="104"/>
    </row>
    <row r="6867" spans="1:2" x14ac:dyDescent="0.25">
      <c r="A6867" s="104"/>
      <c r="B6867" s="104"/>
    </row>
    <row r="6868" spans="1:2" x14ac:dyDescent="0.25">
      <c r="A6868" s="104"/>
      <c r="B6868" s="104"/>
    </row>
    <row r="6869" spans="1:2" x14ac:dyDescent="0.25">
      <c r="A6869" s="104"/>
      <c r="B6869" s="104"/>
    </row>
    <row r="6870" spans="1:2" x14ac:dyDescent="0.25">
      <c r="A6870" s="104"/>
      <c r="B6870" s="104"/>
    </row>
    <row r="6871" spans="1:2" x14ac:dyDescent="0.25">
      <c r="A6871" s="104"/>
      <c r="B6871" s="104"/>
    </row>
    <row r="6872" spans="1:2" x14ac:dyDescent="0.25">
      <c r="A6872" s="104"/>
      <c r="B6872" s="104"/>
    </row>
    <row r="6873" spans="1:2" x14ac:dyDescent="0.25">
      <c r="A6873" s="104"/>
      <c r="B6873" s="104"/>
    </row>
    <row r="6874" spans="1:2" x14ac:dyDescent="0.25">
      <c r="A6874" s="104"/>
      <c r="B6874" s="104"/>
    </row>
    <row r="6875" spans="1:2" x14ac:dyDescent="0.25">
      <c r="A6875" s="104"/>
      <c r="B6875" s="104"/>
    </row>
    <row r="6876" spans="1:2" x14ac:dyDescent="0.25">
      <c r="A6876" s="104"/>
      <c r="B6876" s="104"/>
    </row>
    <row r="6877" spans="1:2" x14ac:dyDescent="0.25">
      <c r="A6877" s="104"/>
      <c r="B6877" s="104"/>
    </row>
    <row r="6878" spans="1:2" x14ac:dyDescent="0.25">
      <c r="A6878" s="104"/>
      <c r="B6878" s="104"/>
    </row>
    <row r="6879" spans="1:2" x14ac:dyDescent="0.25">
      <c r="A6879" s="104"/>
      <c r="B6879" s="104"/>
    </row>
    <row r="6880" spans="1:2" x14ac:dyDescent="0.25">
      <c r="A6880" s="104"/>
      <c r="B6880" s="104"/>
    </row>
    <row r="6881" spans="1:2" x14ac:dyDescent="0.25">
      <c r="A6881" s="104"/>
      <c r="B6881" s="104"/>
    </row>
    <row r="6882" spans="1:2" x14ac:dyDescent="0.25">
      <c r="A6882" s="104"/>
      <c r="B6882" s="104"/>
    </row>
    <row r="6883" spans="1:2" x14ac:dyDescent="0.25">
      <c r="A6883" s="104"/>
      <c r="B6883" s="104"/>
    </row>
    <row r="6884" spans="1:2" x14ac:dyDescent="0.25">
      <c r="A6884" s="104"/>
      <c r="B6884" s="104"/>
    </row>
    <row r="6885" spans="1:2" x14ac:dyDescent="0.25">
      <c r="A6885" s="104"/>
      <c r="B6885" s="104"/>
    </row>
    <row r="6886" spans="1:2" x14ac:dyDescent="0.25">
      <c r="A6886" s="104"/>
      <c r="B6886" s="104"/>
    </row>
    <row r="6887" spans="1:2" x14ac:dyDescent="0.25">
      <c r="A6887" s="104"/>
      <c r="B6887" s="104"/>
    </row>
    <row r="6888" spans="1:2" x14ac:dyDescent="0.25">
      <c r="A6888" s="104"/>
      <c r="B6888" s="104"/>
    </row>
    <row r="6889" spans="1:2" x14ac:dyDescent="0.25">
      <c r="A6889" s="104"/>
      <c r="B6889" s="104"/>
    </row>
    <row r="6890" spans="1:2" x14ac:dyDescent="0.25">
      <c r="A6890" s="104"/>
      <c r="B6890" s="104"/>
    </row>
    <row r="6891" spans="1:2" x14ac:dyDescent="0.25">
      <c r="A6891" s="104"/>
      <c r="B6891" s="104"/>
    </row>
    <row r="6892" spans="1:2" x14ac:dyDescent="0.25">
      <c r="A6892" s="104"/>
      <c r="B6892" s="104"/>
    </row>
    <row r="6893" spans="1:2" x14ac:dyDescent="0.25">
      <c r="A6893" s="104"/>
      <c r="B6893" s="104"/>
    </row>
    <row r="6894" spans="1:2" x14ac:dyDescent="0.25">
      <c r="A6894" s="104"/>
      <c r="B6894" s="104"/>
    </row>
    <row r="6895" spans="1:2" x14ac:dyDescent="0.25">
      <c r="A6895" s="104"/>
      <c r="B6895" s="104"/>
    </row>
    <row r="6896" spans="1:2" x14ac:dyDescent="0.25">
      <c r="A6896" s="104"/>
      <c r="B6896" s="104"/>
    </row>
    <row r="6897" spans="1:2" x14ac:dyDescent="0.25">
      <c r="A6897" s="104"/>
      <c r="B6897" s="104"/>
    </row>
    <row r="6898" spans="1:2" x14ac:dyDescent="0.25">
      <c r="A6898" s="104"/>
      <c r="B6898" s="104"/>
    </row>
    <row r="6899" spans="1:2" x14ac:dyDescent="0.25">
      <c r="A6899" s="104"/>
      <c r="B6899" s="104"/>
    </row>
    <row r="6900" spans="1:2" x14ac:dyDescent="0.25">
      <c r="A6900" s="104"/>
      <c r="B6900" s="104"/>
    </row>
    <row r="6901" spans="1:2" x14ac:dyDescent="0.25">
      <c r="A6901" s="104"/>
      <c r="B6901" s="104"/>
    </row>
    <row r="6902" spans="1:2" x14ac:dyDescent="0.25">
      <c r="A6902" s="104"/>
      <c r="B6902" s="104"/>
    </row>
    <row r="6903" spans="1:2" x14ac:dyDescent="0.25">
      <c r="A6903" s="104"/>
      <c r="B6903" s="104"/>
    </row>
    <row r="6904" spans="1:2" x14ac:dyDescent="0.25">
      <c r="A6904" s="104"/>
      <c r="B6904" s="104"/>
    </row>
    <row r="6905" spans="1:2" x14ac:dyDescent="0.25">
      <c r="A6905" s="104"/>
      <c r="B6905" s="104"/>
    </row>
    <row r="6906" spans="1:2" x14ac:dyDescent="0.25">
      <c r="A6906" s="104"/>
      <c r="B6906" s="104"/>
    </row>
    <row r="6907" spans="1:2" x14ac:dyDescent="0.25">
      <c r="A6907" s="104"/>
      <c r="B6907" s="104"/>
    </row>
    <row r="6908" spans="1:2" x14ac:dyDescent="0.25">
      <c r="A6908" s="104"/>
      <c r="B6908" s="104"/>
    </row>
    <row r="6909" spans="1:2" x14ac:dyDescent="0.25">
      <c r="A6909" s="104"/>
      <c r="B6909" s="104"/>
    </row>
    <row r="6910" spans="1:2" x14ac:dyDescent="0.25">
      <c r="A6910" s="104"/>
      <c r="B6910" s="104"/>
    </row>
    <row r="6911" spans="1:2" x14ac:dyDescent="0.25">
      <c r="A6911" s="104"/>
      <c r="B6911" s="104"/>
    </row>
    <row r="6912" spans="1:2" x14ac:dyDescent="0.25">
      <c r="A6912" s="104"/>
      <c r="B6912" s="104"/>
    </row>
    <row r="6913" spans="1:2" x14ac:dyDescent="0.25">
      <c r="A6913" s="104"/>
      <c r="B6913" s="104"/>
    </row>
    <row r="6914" spans="1:2" x14ac:dyDescent="0.25">
      <c r="A6914" s="104"/>
      <c r="B6914" s="104"/>
    </row>
    <row r="6915" spans="1:2" x14ac:dyDescent="0.25">
      <c r="A6915" s="104"/>
      <c r="B6915" s="104"/>
    </row>
    <row r="6916" spans="1:2" x14ac:dyDescent="0.25">
      <c r="A6916" s="104"/>
      <c r="B6916" s="104"/>
    </row>
    <row r="6917" spans="1:2" x14ac:dyDescent="0.25">
      <c r="A6917" s="104"/>
      <c r="B6917" s="104"/>
    </row>
    <row r="6918" spans="1:2" x14ac:dyDescent="0.25">
      <c r="A6918" s="104"/>
      <c r="B6918" s="104"/>
    </row>
    <row r="6919" spans="1:2" x14ac:dyDescent="0.25">
      <c r="A6919" s="104"/>
      <c r="B6919" s="104"/>
    </row>
    <row r="6920" spans="1:2" x14ac:dyDescent="0.25">
      <c r="A6920" s="104"/>
      <c r="B6920" s="104"/>
    </row>
    <row r="6921" spans="1:2" x14ac:dyDescent="0.25">
      <c r="A6921" s="104"/>
      <c r="B6921" s="104"/>
    </row>
    <row r="6922" spans="1:2" x14ac:dyDescent="0.25">
      <c r="A6922" s="104"/>
      <c r="B6922" s="104"/>
    </row>
    <row r="6923" spans="1:2" x14ac:dyDescent="0.25">
      <c r="A6923" s="104"/>
      <c r="B6923" s="104"/>
    </row>
    <row r="6924" spans="1:2" x14ac:dyDescent="0.25">
      <c r="A6924" s="104"/>
      <c r="B6924" s="104"/>
    </row>
    <row r="6925" spans="1:2" x14ac:dyDescent="0.25">
      <c r="A6925" s="104"/>
      <c r="B6925" s="104"/>
    </row>
    <row r="6926" spans="1:2" x14ac:dyDescent="0.25">
      <c r="A6926" s="104"/>
      <c r="B6926" s="104"/>
    </row>
    <row r="6927" spans="1:2" x14ac:dyDescent="0.25">
      <c r="A6927" s="104"/>
      <c r="B6927" s="104"/>
    </row>
    <row r="6928" spans="1:2" x14ac:dyDescent="0.25">
      <c r="A6928" s="104"/>
      <c r="B6928" s="104"/>
    </row>
    <row r="6929" spans="1:2" x14ac:dyDescent="0.25">
      <c r="A6929" s="104"/>
      <c r="B6929" s="104"/>
    </row>
    <row r="6930" spans="1:2" x14ac:dyDescent="0.25">
      <c r="A6930" s="104"/>
      <c r="B6930" s="104"/>
    </row>
    <row r="6931" spans="1:2" x14ac:dyDescent="0.25">
      <c r="A6931" s="104"/>
      <c r="B6931" s="104"/>
    </row>
    <row r="6932" spans="1:2" x14ac:dyDescent="0.25">
      <c r="A6932" s="104"/>
      <c r="B6932" s="104"/>
    </row>
    <row r="6933" spans="1:2" x14ac:dyDescent="0.25">
      <c r="A6933" s="104"/>
      <c r="B6933" s="104"/>
    </row>
    <row r="6934" spans="1:2" x14ac:dyDescent="0.25">
      <c r="A6934" s="104"/>
      <c r="B6934" s="104"/>
    </row>
    <row r="6935" spans="1:2" x14ac:dyDescent="0.25">
      <c r="A6935" s="104"/>
      <c r="B6935" s="104"/>
    </row>
    <row r="6936" spans="1:2" x14ac:dyDescent="0.25">
      <c r="A6936" s="104"/>
      <c r="B6936" s="104"/>
    </row>
    <row r="6937" spans="1:2" x14ac:dyDescent="0.25">
      <c r="A6937" s="104"/>
      <c r="B6937" s="104"/>
    </row>
    <row r="6938" spans="1:2" x14ac:dyDescent="0.25">
      <c r="A6938" s="104"/>
      <c r="B6938" s="104"/>
    </row>
    <row r="6939" spans="1:2" x14ac:dyDescent="0.25">
      <c r="A6939" s="104"/>
      <c r="B6939" s="104"/>
    </row>
    <row r="6940" spans="1:2" x14ac:dyDescent="0.25">
      <c r="A6940" s="104"/>
      <c r="B6940" s="104"/>
    </row>
    <row r="6941" spans="1:2" x14ac:dyDescent="0.25">
      <c r="A6941" s="104"/>
      <c r="B6941" s="104"/>
    </row>
    <row r="6942" spans="1:2" x14ac:dyDescent="0.25">
      <c r="A6942" s="104"/>
      <c r="B6942" s="104"/>
    </row>
    <row r="6943" spans="1:2" x14ac:dyDescent="0.25">
      <c r="A6943" s="104"/>
      <c r="B6943" s="104"/>
    </row>
    <row r="6944" spans="1:2" x14ac:dyDescent="0.25">
      <c r="A6944" s="104"/>
      <c r="B6944" s="104"/>
    </row>
    <row r="6945" spans="1:2" x14ac:dyDescent="0.25">
      <c r="A6945" s="104"/>
      <c r="B6945" s="104"/>
    </row>
    <row r="6946" spans="1:2" x14ac:dyDescent="0.25">
      <c r="A6946" s="104"/>
      <c r="B6946" s="104"/>
    </row>
    <row r="6947" spans="1:2" x14ac:dyDescent="0.25">
      <c r="A6947" s="104"/>
      <c r="B6947" s="104"/>
    </row>
    <row r="6948" spans="1:2" x14ac:dyDescent="0.25">
      <c r="A6948" s="104"/>
      <c r="B6948" s="104"/>
    </row>
    <row r="6949" spans="1:2" x14ac:dyDescent="0.25">
      <c r="A6949" s="104"/>
      <c r="B6949" s="104"/>
    </row>
    <row r="6950" spans="1:2" x14ac:dyDescent="0.25">
      <c r="A6950" s="104"/>
      <c r="B6950" s="104"/>
    </row>
    <row r="6951" spans="1:2" x14ac:dyDescent="0.25">
      <c r="A6951" s="104"/>
      <c r="B6951" s="104"/>
    </row>
    <row r="6952" spans="1:2" x14ac:dyDescent="0.25">
      <c r="A6952" s="104"/>
      <c r="B6952" s="104"/>
    </row>
    <row r="6953" spans="1:2" x14ac:dyDescent="0.25">
      <c r="A6953" s="104"/>
      <c r="B6953" s="104"/>
    </row>
    <row r="6954" spans="1:2" x14ac:dyDescent="0.25">
      <c r="A6954" s="104"/>
      <c r="B6954" s="104"/>
    </row>
    <row r="6955" spans="1:2" x14ac:dyDescent="0.25">
      <c r="A6955" s="104"/>
      <c r="B6955" s="104"/>
    </row>
    <row r="6956" spans="1:2" x14ac:dyDescent="0.25">
      <c r="A6956" s="104"/>
      <c r="B6956" s="104"/>
    </row>
    <row r="6957" spans="1:2" x14ac:dyDescent="0.25">
      <c r="A6957" s="104"/>
      <c r="B6957" s="104"/>
    </row>
    <row r="6958" spans="1:2" x14ac:dyDescent="0.25">
      <c r="A6958" s="104"/>
      <c r="B6958" s="104"/>
    </row>
    <row r="6959" spans="1:2" x14ac:dyDescent="0.25">
      <c r="A6959" s="104"/>
      <c r="B6959" s="104"/>
    </row>
    <row r="6960" spans="1:2" x14ac:dyDescent="0.25">
      <c r="A6960" s="104"/>
      <c r="B6960" s="104"/>
    </row>
    <row r="6961" spans="1:2" x14ac:dyDescent="0.25">
      <c r="A6961" s="104"/>
      <c r="B6961" s="104"/>
    </row>
    <row r="6962" spans="1:2" x14ac:dyDescent="0.25">
      <c r="A6962" s="104"/>
      <c r="B6962" s="104"/>
    </row>
    <row r="6963" spans="1:2" x14ac:dyDescent="0.25">
      <c r="A6963" s="104"/>
      <c r="B6963" s="104"/>
    </row>
    <row r="6964" spans="1:2" x14ac:dyDescent="0.25">
      <c r="A6964" s="104"/>
      <c r="B6964" s="104"/>
    </row>
    <row r="6965" spans="1:2" x14ac:dyDescent="0.25">
      <c r="A6965" s="104"/>
      <c r="B6965" s="104"/>
    </row>
    <row r="6966" spans="1:2" x14ac:dyDescent="0.25">
      <c r="A6966" s="104"/>
      <c r="B6966" s="104"/>
    </row>
    <row r="6967" spans="1:2" x14ac:dyDescent="0.25">
      <c r="A6967" s="104"/>
      <c r="B6967" s="104"/>
    </row>
    <row r="6968" spans="1:2" x14ac:dyDescent="0.25">
      <c r="A6968" s="104"/>
      <c r="B6968" s="104"/>
    </row>
    <row r="6969" spans="1:2" x14ac:dyDescent="0.25">
      <c r="A6969" s="104"/>
      <c r="B6969" s="104"/>
    </row>
    <row r="6970" spans="1:2" x14ac:dyDescent="0.25">
      <c r="A6970" s="104"/>
      <c r="B6970" s="104"/>
    </row>
    <row r="6971" spans="1:2" x14ac:dyDescent="0.25">
      <c r="A6971" s="104"/>
      <c r="B6971" s="104"/>
    </row>
    <row r="6972" spans="1:2" x14ac:dyDescent="0.25">
      <c r="A6972" s="104"/>
      <c r="B6972" s="104"/>
    </row>
    <row r="6973" spans="1:2" x14ac:dyDescent="0.25">
      <c r="A6973" s="104"/>
      <c r="B6973" s="104"/>
    </row>
    <row r="6974" spans="1:2" x14ac:dyDescent="0.25">
      <c r="A6974" s="104"/>
      <c r="B6974" s="104"/>
    </row>
    <row r="6975" spans="1:2" x14ac:dyDescent="0.25">
      <c r="A6975" s="104"/>
      <c r="B6975" s="104"/>
    </row>
    <row r="6976" spans="1:2" x14ac:dyDescent="0.25">
      <c r="A6976" s="104"/>
      <c r="B6976" s="104"/>
    </row>
    <row r="6977" spans="1:2" x14ac:dyDescent="0.25">
      <c r="A6977" s="104"/>
      <c r="B6977" s="104"/>
    </row>
    <row r="6978" spans="1:2" x14ac:dyDescent="0.25">
      <c r="A6978" s="104"/>
      <c r="B6978" s="104"/>
    </row>
    <row r="6979" spans="1:2" x14ac:dyDescent="0.25">
      <c r="A6979" s="104"/>
      <c r="B6979" s="104"/>
    </row>
    <row r="6980" spans="1:2" x14ac:dyDescent="0.25">
      <c r="A6980" s="104"/>
      <c r="B6980" s="104"/>
    </row>
    <row r="6981" spans="1:2" x14ac:dyDescent="0.25">
      <c r="A6981" s="104"/>
      <c r="B6981" s="104"/>
    </row>
    <row r="6982" spans="1:2" x14ac:dyDescent="0.25">
      <c r="A6982" s="104"/>
      <c r="B6982" s="104"/>
    </row>
    <row r="6983" spans="1:2" x14ac:dyDescent="0.25">
      <c r="A6983" s="104"/>
      <c r="B6983" s="104"/>
    </row>
    <row r="6984" spans="1:2" x14ac:dyDescent="0.25">
      <c r="A6984" s="104"/>
      <c r="B6984" s="104"/>
    </row>
    <row r="6985" spans="1:2" x14ac:dyDescent="0.25">
      <c r="A6985" s="104"/>
      <c r="B6985" s="104"/>
    </row>
    <row r="6986" spans="1:2" x14ac:dyDescent="0.25">
      <c r="A6986" s="104"/>
      <c r="B6986" s="104"/>
    </row>
    <row r="6987" spans="1:2" x14ac:dyDescent="0.25">
      <c r="A6987" s="104"/>
      <c r="B6987" s="104"/>
    </row>
    <row r="6988" spans="1:2" x14ac:dyDescent="0.25">
      <c r="A6988" s="104"/>
      <c r="B6988" s="104"/>
    </row>
    <row r="6989" spans="1:2" x14ac:dyDescent="0.25">
      <c r="A6989" s="104"/>
      <c r="B6989" s="104"/>
    </row>
    <row r="6990" spans="1:2" x14ac:dyDescent="0.25">
      <c r="A6990" s="104"/>
      <c r="B6990" s="104"/>
    </row>
    <row r="6991" spans="1:2" x14ac:dyDescent="0.25">
      <c r="A6991" s="104"/>
      <c r="B6991" s="104"/>
    </row>
    <row r="6992" spans="1:2" x14ac:dyDescent="0.25">
      <c r="A6992" s="104"/>
      <c r="B6992" s="104"/>
    </row>
    <row r="6993" spans="1:2" x14ac:dyDescent="0.25">
      <c r="A6993" s="104"/>
      <c r="B6993" s="104"/>
    </row>
    <row r="6994" spans="1:2" x14ac:dyDescent="0.25">
      <c r="A6994" s="104"/>
      <c r="B6994" s="104"/>
    </row>
    <row r="6995" spans="1:2" x14ac:dyDescent="0.25">
      <c r="A6995" s="104"/>
      <c r="B6995" s="104"/>
    </row>
    <row r="6996" spans="1:2" x14ac:dyDescent="0.25">
      <c r="A6996" s="104"/>
      <c r="B6996" s="104"/>
    </row>
    <row r="6997" spans="1:2" x14ac:dyDescent="0.25">
      <c r="A6997" s="104"/>
      <c r="B6997" s="104"/>
    </row>
    <row r="6998" spans="1:2" x14ac:dyDescent="0.25">
      <c r="A6998" s="104"/>
      <c r="B6998" s="104"/>
    </row>
    <row r="6999" spans="1:2" x14ac:dyDescent="0.25">
      <c r="A6999" s="104"/>
      <c r="B6999" s="104"/>
    </row>
    <row r="7000" spans="1:2" x14ac:dyDescent="0.25">
      <c r="A7000" s="104"/>
      <c r="B7000" s="104"/>
    </row>
    <row r="7001" spans="1:2" x14ac:dyDescent="0.25">
      <c r="A7001" s="104"/>
      <c r="B7001" s="104"/>
    </row>
    <row r="7002" spans="1:2" x14ac:dyDescent="0.25">
      <c r="A7002" s="104"/>
      <c r="B7002" s="104"/>
    </row>
    <row r="7003" spans="1:2" x14ac:dyDescent="0.25">
      <c r="A7003" s="104"/>
      <c r="B7003" s="104"/>
    </row>
    <row r="7004" spans="1:2" x14ac:dyDescent="0.25">
      <c r="A7004" s="104"/>
      <c r="B7004" s="104"/>
    </row>
    <row r="7005" spans="1:2" x14ac:dyDescent="0.25">
      <c r="A7005" s="104"/>
      <c r="B7005" s="104"/>
    </row>
    <row r="7006" spans="1:2" x14ac:dyDescent="0.25">
      <c r="A7006" s="104"/>
      <c r="B7006" s="104"/>
    </row>
    <row r="7007" spans="1:2" x14ac:dyDescent="0.25">
      <c r="A7007" s="104"/>
      <c r="B7007" s="104"/>
    </row>
    <row r="7008" spans="1:2" x14ac:dyDescent="0.25">
      <c r="A7008" s="104"/>
      <c r="B7008" s="104"/>
    </row>
    <row r="7009" spans="1:2" x14ac:dyDescent="0.25">
      <c r="A7009" s="104"/>
      <c r="B7009" s="104"/>
    </row>
    <row r="7010" spans="1:2" x14ac:dyDescent="0.25">
      <c r="A7010" s="104"/>
      <c r="B7010" s="104"/>
    </row>
    <row r="7011" spans="1:2" x14ac:dyDescent="0.25">
      <c r="A7011" s="104"/>
      <c r="B7011" s="104"/>
    </row>
    <row r="7012" spans="1:2" x14ac:dyDescent="0.25">
      <c r="A7012" s="104"/>
      <c r="B7012" s="104"/>
    </row>
    <row r="7013" spans="1:2" x14ac:dyDescent="0.25">
      <c r="A7013" s="104"/>
      <c r="B7013" s="104"/>
    </row>
    <row r="7014" spans="1:2" x14ac:dyDescent="0.25">
      <c r="A7014" s="104"/>
      <c r="B7014" s="104"/>
    </row>
    <row r="7015" spans="1:2" x14ac:dyDescent="0.25">
      <c r="A7015" s="104"/>
      <c r="B7015" s="104"/>
    </row>
    <row r="7016" spans="1:2" x14ac:dyDescent="0.25">
      <c r="A7016" s="104"/>
      <c r="B7016" s="104"/>
    </row>
    <row r="7017" spans="1:2" x14ac:dyDescent="0.25">
      <c r="A7017" s="104"/>
      <c r="B7017" s="104"/>
    </row>
    <row r="7018" spans="1:2" x14ac:dyDescent="0.25">
      <c r="A7018" s="104"/>
      <c r="B7018" s="104"/>
    </row>
    <row r="7019" spans="1:2" x14ac:dyDescent="0.25">
      <c r="A7019" s="104"/>
      <c r="B7019" s="104"/>
    </row>
    <row r="7020" spans="1:2" x14ac:dyDescent="0.25">
      <c r="A7020" s="104"/>
      <c r="B7020" s="104"/>
    </row>
    <row r="7021" spans="1:2" x14ac:dyDescent="0.25">
      <c r="A7021" s="104"/>
      <c r="B7021" s="104"/>
    </row>
    <row r="7022" spans="1:2" x14ac:dyDescent="0.25">
      <c r="A7022" s="104"/>
      <c r="B7022" s="104"/>
    </row>
    <row r="7023" spans="1:2" x14ac:dyDescent="0.25">
      <c r="A7023" s="104"/>
      <c r="B7023" s="104"/>
    </row>
    <row r="7024" spans="1:2" x14ac:dyDescent="0.25">
      <c r="A7024" s="104"/>
      <c r="B7024" s="104"/>
    </row>
    <row r="7025" spans="1:2" x14ac:dyDescent="0.25">
      <c r="A7025" s="104"/>
      <c r="B7025" s="104"/>
    </row>
    <row r="7026" spans="1:2" x14ac:dyDescent="0.25">
      <c r="A7026" s="104"/>
      <c r="B7026" s="104"/>
    </row>
    <row r="7027" spans="1:2" x14ac:dyDescent="0.25">
      <c r="A7027" s="104"/>
      <c r="B7027" s="104"/>
    </row>
    <row r="7028" spans="1:2" x14ac:dyDescent="0.25">
      <c r="A7028" s="104"/>
      <c r="B7028" s="104"/>
    </row>
    <row r="7029" spans="1:2" x14ac:dyDescent="0.25">
      <c r="A7029" s="104"/>
      <c r="B7029" s="104"/>
    </row>
    <row r="7030" spans="1:2" x14ac:dyDescent="0.25">
      <c r="A7030" s="104"/>
      <c r="B7030" s="104"/>
    </row>
    <row r="7031" spans="1:2" x14ac:dyDescent="0.25">
      <c r="A7031" s="104"/>
      <c r="B7031" s="104"/>
    </row>
    <row r="7032" spans="1:2" x14ac:dyDescent="0.25">
      <c r="A7032" s="104"/>
      <c r="B7032" s="104"/>
    </row>
    <row r="7033" spans="1:2" x14ac:dyDescent="0.25">
      <c r="A7033" s="104"/>
      <c r="B7033" s="104"/>
    </row>
    <row r="7034" spans="1:2" x14ac:dyDescent="0.25">
      <c r="A7034" s="104"/>
      <c r="B7034" s="104"/>
    </row>
    <row r="7035" spans="1:2" x14ac:dyDescent="0.25">
      <c r="A7035" s="104"/>
      <c r="B7035" s="104"/>
    </row>
    <row r="7036" spans="1:2" x14ac:dyDescent="0.25">
      <c r="A7036" s="104"/>
      <c r="B7036" s="104"/>
    </row>
    <row r="7037" spans="1:2" x14ac:dyDescent="0.25">
      <c r="A7037" s="104"/>
      <c r="B7037" s="104"/>
    </row>
    <row r="7038" spans="1:2" x14ac:dyDescent="0.25">
      <c r="A7038" s="104"/>
      <c r="B7038" s="104"/>
    </row>
    <row r="7039" spans="1:2" x14ac:dyDescent="0.25">
      <c r="A7039" s="104"/>
      <c r="B7039" s="104"/>
    </row>
    <row r="7040" spans="1:2" x14ac:dyDescent="0.25">
      <c r="A7040" s="104"/>
      <c r="B7040" s="104"/>
    </row>
    <row r="7041" spans="1:2" x14ac:dyDescent="0.25">
      <c r="A7041" s="104"/>
      <c r="B7041" s="104"/>
    </row>
    <row r="7042" spans="1:2" x14ac:dyDescent="0.25">
      <c r="A7042" s="104"/>
      <c r="B7042" s="104"/>
    </row>
    <row r="7043" spans="1:2" x14ac:dyDescent="0.25">
      <c r="A7043" s="104"/>
      <c r="B7043" s="104"/>
    </row>
    <row r="7044" spans="1:2" x14ac:dyDescent="0.25">
      <c r="A7044" s="104"/>
      <c r="B7044" s="104"/>
    </row>
    <row r="7045" spans="1:2" x14ac:dyDescent="0.25">
      <c r="A7045" s="104"/>
      <c r="B7045" s="104"/>
    </row>
    <row r="7046" spans="1:2" x14ac:dyDescent="0.25">
      <c r="A7046" s="104"/>
      <c r="B7046" s="104"/>
    </row>
    <row r="7047" spans="1:2" x14ac:dyDescent="0.25">
      <c r="A7047" s="104"/>
      <c r="B7047" s="104"/>
    </row>
    <row r="7048" spans="1:2" x14ac:dyDescent="0.25">
      <c r="A7048" s="104"/>
      <c r="B7048" s="104"/>
    </row>
    <row r="7049" spans="1:2" x14ac:dyDescent="0.25">
      <c r="A7049" s="104"/>
      <c r="B7049" s="104"/>
    </row>
    <row r="7050" spans="1:2" x14ac:dyDescent="0.25">
      <c r="A7050" s="104"/>
      <c r="B7050" s="104"/>
    </row>
    <row r="7051" spans="1:2" x14ac:dyDescent="0.25">
      <c r="A7051" s="104"/>
      <c r="B7051" s="104"/>
    </row>
    <row r="7052" spans="1:2" x14ac:dyDescent="0.25">
      <c r="A7052" s="104"/>
      <c r="B7052" s="104"/>
    </row>
    <row r="7053" spans="1:2" x14ac:dyDescent="0.25">
      <c r="A7053" s="104"/>
      <c r="B7053" s="104"/>
    </row>
    <row r="7054" spans="1:2" x14ac:dyDescent="0.25">
      <c r="A7054" s="104"/>
      <c r="B7054" s="104"/>
    </row>
    <row r="7055" spans="1:2" x14ac:dyDescent="0.25">
      <c r="A7055" s="104"/>
      <c r="B7055" s="104"/>
    </row>
    <row r="7056" spans="1:2" x14ac:dyDescent="0.25">
      <c r="A7056" s="104"/>
      <c r="B7056" s="104"/>
    </row>
    <row r="7057" spans="1:2" x14ac:dyDescent="0.25">
      <c r="A7057" s="104"/>
      <c r="B7057" s="104"/>
    </row>
    <row r="7058" spans="1:2" x14ac:dyDescent="0.25">
      <c r="A7058" s="104"/>
      <c r="B7058" s="104"/>
    </row>
    <row r="7059" spans="1:2" x14ac:dyDescent="0.25">
      <c r="A7059" s="104"/>
      <c r="B7059" s="104"/>
    </row>
    <row r="7060" spans="1:2" x14ac:dyDescent="0.25">
      <c r="A7060" s="104"/>
      <c r="B7060" s="104"/>
    </row>
    <row r="7061" spans="1:2" x14ac:dyDescent="0.25">
      <c r="A7061" s="104"/>
      <c r="B7061" s="104"/>
    </row>
    <row r="7062" spans="1:2" x14ac:dyDescent="0.25">
      <c r="A7062" s="104"/>
      <c r="B7062" s="104"/>
    </row>
    <row r="7063" spans="1:2" x14ac:dyDescent="0.25">
      <c r="A7063" s="104"/>
      <c r="B7063" s="104"/>
    </row>
    <row r="7064" spans="1:2" x14ac:dyDescent="0.25">
      <c r="A7064" s="104"/>
      <c r="B7064" s="104"/>
    </row>
    <row r="7065" spans="1:2" x14ac:dyDescent="0.25">
      <c r="A7065" s="104"/>
      <c r="B7065" s="104"/>
    </row>
    <row r="7066" spans="1:2" x14ac:dyDescent="0.25">
      <c r="A7066" s="104"/>
      <c r="B7066" s="104"/>
    </row>
    <row r="7067" spans="1:2" x14ac:dyDescent="0.25">
      <c r="A7067" s="104"/>
      <c r="B7067" s="104"/>
    </row>
    <row r="7068" spans="1:2" x14ac:dyDescent="0.25">
      <c r="A7068" s="104"/>
      <c r="B7068" s="104"/>
    </row>
    <row r="7069" spans="1:2" x14ac:dyDescent="0.25">
      <c r="A7069" s="104"/>
      <c r="B7069" s="104"/>
    </row>
    <row r="7070" spans="1:2" x14ac:dyDescent="0.25">
      <c r="A7070" s="104"/>
      <c r="B7070" s="104"/>
    </row>
    <row r="7071" spans="1:2" x14ac:dyDescent="0.25">
      <c r="A7071" s="104"/>
      <c r="B7071" s="104"/>
    </row>
    <row r="7072" spans="1:2" x14ac:dyDescent="0.25">
      <c r="A7072" s="104"/>
      <c r="B7072" s="104"/>
    </row>
    <row r="7073" spans="1:2" x14ac:dyDescent="0.25">
      <c r="A7073" s="104"/>
      <c r="B7073" s="104"/>
    </row>
    <row r="7074" spans="1:2" x14ac:dyDescent="0.25">
      <c r="A7074" s="104"/>
      <c r="B7074" s="104"/>
    </row>
    <row r="7075" spans="1:2" x14ac:dyDescent="0.25">
      <c r="A7075" s="104"/>
      <c r="B7075" s="104"/>
    </row>
    <row r="7076" spans="1:2" x14ac:dyDescent="0.25">
      <c r="A7076" s="104"/>
      <c r="B7076" s="104"/>
    </row>
    <row r="7077" spans="1:2" x14ac:dyDescent="0.25">
      <c r="A7077" s="104"/>
      <c r="B7077" s="104"/>
    </row>
    <row r="7078" spans="1:2" x14ac:dyDescent="0.25">
      <c r="A7078" s="104"/>
      <c r="B7078" s="104"/>
    </row>
    <row r="7079" spans="1:2" x14ac:dyDescent="0.25">
      <c r="A7079" s="104"/>
      <c r="B7079" s="104"/>
    </row>
    <row r="7080" spans="1:2" x14ac:dyDescent="0.25">
      <c r="A7080" s="104"/>
      <c r="B7080" s="104"/>
    </row>
    <row r="7081" spans="1:2" x14ac:dyDescent="0.25">
      <c r="A7081" s="104"/>
      <c r="B7081" s="104"/>
    </row>
    <row r="7082" spans="1:2" x14ac:dyDescent="0.25">
      <c r="A7082" s="104"/>
      <c r="B7082" s="104"/>
    </row>
    <row r="7083" spans="1:2" x14ac:dyDescent="0.25">
      <c r="A7083" s="104"/>
      <c r="B7083" s="104"/>
    </row>
    <row r="7084" spans="1:2" x14ac:dyDescent="0.25">
      <c r="A7084" s="104"/>
      <c r="B7084" s="104"/>
    </row>
    <row r="7085" spans="1:2" x14ac:dyDescent="0.25">
      <c r="A7085" s="104"/>
      <c r="B7085" s="104"/>
    </row>
    <row r="7086" spans="1:2" x14ac:dyDescent="0.25">
      <c r="A7086" s="104"/>
      <c r="B7086" s="104"/>
    </row>
    <row r="7087" spans="1:2" x14ac:dyDescent="0.25">
      <c r="A7087" s="104"/>
      <c r="B7087" s="104"/>
    </row>
    <row r="7088" spans="1:2" x14ac:dyDescent="0.25">
      <c r="A7088" s="104"/>
      <c r="B7088" s="104"/>
    </row>
    <row r="7089" spans="1:2" x14ac:dyDescent="0.25">
      <c r="A7089" s="104"/>
      <c r="B7089" s="104"/>
    </row>
    <row r="7090" spans="1:2" x14ac:dyDescent="0.25">
      <c r="A7090" s="104"/>
      <c r="B7090" s="104"/>
    </row>
    <row r="7091" spans="1:2" x14ac:dyDescent="0.25">
      <c r="A7091" s="104"/>
      <c r="B7091" s="104"/>
    </row>
    <row r="7092" spans="1:2" x14ac:dyDescent="0.25">
      <c r="A7092" s="104"/>
      <c r="B7092" s="104"/>
    </row>
    <row r="7093" spans="1:2" x14ac:dyDescent="0.25">
      <c r="A7093" s="104"/>
      <c r="B7093" s="104"/>
    </row>
    <row r="7094" spans="1:2" x14ac:dyDescent="0.25">
      <c r="A7094" s="104"/>
      <c r="B7094" s="104"/>
    </row>
    <row r="7095" spans="1:2" x14ac:dyDescent="0.25">
      <c r="A7095" s="104"/>
      <c r="B7095" s="104"/>
    </row>
    <row r="7096" spans="1:2" x14ac:dyDescent="0.25">
      <c r="A7096" s="104"/>
      <c r="B7096" s="104"/>
    </row>
    <row r="7097" spans="1:2" x14ac:dyDescent="0.25">
      <c r="A7097" s="104"/>
      <c r="B7097" s="104"/>
    </row>
    <row r="7098" spans="1:2" x14ac:dyDescent="0.25">
      <c r="A7098" s="104"/>
      <c r="B7098" s="104"/>
    </row>
    <row r="7099" spans="1:2" x14ac:dyDescent="0.25">
      <c r="A7099" s="104"/>
      <c r="B7099" s="104"/>
    </row>
    <row r="7100" spans="1:2" x14ac:dyDescent="0.25">
      <c r="A7100" s="104"/>
      <c r="B7100" s="104"/>
    </row>
    <row r="7101" spans="1:2" x14ac:dyDescent="0.25">
      <c r="A7101" s="104"/>
      <c r="B7101" s="104"/>
    </row>
    <row r="7102" spans="1:2" x14ac:dyDescent="0.25">
      <c r="A7102" s="104"/>
      <c r="B7102" s="104"/>
    </row>
    <row r="7103" spans="1:2" x14ac:dyDescent="0.25">
      <c r="A7103" s="104"/>
      <c r="B7103" s="104"/>
    </row>
    <row r="7104" spans="1:2" x14ac:dyDescent="0.25">
      <c r="A7104" s="104"/>
      <c r="B7104" s="104"/>
    </row>
    <row r="7105" spans="1:2" x14ac:dyDescent="0.25">
      <c r="A7105" s="104"/>
      <c r="B7105" s="104"/>
    </row>
    <row r="7106" spans="1:2" x14ac:dyDescent="0.25">
      <c r="A7106" s="104"/>
      <c r="B7106" s="104"/>
    </row>
    <row r="7107" spans="1:2" x14ac:dyDescent="0.25">
      <c r="A7107" s="104"/>
      <c r="B7107" s="104"/>
    </row>
    <row r="7108" spans="1:2" x14ac:dyDescent="0.25">
      <c r="A7108" s="104"/>
      <c r="B7108" s="104"/>
    </row>
    <row r="7109" spans="1:2" x14ac:dyDescent="0.25">
      <c r="A7109" s="104"/>
      <c r="B7109" s="104"/>
    </row>
    <row r="7110" spans="1:2" x14ac:dyDescent="0.25">
      <c r="A7110" s="104"/>
      <c r="B7110" s="104"/>
    </row>
    <row r="7111" spans="1:2" x14ac:dyDescent="0.25">
      <c r="A7111" s="104"/>
      <c r="B7111" s="104"/>
    </row>
    <row r="7112" spans="1:2" x14ac:dyDescent="0.25">
      <c r="A7112" s="104"/>
      <c r="B7112" s="104"/>
    </row>
    <row r="7113" spans="1:2" x14ac:dyDescent="0.25">
      <c r="A7113" s="104"/>
      <c r="B7113" s="104"/>
    </row>
    <row r="7114" spans="1:2" x14ac:dyDescent="0.25">
      <c r="A7114" s="104"/>
      <c r="B7114" s="104"/>
    </row>
    <row r="7115" spans="1:2" x14ac:dyDescent="0.25">
      <c r="A7115" s="104"/>
      <c r="B7115" s="104"/>
    </row>
    <row r="7116" spans="1:2" x14ac:dyDescent="0.25">
      <c r="A7116" s="104"/>
      <c r="B7116" s="104"/>
    </row>
    <row r="7117" spans="1:2" x14ac:dyDescent="0.25">
      <c r="A7117" s="104"/>
      <c r="B7117" s="104"/>
    </row>
    <row r="7118" spans="1:2" x14ac:dyDescent="0.25">
      <c r="A7118" s="104"/>
      <c r="B7118" s="104"/>
    </row>
    <row r="7119" spans="1:2" x14ac:dyDescent="0.25">
      <c r="A7119" s="104"/>
      <c r="B7119" s="104"/>
    </row>
    <row r="7120" spans="1:2" x14ac:dyDescent="0.25">
      <c r="A7120" s="104"/>
      <c r="B7120" s="104"/>
    </row>
    <row r="7121" spans="1:2" x14ac:dyDescent="0.25">
      <c r="A7121" s="104"/>
      <c r="B7121" s="104"/>
    </row>
    <row r="7122" spans="1:2" x14ac:dyDescent="0.25">
      <c r="A7122" s="104"/>
      <c r="B7122" s="104"/>
    </row>
    <row r="7123" spans="1:2" x14ac:dyDescent="0.25">
      <c r="A7123" s="104"/>
      <c r="B7123" s="104"/>
    </row>
    <row r="7124" spans="1:2" x14ac:dyDescent="0.25">
      <c r="A7124" s="104"/>
      <c r="B7124" s="104"/>
    </row>
    <row r="7125" spans="1:2" x14ac:dyDescent="0.25">
      <c r="A7125" s="104"/>
      <c r="B7125" s="104"/>
    </row>
    <row r="7126" spans="1:2" x14ac:dyDescent="0.25">
      <c r="A7126" s="104"/>
      <c r="B7126" s="104"/>
    </row>
    <row r="7127" spans="1:2" x14ac:dyDescent="0.25">
      <c r="A7127" s="104"/>
      <c r="B7127" s="104"/>
    </row>
    <row r="7128" spans="1:2" x14ac:dyDescent="0.25">
      <c r="A7128" s="104"/>
      <c r="B7128" s="104"/>
    </row>
    <row r="7129" spans="1:2" x14ac:dyDescent="0.25">
      <c r="A7129" s="104"/>
      <c r="B7129" s="104"/>
    </row>
    <row r="7130" spans="1:2" x14ac:dyDescent="0.25">
      <c r="A7130" s="104"/>
      <c r="B7130" s="104"/>
    </row>
    <row r="7131" spans="1:2" x14ac:dyDescent="0.25">
      <c r="A7131" s="104"/>
      <c r="B7131" s="104"/>
    </row>
    <row r="7132" spans="1:2" x14ac:dyDescent="0.25">
      <c r="A7132" s="104"/>
      <c r="B7132" s="104"/>
    </row>
    <row r="7133" spans="1:2" x14ac:dyDescent="0.25">
      <c r="A7133" s="104"/>
      <c r="B7133" s="104"/>
    </row>
    <row r="7134" spans="1:2" x14ac:dyDescent="0.25">
      <c r="A7134" s="104"/>
      <c r="B7134" s="104"/>
    </row>
    <row r="7135" spans="1:2" x14ac:dyDescent="0.25">
      <c r="A7135" s="104"/>
      <c r="B7135" s="104"/>
    </row>
    <row r="7136" spans="1:2" x14ac:dyDescent="0.25">
      <c r="A7136" s="104"/>
      <c r="B7136" s="104"/>
    </row>
    <row r="7137" spans="1:2" x14ac:dyDescent="0.25">
      <c r="A7137" s="104"/>
      <c r="B7137" s="104"/>
    </row>
    <row r="7138" spans="1:2" x14ac:dyDescent="0.25">
      <c r="A7138" s="104"/>
      <c r="B7138" s="104"/>
    </row>
    <row r="7139" spans="1:2" x14ac:dyDescent="0.25">
      <c r="A7139" s="104"/>
      <c r="B7139" s="104"/>
    </row>
    <row r="7140" spans="1:2" x14ac:dyDescent="0.25">
      <c r="A7140" s="104"/>
      <c r="B7140" s="104"/>
    </row>
    <row r="7141" spans="1:2" x14ac:dyDescent="0.25">
      <c r="A7141" s="104"/>
      <c r="B7141" s="104"/>
    </row>
    <row r="7142" spans="1:2" x14ac:dyDescent="0.25">
      <c r="A7142" s="104"/>
      <c r="B7142" s="104"/>
    </row>
    <row r="7143" spans="1:2" x14ac:dyDescent="0.25">
      <c r="A7143" s="104"/>
      <c r="B7143" s="104"/>
    </row>
    <row r="7144" spans="1:2" x14ac:dyDescent="0.25">
      <c r="A7144" s="104"/>
      <c r="B7144" s="104"/>
    </row>
    <row r="7145" spans="1:2" x14ac:dyDescent="0.25">
      <c r="A7145" s="104"/>
      <c r="B7145" s="104"/>
    </row>
    <row r="7146" spans="1:2" x14ac:dyDescent="0.25">
      <c r="A7146" s="104"/>
      <c r="B7146" s="104"/>
    </row>
    <row r="7147" spans="1:2" x14ac:dyDescent="0.25">
      <c r="A7147" s="104"/>
      <c r="B7147" s="104"/>
    </row>
    <row r="7148" spans="1:2" x14ac:dyDescent="0.25">
      <c r="A7148" s="104"/>
      <c r="B7148" s="104"/>
    </row>
    <row r="7149" spans="1:2" x14ac:dyDescent="0.25">
      <c r="A7149" s="104"/>
      <c r="B7149" s="104"/>
    </row>
    <row r="7150" spans="1:2" x14ac:dyDescent="0.25">
      <c r="A7150" s="104"/>
      <c r="B7150" s="104"/>
    </row>
    <row r="7151" spans="1:2" x14ac:dyDescent="0.25">
      <c r="A7151" s="104"/>
      <c r="B7151" s="104"/>
    </row>
    <row r="7152" spans="1:2" x14ac:dyDescent="0.25">
      <c r="A7152" s="104"/>
      <c r="B7152" s="104"/>
    </row>
    <row r="7153" spans="1:2" x14ac:dyDescent="0.25">
      <c r="A7153" s="104"/>
      <c r="B7153" s="104"/>
    </row>
    <row r="7154" spans="1:2" x14ac:dyDescent="0.25">
      <c r="A7154" s="104"/>
      <c r="B7154" s="104"/>
    </row>
    <row r="7155" spans="1:2" x14ac:dyDescent="0.25">
      <c r="A7155" s="104"/>
      <c r="B7155" s="104"/>
    </row>
    <row r="7156" spans="1:2" x14ac:dyDescent="0.25">
      <c r="A7156" s="104"/>
      <c r="B7156" s="104"/>
    </row>
    <row r="7157" spans="1:2" x14ac:dyDescent="0.25">
      <c r="A7157" s="104"/>
      <c r="B7157" s="104"/>
    </row>
    <row r="7158" spans="1:2" x14ac:dyDescent="0.25">
      <c r="A7158" s="104"/>
      <c r="B7158" s="104"/>
    </row>
    <row r="7159" spans="1:2" x14ac:dyDescent="0.25">
      <c r="A7159" s="104"/>
      <c r="B7159" s="104"/>
    </row>
    <row r="7160" spans="1:2" x14ac:dyDescent="0.25">
      <c r="A7160" s="104"/>
      <c r="B7160" s="104"/>
    </row>
    <row r="7161" spans="1:2" x14ac:dyDescent="0.25">
      <c r="A7161" s="104"/>
      <c r="B7161" s="104"/>
    </row>
    <row r="7162" spans="1:2" x14ac:dyDescent="0.25">
      <c r="A7162" s="104"/>
      <c r="B7162" s="104"/>
    </row>
    <row r="7163" spans="1:2" x14ac:dyDescent="0.25">
      <c r="A7163" s="104"/>
      <c r="B7163" s="104"/>
    </row>
    <row r="7164" spans="1:2" x14ac:dyDescent="0.25">
      <c r="A7164" s="104"/>
      <c r="B7164" s="104"/>
    </row>
    <row r="7165" spans="1:2" x14ac:dyDescent="0.25">
      <c r="A7165" s="104"/>
      <c r="B7165" s="104"/>
    </row>
    <row r="7166" spans="1:2" x14ac:dyDescent="0.25">
      <c r="A7166" s="104"/>
      <c r="B7166" s="104"/>
    </row>
    <row r="7167" spans="1:2" x14ac:dyDescent="0.25">
      <c r="A7167" s="104"/>
      <c r="B7167" s="104"/>
    </row>
    <row r="7168" spans="1:2" x14ac:dyDescent="0.25">
      <c r="A7168" s="104"/>
      <c r="B7168" s="104"/>
    </row>
    <row r="7169" spans="1:2" x14ac:dyDescent="0.25">
      <c r="A7169" s="104"/>
      <c r="B7169" s="104"/>
    </row>
    <row r="7170" spans="1:2" x14ac:dyDescent="0.25">
      <c r="A7170" s="104"/>
      <c r="B7170" s="104"/>
    </row>
    <row r="7171" spans="1:2" x14ac:dyDescent="0.25">
      <c r="A7171" s="104"/>
      <c r="B7171" s="104"/>
    </row>
    <row r="7172" spans="1:2" x14ac:dyDescent="0.25">
      <c r="A7172" s="104"/>
      <c r="B7172" s="104"/>
    </row>
    <row r="7173" spans="1:2" x14ac:dyDescent="0.25">
      <c r="A7173" s="104"/>
      <c r="B7173" s="104"/>
    </row>
    <row r="7174" spans="1:2" x14ac:dyDescent="0.25">
      <c r="A7174" s="104"/>
      <c r="B7174" s="104"/>
    </row>
    <row r="7175" spans="1:2" x14ac:dyDescent="0.25">
      <c r="A7175" s="104"/>
      <c r="B7175" s="104"/>
    </row>
    <row r="7176" spans="1:2" x14ac:dyDescent="0.25">
      <c r="A7176" s="104"/>
      <c r="B7176" s="104"/>
    </row>
    <row r="7177" spans="1:2" x14ac:dyDescent="0.25">
      <c r="A7177" s="104"/>
      <c r="B7177" s="104"/>
    </row>
    <row r="7178" spans="1:2" x14ac:dyDescent="0.25">
      <c r="A7178" s="104"/>
      <c r="B7178" s="104"/>
    </row>
    <row r="7179" spans="1:2" x14ac:dyDescent="0.25">
      <c r="A7179" s="104"/>
      <c r="B7179" s="104"/>
    </row>
    <row r="7180" spans="1:2" x14ac:dyDescent="0.25">
      <c r="A7180" s="104"/>
      <c r="B7180" s="104"/>
    </row>
    <row r="7181" spans="1:2" x14ac:dyDescent="0.25">
      <c r="A7181" s="104"/>
      <c r="B7181" s="104"/>
    </row>
    <row r="7182" spans="1:2" x14ac:dyDescent="0.25">
      <c r="A7182" s="104"/>
      <c r="B7182" s="104"/>
    </row>
    <row r="7183" spans="1:2" x14ac:dyDescent="0.25">
      <c r="A7183" s="104"/>
      <c r="B7183" s="104"/>
    </row>
    <row r="7184" spans="1:2" x14ac:dyDescent="0.25">
      <c r="A7184" s="104"/>
      <c r="B7184" s="104"/>
    </row>
    <row r="7185" spans="1:2" x14ac:dyDescent="0.25">
      <c r="A7185" s="104"/>
      <c r="B7185" s="104"/>
    </row>
    <row r="7186" spans="1:2" x14ac:dyDescent="0.25">
      <c r="A7186" s="104"/>
      <c r="B7186" s="104"/>
    </row>
    <row r="7187" spans="1:2" x14ac:dyDescent="0.25">
      <c r="A7187" s="104"/>
      <c r="B7187" s="104"/>
    </row>
    <row r="7188" spans="1:2" x14ac:dyDescent="0.25">
      <c r="A7188" s="104"/>
      <c r="B7188" s="104"/>
    </row>
    <row r="7189" spans="1:2" x14ac:dyDescent="0.25">
      <c r="A7189" s="104"/>
      <c r="B7189" s="104"/>
    </row>
    <row r="7190" spans="1:2" x14ac:dyDescent="0.25">
      <c r="A7190" s="104"/>
      <c r="B7190" s="104"/>
    </row>
    <row r="7191" spans="1:2" x14ac:dyDescent="0.25">
      <c r="A7191" s="104"/>
      <c r="B7191" s="104"/>
    </row>
    <row r="7192" spans="1:2" x14ac:dyDescent="0.25">
      <c r="A7192" s="104"/>
      <c r="B7192" s="104"/>
    </row>
    <row r="7193" spans="1:2" x14ac:dyDescent="0.25">
      <c r="A7193" s="104"/>
      <c r="B7193" s="104"/>
    </row>
    <row r="7194" spans="1:2" x14ac:dyDescent="0.25">
      <c r="A7194" s="104"/>
      <c r="B7194" s="104"/>
    </row>
    <row r="7195" spans="1:2" x14ac:dyDescent="0.25">
      <c r="A7195" s="104"/>
      <c r="B7195" s="104"/>
    </row>
    <row r="7196" spans="1:2" x14ac:dyDescent="0.25">
      <c r="A7196" s="104"/>
      <c r="B7196" s="104"/>
    </row>
    <row r="7197" spans="1:2" x14ac:dyDescent="0.25">
      <c r="A7197" s="104"/>
      <c r="B7197" s="104"/>
    </row>
    <row r="7198" spans="1:2" x14ac:dyDescent="0.25">
      <c r="A7198" s="104"/>
      <c r="B7198" s="104"/>
    </row>
    <row r="7199" spans="1:2" x14ac:dyDescent="0.25">
      <c r="A7199" s="104"/>
      <c r="B7199" s="104"/>
    </row>
    <row r="7200" spans="1:2" x14ac:dyDescent="0.25">
      <c r="A7200" s="104"/>
      <c r="B7200" s="104"/>
    </row>
    <row r="7201" spans="1:2" x14ac:dyDescent="0.25">
      <c r="A7201" s="104"/>
      <c r="B7201" s="104"/>
    </row>
    <row r="7202" spans="1:2" x14ac:dyDescent="0.25">
      <c r="A7202" s="104"/>
      <c r="B7202" s="104"/>
    </row>
    <row r="7203" spans="1:2" x14ac:dyDescent="0.25">
      <c r="A7203" s="104"/>
      <c r="B7203" s="104"/>
    </row>
    <row r="7204" spans="1:2" x14ac:dyDescent="0.25">
      <c r="A7204" s="104"/>
      <c r="B7204" s="104"/>
    </row>
    <row r="7205" spans="1:2" x14ac:dyDescent="0.25">
      <c r="A7205" s="104"/>
      <c r="B7205" s="104"/>
    </row>
    <row r="7206" spans="1:2" x14ac:dyDescent="0.25">
      <c r="A7206" s="104"/>
      <c r="B7206" s="104"/>
    </row>
    <row r="7207" spans="1:2" x14ac:dyDescent="0.25">
      <c r="A7207" s="104"/>
      <c r="B7207" s="104"/>
    </row>
    <row r="7208" spans="1:2" x14ac:dyDescent="0.25">
      <c r="A7208" s="104"/>
      <c r="B7208" s="104"/>
    </row>
    <row r="7209" spans="1:2" x14ac:dyDescent="0.25">
      <c r="A7209" s="104"/>
      <c r="B7209" s="104"/>
    </row>
    <row r="7210" spans="1:2" x14ac:dyDescent="0.25">
      <c r="A7210" s="104"/>
      <c r="B7210" s="104"/>
    </row>
    <row r="7211" spans="1:2" x14ac:dyDescent="0.25">
      <c r="A7211" s="104"/>
      <c r="B7211" s="104"/>
    </row>
    <row r="7212" spans="1:2" x14ac:dyDescent="0.25">
      <c r="A7212" s="104"/>
      <c r="B7212" s="104"/>
    </row>
    <row r="7213" spans="1:2" x14ac:dyDescent="0.25">
      <c r="A7213" s="104"/>
      <c r="B7213" s="104"/>
    </row>
    <row r="7214" spans="1:2" x14ac:dyDescent="0.25">
      <c r="A7214" s="104"/>
      <c r="B7214" s="104"/>
    </row>
    <row r="7215" spans="1:2" x14ac:dyDescent="0.25">
      <c r="A7215" s="104"/>
      <c r="B7215" s="104"/>
    </row>
    <row r="7216" spans="1:2" x14ac:dyDescent="0.25">
      <c r="A7216" s="104"/>
      <c r="B7216" s="104"/>
    </row>
    <row r="7217" spans="1:2" x14ac:dyDescent="0.25">
      <c r="A7217" s="104"/>
      <c r="B7217" s="104"/>
    </row>
    <row r="7218" spans="1:2" x14ac:dyDescent="0.25">
      <c r="A7218" s="104"/>
      <c r="B7218" s="104"/>
    </row>
    <row r="7219" spans="1:2" x14ac:dyDescent="0.25">
      <c r="A7219" s="104"/>
      <c r="B7219" s="104"/>
    </row>
    <row r="7220" spans="1:2" x14ac:dyDescent="0.25">
      <c r="A7220" s="104"/>
      <c r="B7220" s="104"/>
    </row>
    <row r="7221" spans="1:2" x14ac:dyDescent="0.25">
      <c r="A7221" s="104"/>
      <c r="B7221" s="104"/>
    </row>
    <row r="7222" spans="1:2" x14ac:dyDescent="0.25">
      <c r="A7222" s="104"/>
      <c r="B7222" s="104"/>
    </row>
    <row r="7223" spans="1:2" x14ac:dyDescent="0.25">
      <c r="A7223" s="104"/>
      <c r="B7223" s="104"/>
    </row>
    <row r="7224" spans="1:2" x14ac:dyDescent="0.25">
      <c r="A7224" s="104"/>
      <c r="B7224" s="104"/>
    </row>
    <row r="7225" spans="1:2" x14ac:dyDescent="0.25">
      <c r="A7225" s="104"/>
      <c r="B7225" s="104"/>
    </row>
    <row r="7226" spans="1:2" x14ac:dyDescent="0.25">
      <c r="A7226" s="104"/>
      <c r="B7226" s="104"/>
    </row>
    <row r="7227" spans="1:2" x14ac:dyDescent="0.25">
      <c r="A7227" s="104"/>
      <c r="B7227" s="104"/>
    </row>
    <row r="7228" spans="1:2" x14ac:dyDescent="0.25">
      <c r="A7228" s="104"/>
      <c r="B7228" s="104"/>
    </row>
    <row r="7229" spans="1:2" x14ac:dyDescent="0.25">
      <c r="A7229" s="104"/>
      <c r="B7229" s="104"/>
    </row>
    <row r="7230" spans="1:2" x14ac:dyDescent="0.25">
      <c r="A7230" s="104"/>
      <c r="B7230" s="104"/>
    </row>
    <row r="7231" spans="1:2" x14ac:dyDescent="0.25">
      <c r="A7231" s="104"/>
      <c r="B7231" s="104"/>
    </row>
    <row r="7232" spans="1:2" x14ac:dyDescent="0.25">
      <c r="A7232" s="104"/>
      <c r="B7232" s="104"/>
    </row>
    <row r="7233" spans="1:2" x14ac:dyDescent="0.25">
      <c r="A7233" s="104"/>
      <c r="B7233" s="104"/>
    </row>
    <row r="7234" spans="1:2" x14ac:dyDescent="0.25">
      <c r="A7234" s="104"/>
      <c r="B7234" s="104"/>
    </row>
    <row r="7235" spans="1:2" x14ac:dyDescent="0.25">
      <c r="A7235" s="104"/>
      <c r="B7235" s="104"/>
    </row>
    <row r="7236" spans="1:2" x14ac:dyDescent="0.25">
      <c r="A7236" s="104"/>
      <c r="B7236" s="104"/>
    </row>
    <row r="7237" spans="1:2" x14ac:dyDescent="0.25">
      <c r="A7237" s="104"/>
      <c r="B7237" s="104"/>
    </row>
    <row r="7238" spans="1:2" x14ac:dyDescent="0.25">
      <c r="A7238" s="104"/>
      <c r="B7238" s="104"/>
    </row>
    <row r="7239" spans="1:2" x14ac:dyDescent="0.25">
      <c r="A7239" s="104"/>
      <c r="B7239" s="104"/>
    </row>
    <row r="7240" spans="1:2" x14ac:dyDescent="0.25">
      <c r="A7240" s="104"/>
      <c r="B7240" s="104"/>
    </row>
    <row r="7241" spans="1:2" x14ac:dyDescent="0.25">
      <c r="A7241" s="104"/>
      <c r="B7241" s="104"/>
    </row>
    <row r="7242" spans="1:2" x14ac:dyDescent="0.25">
      <c r="A7242" s="104"/>
      <c r="B7242" s="104"/>
    </row>
    <row r="7243" spans="1:2" x14ac:dyDescent="0.25">
      <c r="A7243" s="104"/>
      <c r="B7243" s="104"/>
    </row>
    <row r="7244" spans="1:2" x14ac:dyDescent="0.25">
      <c r="A7244" s="104"/>
      <c r="B7244" s="104"/>
    </row>
    <row r="7245" spans="1:2" x14ac:dyDescent="0.25">
      <c r="A7245" s="104"/>
      <c r="B7245" s="104"/>
    </row>
    <row r="7246" spans="1:2" x14ac:dyDescent="0.25">
      <c r="A7246" s="104"/>
      <c r="B7246" s="104"/>
    </row>
    <row r="7247" spans="1:2" x14ac:dyDescent="0.25">
      <c r="A7247" s="104"/>
      <c r="B7247" s="104"/>
    </row>
    <row r="7248" spans="1:2" x14ac:dyDescent="0.25">
      <c r="A7248" s="104"/>
      <c r="B7248" s="104"/>
    </row>
    <row r="7249" spans="1:2" x14ac:dyDescent="0.25">
      <c r="A7249" s="104"/>
      <c r="B7249" s="104"/>
    </row>
    <row r="7250" spans="1:2" x14ac:dyDescent="0.25">
      <c r="A7250" s="104"/>
      <c r="B7250" s="104"/>
    </row>
    <row r="7251" spans="1:2" x14ac:dyDescent="0.25">
      <c r="A7251" s="104"/>
      <c r="B7251" s="104"/>
    </row>
    <row r="7252" spans="1:2" x14ac:dyDescent="0.25">
      <c r="A7252" s="104"/>
      <c r="B7252" s="104"/>
    </row>
    <row r="7253" spans="1:2" x14ac:dyDescent="0.25">
      <c r="A7253" s="104"/>
      <c r="B7253" s="104"/>
    </row>
    <row r="7254" spans="1:2" x14ac:dyDescent="0.25">
      <c r="A7254" s="104"/>
      <c r="B7254" s="104"/>
    </row>
    <row r="7255" spans="1:2" x14ac:dyDescent="0.25">
      <c r="A7255" s="104"/>
      <c r="B7255" s="104"/>
    </row>
    <row r="7256" spans="1:2" x14ac:dyDescent="0.25">
      <c r="A7256" s="104"/>
      <c r="B7256" s="104"/>
    </row>
    <row r="7257" spans="1:2" x14ac:dyDescent="0.25">
      <c r="A7257" s="104"/>
      <c r="B7257" s="104"/>
    </row>
    <row r="7258" spans="1:2" x14ac:dyDescent="0.25">
      <c r="A7258" s="104"/>
      <c r="B7258" s="104"/>
    </row>
    <row r="7259" spans="1:2" x14ac:dyDescent="0.25">
      <c r="A7259" s="104"/>
      <c r="B7259" s="104"/>
    </row>
    <row r="7260" spans="1:2" x14ac:dyDescent="0.25">
      <c r="A7260" s="104"/>
      <c r="B7260" s="104"/>
    </row>
    <row r="7261" spans="1:2" x14ac:dyDescent="0.25">
      <c r="A7261" s="104"/>
      <c r="B7261" s="104"/>
    </row>
    <row r="7262" spans="1:2" x14ac:dyDescent="0.25">
      <c r="A7262" s="104"/>
      <c r="B7262" s="104"/>
    </row>
    <row r="7263" spans="1:2" x14ac:dyDescent="0.25">
      <c r="A7263" s="104"/>
      <c r="B7263" s="104"/>
    </row>
    <row r="7264" spans="1:2" x14ac:dyDescent="0.25">
      <c r="A7264" s="104"/>
      <c r="B7264" s="104"/>
    </row>
    <row r="7265" spans="1:2" x14ac:dyDescent="0.25">
      <c r="A7265" s="104"/>
      <c r="B7265" s="104"/>
    </row>
    <row r="7266" spans="1:2" x14ac:dyDescent="0.25">
      <c r="A7266" s="104"/>
      <c r="B7266" s="104"/>
    </row>
    <row r="7267" spans="1:2" x14ac:dyDescent="0.25">
      <c r="A7267" s="104"/>
      <c r="B7267" s="104"/>
    </row>
    <row r="7268" spans="1:2" x14ac:dyDescent="0.25">
      <c r="A7268" s="104"/>
      <c r="B7268" s="104"/>
    </row>
    <row r="7269" spans="1:2" x14ac:dyDescent="0.25">
      <c r="A7269" s="104"/>
      <c r="B7269" s="104"/>
    </row>
    <row r="7270" spans="1:2" x14ac:dyDescent="0.25">
      <c r="A7270" s="104"/>
      <c r="B7270" s="104"/>
    </row>
    <row r="7271" spans="1:2" x14ac:dyDescent="0.25">
      <c r="A7271" s="104"/>
      <c r="B7271" s="104"/>
    </row>
    <row r="7272" spans="1:2" x14ac:dyDescent="0.25">
      <c r="A7272" s="104"/>
      <c r="B7272" s="104"/>
    </row>
    <row r="7273" spans="1:2" x14ac:dyDescent="0.25">
      <c r="A7273" s="104"/>
      <c r="B7273" s="104"/>
    </row>
    <row r="7274" spans="1:2" x14ac:dyDescent="0.25">
      <c r="A7274" s="104"/>
      <c r="B7274" s="104"/>
    </row>
    <row r="7275" spans="1:2" x14ac:dyDescent="0.25">
      <c r="A7275" s="104"/>
      <c r="B7275" s="104"/>
    </row>
    <row r="7276" spans="1:2" x14ac:dyDescent="0.25">
      <c r="A7276" s="104"/>
      <c r="B7276" s="104"/>
    </row>
    <row r="7277" spans="1:2" x14ac:dyDescent="0.25">
      <c r="A7277" s="104"/>
      <c r="B7277" s="104"/>
    </row>
    <row r="7278" spans="1:2" x14ac:dyDescent="0.25">
      <c r="A7278" s="104"/>
      <c r="B7278" s="104"/>
    </row>
    <row r="7279" spans="1:2" x14ac:dyDescent="0.25">
      <c r="A7279" s="104"/>
      <c r="B7279" s="104"/>
    </row>
    <row r="7280" spans="1:2" x14ac:dyDescent="0.25">
      <c r="A7280" s="104"/>
      <c r="B7280" s="104"/>
    </row>
    <row r="7281" spans="1:2" x14ac:dyDescent="0.25">
      <c r="A7281" s="104"/>
      <c r="B7281" s="104"/>
    </row>
    <row r="7282" spans="1:2" x14ac:dyDescent="0.25">
      <c r="A7282" s="104"/>
      <c r="B7282" s="104"/>
    </row>
    <row r="7283" spans="1:2" x14ac:dyDescent="0.25">
      <c r="A7283" s="104"/>
      <c r="B7283" s="104"/>
    </row>
    <row r="7284" spans="1:2" x14ac:dyDescent="0.25">
      <c r="A7284" s="104"/>
      <c r="B7284" s="104"/>
    </row>
    <row r="7285" spans="1:2" x14ac:dyDescent="0.25">
      <c r="A7285" s="104"/>
      <c r="B7285" s="104"/>
    </row>
    <row r="7286" spans="1:2" x14ac:dyDescent="0.25">
      <c r="A7286" s="104"/>
      <c r="B7286" s="104"/>
    </row>
    <row r="7287" spans="1:2" x14ac:dyDescent="0.25">
      <c r="A7287" s="104"/>
      <c r="B7287" s="104"/>
    </row>
    <row r="7288" spans="1:2" x14ac:dyDescent="0.25">
      <c r="A7288" s="104"/>
      <c r="B7288" s="104"/>
    </row>
    <row r="7289" spans="1:2" x14ac:dyDescent="0.25">
      <c r="A7289" s="104"/>
      <c r="B7289" s="104"/>
    </row>
    <row r="7290" spans="1:2" x14ac:dyDescent="0.25">
      <c r="A7290" s="104"/>
      <c r="B7290" s="104"/>
    </row>
    <row r="7291" spans="1:2" x14ac:dyDescent="0.25">
      <c r="A7291" s="104"/>
      <c r="B7291" s="104"/>
    </row>
    <row r="7292" spans="1:2" x14ac:dyDescent="0.25">
      <c r="A7292" s="104"/>
      <c r="B7292" s="104"/>
    </row>
    <row r="7293" spans="1:2" x14ac:dyDescent="0.25">
      <c r="A7293" s="104"/>
      <c r="B7293" s="104"/>
    </row>
    <row r="7294" spans="1:2" x14ac:dyDescent="0.25">
      <c r="A7294" s="104"/>
      <c r="B7294" s="104"/>
    </row>
    <row r="7295" spans="1:2" x14ac:dyDescent="0.25">
      <c r="A7295" s="104"/>
      <c r="B7295" s="104"/>
    </row>
    <row r="7296" spans="1:2" x14ac:dyDescent="0.25">
      <c r="A7296" s="104"/>
      <c r="B7296" s="104"/>
    </row>
    <row r="7297" spans="1:2" x14ac:dyDescent="0.25">
      <c r="A7297" s="104"/>
      <c r="B7297" s="104"/>
    </row>
    <row r="7298" spans="1:2" x14ac:dyDescent="0.25">
      <c r="A7298" s="104"/>
      <c r="B7298" s="104"/>
    </row>
    <row r="7299" spans="1:2" x14ac:dyDescent="0.25">
      <c r="A7299" s="104"/>
      <c r="B7299" s="104"/>
    </row>
    <row r="7300" spans="1:2" x14ac:dyDescent="0.25">
      <c r="A7300" s="104"/>
      <c r="B7300" s="104"/>
    </row>
    <row r="7301" spans="1:2" x14ac:dyDescent="0.25">
      <c r="A7301" s="104"/>
      <c r="B7301" s="104"/>
    </row>
    <row r="7302" spans="1:2" x14ac:dyDescent="0.25">
      <c r="A7302" s="104"/>
      <c r="B7302" s="104"/>
    </row>
    <row r="7303" spans="1:2" x14ac:dyDescent="0.25">
      <c r="A7303" s="104"/>
      <c r="B7303" s="104"/>
    </row>
    <row r="7304" spans="1:2" x14ac:dyDescent="0.25">
      <c r="A7304" s="104"/>
      <c r="B7304" s="104"/>
    </row>
    <row r="7305" spans="1:2" x14ac:dyDescent="0.25">
      <c r="A7305" s="104"/>
      <c r="B7305" s="104"/>
    </row>
    <row r="7306" spans="1:2" x14ac:dyDescent="0.25">
      <c r="A7306" s="104"/>
      <c r="B7306" s="104"/>
    </row>
    <row r="7307" spans="1:2" x14ac:dyDescent="0.25">
      <c r="A7307" s="104"/>
      <c r="B7307" s="104"/>
    </row>
    <row r="7308" spans="1:2" x14ac:dyDescent="0.25">
      <c r="A7308" s="104"/>
      <c r="B7308" s="104"/>
    </row>
    <row r="7309" spans="1:2" x14ac:dyDescent="0.25">
      <c r="A7309" s="104"/>
      <c r="B7309" s="104"/>
    </row>
    <row r="7310" spans="1:2" x14ac:dyDescent="0.25">
      <c r="A7310" s="104"/>
      <c r="B7310" s="104"/>
    </row>
    <row r="7311" spans="1:2" x14ac:dyDescent="0.25">
      <c r="A7311" s="104"/>
      <c r="B7311" s="104"/>
    </row>
    <row r="7312" spans="1:2" x14ac:dyDescent="0.25">
      <c r="A7312" s="104"/>
      <c r="B7312" s="104"/>
    </row>
    <row r="7313" spans="1:2" x14ac:dyDescent="0.25">
      <c r="A7313" s="104"/>
      <c r="B7313" s="104"/>
    </row>
    <row r="7314" spans="1:2" x14ac:dyDescent="0.25">
      <c r="A7314" s="104"/>
      <c r="B7314" s="104"/>
    </row>
    <row r="7315" spans="1:2" x14ac:dyDescent="0.25">
      <c r="A7315" s="104"/>
      <c r="B7315" s="104"/>
    </row>
    <row r="7316" spans="1:2" x14ac:dyDescent="0.25">
      <c r="A7316" s="104"/>
      <c r="B7316" s="104"/>
    </row>
    <row r="7317" spans="1:2" x14ac:dyDescent="0.25">
      <c r="A7317" s="104"/>
      <c r="B7317" s="104"/>
    </row>
    <row r="7318" spans="1:2" x14ac:dyDescent="0.25">
      <c r="A7318" s="104"/>
      <c r="B7318" s="104"/>
    </row>
    <row r="7319" spans="1:2" x14ac:dyDescent="0.25">
      <c r="A7319" s="104"/>
      <c r="B7319" s="104"/>
    </row>
    <row r="7320" spans="1:2" x14ac:dyDescent="0.25">
      <c r="A7320" s="104"/>
      <c r="B7320" s="104"/>
    </row>
    <row r="7321" spans="1:2" x14ac:dyDescent="0.25">
      <c r="A7321" s="104"/>
      <c r="B7321" s="104"/>
    </row>
    <row r="7322" spans="1:2" x14ac:dyDescent="0.25">
      <c r="A7322" s="104"/>
      <c r="B7322" s="104"/>
    </row>
    <row r="7323" spans="1:2" x14ac:dyDescent="0.25">
      <c r="A7323" s="104"/>
      <c r="B7323" s="104"/>
    </row>
    <row r="7324" spans="1:2" x14ac:dyDescent="0.25">
      <c r="A7324" s="104"/>
      <c r="B7324" s="104"/>
    </row>
    <row r="7325" spans="1:2" x14ac:dyDescent="0.25">
      <c r="A7325" s="104"/>
      <c r="B7325" s="104"/>
    </row>
    <row r="7326" spans="1:2" x14ac:dyDescent="0.25">
      <c r="A7326" s="104"/>
      <c r="B7326" s="104"/>
    </row>
    <row r="7327" spans="1:2" x14ac:dyDescent="0.25">
      <c r="A7327" s="104"/>
      <c r="B7327" s="104"/>
    </row>
    <row r="7328" spans="1:2" x14ac:dyDescent="0.25">
      <c r="A7328" s="104"/>
      <c r="B7328" s="104"/>
    </row>
    <row r="7329" spans="1:2" x14ac:dyDescent="0.25">
      <c r="A7329" s="104"/>
      <c r="B7329" s="104"/>
    </row>
    <row r="7330" spans="1:2" x14ac:dyDescent="0.25">
      <c r="A7330" s="104"/>
      <c r="B7330" s="104"/>
    </row>
    <row r="7331" spans="1:2" x14ac:dyDescent="0.25">
      <c r="A7331" s="104"/>
      <c r="B7331" s="104"/>
    </row>
    <row r="7332" spans="1:2" x14ac:dyDescent="0.25">
      <c r="A7332" s="104"/>
      <c r="B7332" s="104"/>
    </row>
    <row r="7333" spans="1:2" x14ac:dyDescent="0.25">
      <c r="A7333" s="104"/>
      <c r="B7333" s="104"/>
    </row>
    <row r="7334" spans="1:2" x14ac:dyDescent="0.25">
      <c r="A7334" s="104"/>
      <c r="B7334" s="104"/>
    </row>
    <row r="7335" spans="1:2" x14ac:dyDescent="0.25">
      <c r="A7335" s="104"/>
      <c r="B7335" s="104"/>
    </row>
    <row r="7336" spans="1:2" x14ac:dyDescent="0.25">
      <c r="A7336" s="104"/>
      <c r="B7336" s="104"/>
    </row>
    <row r="7337" spans="1:2" x14ac:dyDescent="0.25">
      <c r="A7337" s="104"/>
      <c r="B7337" s="104"/>
    </row>
    <row r="7338" spans="1:2" x14ac:dyDescent="0.25">
      <c r="A7338" s="104"/>
      <c r="B7338" s="104"/>
    </row>
    <row r="7339" spans="1:2" x14ac:dyDescent="0.25">
      <c r="A7339" s="104"/>
      <c r="B7339" s="104"/>
    </row>
    <row r="7340" spans="1:2" x14ac:dyDescent="0.25">
      <c r="A7340" s="104"/>
      <c r="B7340" s="104"/>
    </row>
    <row r="7341" spans="1:2" x14ac:dyDescent="0.25">
      <c r="A7341" s="104"/>
      <c r="B7341" s="104"/>
    </row>
    <row r="7342" spans="1:2" x14ac:dyDescent="0.25">
      <c r="A7342" s="104"/>
      <c r="B7342" s="104"/>
    </row>
    <row r="7343" spans="1:2" x14ac:dyDescent="0.25">
      <c r="A7343" s="104"/>
      <c r="B7343" s="104"/>
    </row>
    <row r="7344" spans="1:2" x14ac:dyDescent="0.25">
      <c r="A7344" s="104"/>
      <c r="B7344" s="104"/>
    </row>
    <row r="7345" spans="1:2" x14ac:dyDescent="0.25">
      <c r="A7345" s="104"/>
      <c r="B7345" s="104"/>
    </row>
    <row r="7346" spans="1:2" x14ac:dyDescent="0.25">
      <c r="A7346" s="104"/>
      <c r="B7346" s="104"/>
    </row>
    <row r="7347" spans="1:2" x14ac:dyDescent="0.25">
      <c r="A7347" s="104"/>
      <c r="B7347" s="104"/>
    </row>
    <row r="7348" spans="1:2" x14ac:dyDescent="0.25">
      <c r="A7348" s="104"/>
      <c r="B7348" s="104"/>
    </row>
    <row r="7349" spans="1:2" x14ac:dyDescent="0.25">
      <c r="A7349" s="104"/>
      <c r="B7349" s="104"/>
    </row>
    <row r="7350" spans="1:2" x14ac:dyDescent="0.25">
      <c r="A7350" s="104"/>
      <c r="B7350" s="104"/>
    </row>
    <row r="7351" spans="1:2" x14ac:dyDescent="0.25">
      <c r="A7351" s="104"/>
      <c r="B7351" s="104"/>
    </row>
    <row r="7352" spans="1:2" x14ac:dyDescent="0.25">
      <c r="A7352" s="104"/>
      <c r="B7352" s="104"/>
    </row>
    <row r="7353" spans="1:2" x14ac:dyDescent="0.25">
      <c r="A7353" s="104"/>
      <c r="B7353" s="104"/>
    </row>
    <row r="7354" spans="1:2" x14ac:dyDescent="0.25">
      <c r="A7354" s="104"/>
      <c r="B7354" s="104"/>
    </row>
    <row r="7355" spans="1:2" x14ac:dyDescent="0.25">
      <c r="A7355" s="104"/>
      <c r="B7355" s="104"/>
    </row>
    <row r="7356" spans="1:2" x14ac:dyDescent="0.25">
      <c r="A7356" s="104"/>
      <c r="B7356" s="104"/>
    </row>
    <row r="7357" spans="1:2" x14ac:dyDescent="0.25">
      <c r="A7357" s="104"/>
      <c r="B7357" s="104"/>
    </row>
    <row r="7358" spans="1:2" x14ac:dyDescent="0.25">
      <c r="A7358" s="104"/>
      <c r="B7358" s="104"/>
    </row>
    <row r="7359" spans="1:2" x14ac:dyDescent="0.25">
      <c r="A7359" s="104"/>
      <c r="B7359" s="104"/>
    </row>
    <row r="7360" spans="1:2" x14ac:dyDescent="0.25">
      <c r="A7360" s="104"/>
      <c r="B7360" s="104"/>
    </row>
    <row r="7361" spans="1:2" x14ac:dyDescent="0.25">
      <c r="A7361" s="104"/>
      <c r="B7361" s="104"/>
    </row>
    <row r="7362" spans="1:2" x14ac:dyDescent="0.25">
      <c r="A7362" s="104"/>
      <c r="B7362" s="104"/>
    </row>
    <row r="7363" spans="1:2" x14ac:dyDescent="0.25">
      <c r="A7363" s="104"/>
      <c r="B7363" s="104"/>
    </row>
    <row r="7364" spans="1:2" x14ac:dyDescent="0.25">
      <c r="A7364" s="104"/>
      <c r="B7364" s="104"/>
    </row>
    <row r="7365" spans="1:2" x14ac:dyDescent="0.25">
      <c r="A7365" s="104"/>
      <c r="B7365" s="104"/>
    </row>
    <row r="7366" spans="1:2" x14ac:dyDescent="0.25">
      <c r="A7366" s="104"/>
      <c r="B7366" s="104"/>
    </row>
    <row r="7367" spans="1:2" x14ac:dyDescent="0.25">
      <c r="A7367" s="104"/>
      <c r="B7367" s="104"/>
    </row>
    <row r="7368" spans="1:2" x14ac:dyDescent="0.25">
      <c r="A7368" s="104"/>
      <c r="B7368" s="104"/>
    </row>
    <row r="7369" spans="1:2" x14ac:dyDescent="0.25">
      <c r="A7369" s="104"/>
      <c r="B7369" s="104"/>
    </row>
    <row r="7370" spans="1:2" x14ac:dyDescent="0.25">
      <c r="A7370" s="104"/>
      <c r="B7370" s="104"/>
    </row>
    <row r="7371" spans="1:2" x14ac:dyDescent="0.25">
      <c r="A7371" s="104"/>
      <c r="B7371" s="104"/>
    </row>
    <row r="7372" spans="1:2" x14ac:dyDescent="0.25">
      <c r="A7372" s="104"/>
      <c r="B7372" s="104"/>
    </row>
    <row r="7373" spans="1:2" x14ac:dyDescent="0.25">
      <c r="A7373" s="104"/>
      <c r="B7373" s="104"/>
    </row>
    <row r="7374" spans="1:2" x14ac:dyDescent="0.25">
      <c r="A7374" s="104"/>
      <c r="B7374" s="104"/>
    </row>
    <row r="7375" spans="1:2" x14ac:dyDescent="0.25">
      <c r="A7375" s="104"/>
      <c r="B7375" s="104"/>
    </row>
    <row r="7376" spans="1:2" x14ac:dyDescent="0.25">
      <c r="A7376" s="104"/>
      <c r="B7376" s="104"/>
    </row>
    <row r="7377" spans="1:2" x14ac:dyDescent="0.25">
      <c r="A7377" s="104"/>
      <c r="B7377" s="104"/>
    </row>
    <row r="7378" spans="1:2" x14ac:dyDescent="0.25">
      <c r="A7378" s="104"/>
      <c r="B7378" s="104"/>
    </row>
    <row r="7379" spans="1:2" x14ac:dyDescent="0.25">
      <c r="A7379" s="104"/>
      <c r="B7379" s="104"/>
    </row>
    <row r="7380" spans="1:2" x14ac:dyDescent="0.25">
      <c r="A7380" s="104"/>
      <c r="B7380" s="104"/>
    </row>
    <row r="7381" spans="1:2" x14ac:dyDescent="0.25">
      <c r="A7381" s="104"/>
      <c r="B7381" s="104"/>
    </row>
    <row r="7382" spans="1:2" x14ac:dyDescent="0.25">
      <c r="A7382" s="104"/>
      <c r="B7382" s="104"/>
    </row>
    <row r="7383" spans="1:2" x14ac:dyDescent="0.25">
      <c r="A7383" s="104"/>
      <c r="B7383" s="104"/>
    </row>
    <row r="7384" spans="1:2" x14ac:dyDescent="0.25">
      <c r="A7384" s="104"/>
      <c r="B7384" s="104"/>
    </row>
    <row r="7385" spans="1:2" x14ac:dyDescent="0.25">
      <c r="A7385" s="104"/>
      <c r="B7385" s="104"/>
    </row>
    <row r="7386" spans="1:2" x14ac:dyDescent="0.25">
      <c r="A7386" s="104"/>
      <c r="B7386" s="104"/>
    </row>
    <row r="7387" spans="1:2" x14ac:dyDescent="0.25">
      <c r="A7387" s="104"/>
      <c r="B7387" s="104"/>
    </row>
    <row r="7388" spans="1:2" x14ac:dyDescent="0.25">
      <c r="A7388" s="104"/>
      <c r="B7388" s="104"/>
    </row>
    <row r="7389" spans="1:2" x14ac:dyDescent="0.25">
      <c r="A7389" s="104"/>
      <c r="B7389" s="104"/>
    </row>
    <row r="7390" spans="1:2" x14ac:dyDescent="0.25">
      <c r="A7390" s="104"/>
      <c r="B7390" s="104"/>
    </row>
    <row r="7391" spans="1:2" x14ac:dyDescent="0.25">
      <c r="A7391" s="104"/>
      <c r="B7391" s="104"/>
    </row>
    <row r="7392" spans="1:2" x14ac:dyDescent="0.25">
      <c r="A7392" s="104"/>
      <c r="B7392" s="104"/>
    </row>
    <row r="7393" spans="1:2" x14ac:dyDescent="0.25">
      <c r="A7393" s="104"/>
      <c r="B7393" s="104"/>
    </row>
    <row r="7394" spans="1:2" x14ac:dyDescent="0.25">
      <c r="A7394" s="104"/>
      <c r="B7394" s="104"/>
    </row>
    <row r="7395" spans="1:2" x14ac:dyDescent="0.25">
      <c r="A7395" s="104"/>
      <c r="B7395" s="104"/>
    </row>
    <row r="7396" spans="1:2" x14ac:dyDescent="0.25">
      <c r="A7396" s="104"/>
      <c r="B7396" s="104"/>
    </row>
    <row r="7397" spans="1:2" x14ac:dyDescent="0.25">
      <c r="A7397" s="104"/>
      <c r="B7397" s="104"/>
    </row>
    <row r="7398" spans="1:2" x14ac:dyDescent="0.25">
      <c r="A7398" s="104"/>
      <c r="B7398" s="104"/>
    </row>
    <row r="7399" spans="1:2" x14ac:dyDescent="0.25">
      <c r="A7399" s="104"/>
      <c r="B7399" s="104"/>
    </row>
    <row r="7400" spans="1:2" x14ac:dyDescent="0.25">
      <c r="A7400" s="104"/>
      <c r="B7400" s="104"/>
    </row>
    <row r="7401" spans="1:2" x14ac:dyDescent="0.25">
      <c r="A7401" s="104"/>
      <c r="B7401" s="104"/>
    </row>
    <row r="7402" spans="1:2" x14ac:dyDescent="0.25">
      <c r="A7402" s="104"/>
      <c r="B7402" s="104"/>
    </row>
    <row r="7403" spans="1:2" x14ac:dyDescent="0.25">
      <c r="A7403" s="104"/>
      <c r="B7403" s="104"/>
    </row>
    <row r="7404" spans="1:2" x14ac:dyDescent="0.25">
      <c r="A7404" s="104"/>
      <c r="B7404" s="104"/>
    </row>
    <row r="7405" spans="1:2" x14ac:dyDescent="0.25">
      <c r="A7405" s="104"/>
      <c r="B7405" s="104"/>
    </row>
    <row r="7406" spans="1:2" x14ac:dyDescent="0.25">
      <c r="A7406" s="104"/>
      <c r="B7406" s="104"/>
    </row>
    <row r="7407" spans="1:2" x14ac:dyDescent="0.25">
      <c r="A7407" s="104"/>
      <c r="B7407" s="104"/>
    </row>
    <row r="7408" spans="1:2" x14ac:dyDescent="0.25">
      <c r="A7408" s="104"/>
      <c r="B7408" s="104"/>
    </row>
    <row r="7409" spans="1:2" x14ac:dyDescent="0.25">
      <c r="A7409" s="104"/>
      <c r="B7409" s="104"/>
    </row>
    <row r="7410" spans="1:2" x14ac:dyDescent="0.25">
      <c r="A7410" s="104"/>
      <c r="B7410" s="104"/>
    </row>
    <row r="7411" spans="1:2" x14ac:dyDescent="0.25">
      <c r="A7411" s="104"/>
      <c r="B7411" s="104"/>
    </row>
    <row r="7412" spans="1:2" x14ac:dyDescent="0.25">
      <c r="A7412" s="104"/>
      <c r="B7412" s="104"/>
    </row>
    <row r="7413" spans="1:2" x14ac:dyDescent="0.25">
      <c r="A7413" s="104"/>
      <c r="B7413" s="104"/>
    </row>
    <row r="7414" spans="1:2" x14ac:dyDescent="0.25">
      <c r="A7414" s="104"/>
      <c r="B7414" s="104"/>
    </row>
    <row r="7415" spans="1:2" x14ac:dyDescent="0.25">
      <c r="A7415" s="104"/>
      <c r="B7415" s="104"/>
    </row>
    <row r="7416" spans="1:2" x14ac:dyDescent="0.25">
      <c r="A7416" s="104"/>
      <c r="B7416" s="104"/>
    </row>
    <row r="7417" spans="1:2" x14ac:dyDescent="0.25">
      <c r="A7417" s="104"/>
      <c r="B7417" s="104"/>
    </row>
    <row r="7418" spans="1:2" x14ac:dyDescent="0.25">
      <c r="A7418" s="104"/>
      <c r="B7418" s="104"/>
    </row>
    <row r="7419" spans="1:2" x14ac:dyDescent="0.25">
      <c r="A7419" s="104"/>
      <c r="B7419" s="104"/>
    </row>
    <row r="7420" spans="1:2" x14ac:dyDescent="0.25">
      <c r="A7420" s="104"/>
      <c r="B7420" s="104"/>
    </row>
    <row r="7421" spans="1:2" x14ac:dyDescent="0.25">
      <c r="A7421" s="104"/>
      <c r="B7421" s="104"/>
    </row>
    <row r="7422" spans="1:2" x14ac:dyDescent="0.25">
      <c r="A7422" s="104"/>
      <c r="B7422" s="104"/>
    </row>
    <row r="7423" spans="1:2" x14ac:dyDescent="0.25">
      <c r="A7423" s="104"/>
      <c r="B7423" s="104"/>
    </row>
    <row r="7424" spans="1:2" x14ac:dyDescent="0.25">
      <c r="A7424" s="104"/>
      <c r="B7424" s="104"/>
    </row>
    <row r="7425" spans="1:2" x14ac:dyDescent="0.25">
      <c r="A7425" s="104"/>
      <c r="B7425" s="104"/>
    </row>
    <row r="7426" spans="1:2" x14ac:dyDescent="0.25">
      <c r="A7426" s="104"/>
      <c r="B7426" s="104"/>
    </row>
    <row r="7427" spans="1:2" x14ac:dyDescent="0.25">
      <c r="A7427" s="104"/>
      <c r="B7427" s="104"/>
    </row>
    <row r="7428" spans="1:2" x14ac:dyDescent="0.25">
      <c r="A7428" s="104"/>
      <c r="B7428" s="104"/>
    </row>
    <row r="7429" spans="1:2" x14ac:dyDescent="0.25">
      <c r="A7429" s="104"/>
      <c r="B7429" s="104"/>
    </row>
    <row r="7430" spans="1:2" x14ac:dyDescent="0.25">
      <c r="A7430" s="104"/>
      <c r="B7430" s="104"/>
    </row>
    <row r="7431" spans="1:2" x14ac:dyDescent="0.25">
      <c r="A7431" s="104"/>
      <c r="B7431" s="104"/>
    </row>
    <row r="7432" spans="1:2" x14ac:dyDescent="0.25">
      <c r="A7432" s="104"/>
      <c r="B7432" s="104"/>
    </row>
    <row r="7433" spans="1:2" x14ac:dyDescent="0.25">
      <c r="A7433" s="104"/>
      <c r="B7433" s="104"/>
    </row>
    <row r="7434" spans="1:2" x14ac:dyDescent="0.25">
      <c r="A7434" s="104"/>
      <c r="B7434" s="104"/>
    </row>
    <row r="7435" spans="1:2" x14ac:dyDescent="0.25">
      <c r="A7435" s="104"/>
      <c r="B7435" s="104"/>
    </row>
    <row r="7436" spans="1:2" x14ac:dyDescent="0.25">
      <c r="A7436" s="104"/>
      <c r="B7436" s="104"/>
    </row>
    <row r="7437" spans="1:2" x14ac:dyDescent="0.25">
      <c r="A7437" s="104"/>
      <c r="B7437" s="104"/>
    </row>
    <row r="7438" spans="1:2" x14ac:dyDescent="0.25">
      <c r="A7438" s="104"/>
      <c r="B7438" s="104"/>
    </row>
    <row r="7439" spans="1:2" x14ac:dyDescent="0.25">
      <c r="A7439" s="104"/>
      <c r="B7439" s="104"/>
    </row>
    <row r="7440" spans="1:2" x14ac:dyDescent="0.25">
      <c r="A7440" s="104"/>
      <c r="B7440" s="104"/>
    </row>
    <row r="7441" spans="1:2" x14ac:dyDescent="0.25">
      <c r="A7441" s="104"/>
      <c r="B7441" s="104"/>
    </row>
    <row r="7442" spans="1:2" x14ac:dyDescent="0.25">
      <c r="A7442" s="104"/>
      <c r="B7442" s="104"/>
    </row>
    <row r="7443" spans="1:2" x14ac:dyDescent="0.25">
      <c r="A7443" s="104"/>
      <c r="B7443" s="104"/>
    </row>
    <row r="7444" spans="1:2" x14ac:dyDescent="0.25">
      <c r="A7444" s="104"/>
      <c r="B7444" s="104"/>
    </row>
    <row r="7445" spans="1:2" x14ac:dyDescent="0.25">
      <c r="A7445" s="104"/>
      <c r="B7445" s="104"/>
    </row>
    <row r="7446" spans="1:2" x14ac:dyDescent="0.25">
      <c r="A7446" s="104"/>
      <c r="B7446" s="104"/>
    </row>
    <row r="7447" spans="1:2" x14ac:dyDescent="0.25">
      <c r="A7447" s="104"/>
      <c r="B7447" s="104"/>
    </row>
    <row r="7448" spans="1:2" x14ac:dyDescent="0.25">
      <c r="A7448" s="104"/>
      <c r="B7448" s="104"/>
    </row>
    <row r="7449" spans="1:2" x14ac:dyDescent="0.25">
      <c r="A7449" s="104"/>
      <c r="B7449" s="104"/>
    </row>
    <row r="7450" spans="1:2" x14ac:dyDescent="0.25">
      <c r="A7450" s="104"/>
      <c r="B7450" s="104"/>
    </row>
    <row r="7451" spans="1:2" x14ac:dyDescent="0.25">
      <c r="A7451" s="104"/>
      <c r="B7451" s="104"/>
    </row>
    <row r="7452" spans="1:2" x14ac:dyDescent="0.25">
      <c r="A7452" s="104"/>
      <c r="B7452" s="104"/>
    </row>
    <row r="7453" spans="1:2" x14ac:dyDescent="0.25">
      <c r="A7453" s="104"/>
      <c r="B7453" s="104"/>
    </row>
    <row r="7454" spans="1:2" x14ac:dyDescent="0.25">
      <c r="A7454" s="104"/>
      <c r="B7454" s="104"/>
    </row>
    <row r="7455" spans="1:2" x14ac:dyDescent="0.25">
      <c r="A7455" s="104"/>
      <c r="B7455" s="104"/>
    </row>
    <row r="7456" spans="1:2" x14ac:dyDescent="0.25">
      <c r="A7456" s="104"/>
      <c r="B7456" s="104"/>
    </row>
    <row r="7457" spans="1:2" x14ac:dyDescent="0.25">
      <c r="A7457" s="104"/>
      <c r="B7457" s="104"/>
    </row>
    <row r="7458" spans="1:2" x14ac:dyDescent="0.25">
      <c r="A7458" s="104"/>
      <c r="B7458" s="104"/>
    </row>
    <row r="7459" spans="1:2" x14ac:dyDescent="0.25">
      <c r="A7459" s="104"/>
      <c r="B7459" s="104"/>
    </row>
    <row r="7460" spans="1:2" x14ac:dyDescent="0.25">
      <c r="A7460" s="104"/>
      <c r="B7460" s="104"/>
    </row>
    <row r="7461" spans="1:2" x14ac:dyDescent="0.25">
      <c r="A7461" s="104"/>
      <c r="B7461" s="104"/>
    </row>
    <row r="7462" spans="1:2" x14ac:dyDescent="0.25">
      <c r="A7462" s="104"/>
      <c r="B7462" s="104"/>
    </row>
    <row r="7463" spans="1:2" x14ac:dyDescent="0.25">
      <c r="A7463" s="104"/>
      <c r="B7463" s="104"/>
    </row>
    <row r="7464" spans="1:2" x14ac:dyDescent="0.25">
      <c r="A7464" s="104"/>
      <c r="B7464" s="104"/>
    </row>
    <row r="7465" spans="1:2" x14ac:dyDescent="0.25">
      <c r="A7465" s="104"/>
      <c r="B7465" s="104"/>
    </row>
    <row r="7466" spans="1:2" x14ac:dyDescent="0.25">
      <c r="A7466" s="104"/>
      <c r="B7466" s="104"/>
    </row>
    <row r="7467" spans="1:2" x14ac:dyDescent="0.25">
      <c r="A7467" s="104"/>
      <c r="B7467" s="104"/>
    </row>
    <row r="7468" spans="1:2" x14ac:dyDescent="0.25">
      <c r="A7468" s="104"/>
      <c r="B7468" s="104"/>
    </row>
    <row r="7469" spans="1:2" x14ac:dyDescent="0.25">
      <c r="A7469" s="104"/>
      <c r="B7469" s="104"/>
    </row>
    <row r="7470" spans="1:2" x14ac:dyDescent="0.25">
      <c r="A7470" s="104"/>
      <c r="B7470" s="104"/>
    </row>
    <row r="7471" spans="1:2" x14ac:dyDescent="0.25">
      <c r="A7471" s="104"/>
      <c r="B7471" s="104"/>
    </row>
    <row r="7472" spans="1:2" x14ac:dyDescent="0.25">
      <c r="A7472" s="104"/>
      <c r="B7472" s="104"/>
    </row>
    <row r="7473" spans="1:2" x14ac:dyDescent="0.25">
      <c r="A7473" s="104"/>
      <c r="B7473" s="104"/>
    </row>
    <row r="7474" spans="1:2" x14ac:dyDescent="0.25">
      <c r="A7474" s="104"/>
      <c r="B7474" s="104"/>
    </row>
    <row r="7475" spans="1:2" x14ac:dyDescent="0.25">
      <c r="A7475" s="104"/>
      <c r="B7475" s="104"/>
    </row>
    <row r="7476" spans="1:2" x14ac:dyDescent="0.25">
      <c r="A7476" s="104"/>
      <c r="B7476" s="104"/>
    </row>
    <row r="7477" spans="1:2" x14ac:dyDescent="0.25">
      <c r="A7477" s="104"/>
      <c r="B7477" s="104"/>
    </row>
    <row r="7478" spans="1:2" x14ac:dyDescent="0.25">
      <c r="A7478" s="104"/>
      <c r="B7478" s="104"/>
    </row>
    <row r="7479" spans="1:2" x14ac:dyDescent="0.25">
      <c r="A7479" s="104"/>
      <c r="B7479" s="104"/>
    </row>
    <row r="7480" spans="1:2" x14ac:dyDescent="0.25">
      <c r="A7480" s="104"/>
      <c r="B7480" s="104"/>
    </row>
    <row r="7481" spans="1:2" x14ac:dyDescent="0.25">
      <c r="A7481" s="104"/>
      <c r="B7481" s="104"/>
    </row>
    <row r="7482" spans="1:2" x14ac:dyDescent="0.25">
      <c r="A7482" s="104"/>
      <c r="B7482" s="104"/>
    </row>
    <row r="7483" spans="1:2" x14ac:dyDescent="0.25">
      <c r="A7483" s="104"/>
      <c r="B7483" s="104"/>
    </row>
    <row r="7484" spans="1:2" x14ac:dyDescent="0.25">
      <c r="A7484" s="104"/>
      <c r="B7484" s="104"/>
    </row>
    <row r="7485" spans="1:2" x14ac:dyDescent="0.25">
      <c r="A7485" s="104"/>
      <c r="B7485" s="104"/>
    </row>
    <row r="7486" spans="1:2" x14ac:dyDescent="0.25">
      <c r="A7486" s="104"/>
      <c r="B7486" s="104"/>
    </row>
    <row r="7487" spans="1:2" x14ac:dyDescent="0.25">
      <c r="A7487" s="104"/>
      <c r="B7487" s="104"/>
    </row>
    <row r="7488" spans="1:2" x14ac:dyDescent="0.25">
      <c r="A7488" s="104"/>
      <c r="B7488" s="104"/>
    </row>
    <row r="7489" spans="1:2" x14ac:dyDescent="0.25">
      <c r="A7489" s="104"/>
      <c r="B7489" s="104"/>
    </row>
    <row r="7490" spans="1:2" x14ac:dyDescent="0.25">
      <c r="A7490" s="104"/>
      <c r="B7490" s="104"/>
    </row>
    <row r="7491" spans="1:2" x14ac:dyDescent="0.25">
      <c r="A7491" s="104"/>
      <c r="B7491" s="104"/>
    </row>
    <row r="7492" spans="1:2" x14ac:dyDescent="0.25">
      <c r="A7492" s="104"/>
      <c r="B7492" s="104"/>
    </row>
    <row r="7493" spans="1:2" x14ac:dyDescent="0.25">
      <c r="A7493" s="104"/>
      <c r="B7493" s="104"/>
    </row>
    <row r="7494" spans="1:2" x14ac:dyDescent="0.25">
      <c r="A7494" s="104"/>
      <c r="B7494" s="104"/>
    </row>
    <row r="7495" spans="1:2" x14ac:dyDescent="0.25">
      <c r="A7495" s="104"/>
      <c r="B7495" s="104"/>
    </row>
    <row r="7496" spans="1:2" x14ac:dyDescent="0.25">
      <c r="A7496" s="104"/>
      <c r="B7496" s="104"/>
    </row>
    <row r="7497" spans="1:2" x14ac:dyDescent="0.25">
      <c r="A7497" s="104"/>
      <c r="B7497" s="104"/>
    </row>
    <row r="7498" spans="1:2" x14ac:dyDescent="0.25">
      <c r="A7498" s="104"/>
      <c r="B7498" s="104"/>
    </row>
    <row r="7499" spans="1:2" x14ac:dyDescent="0.25">
      <c r="A7499" s="104"/>
      <c r="B7499" s="104"/>
    </row>
    <row r="7500" spans="1:2" x14ac:dyDescent="0.25">
      <c r="A7500" s="104"/>
      <c r="B7500" s="104"/>
    </row>
    <row r="7501" spans="1:2" x14ac:dyDescent="0.25">
      <c r="A7501" s="104"/>
      <c r="B7501" s="104"/>
    </row>
    <row r="7502" spans="1:2" x14ac:dyDescent="0.25">
      <c r="A7502" s="104"/>
      <c r="B7502" s="104"/>
    </row>
    <row r="7503" spans="1:2" x14ac:dyDescent="0.25">
      <c r="A7503" s="104"/>
      <c r="B7503" s="104"/>
    </row>
    <row r="7504" spans="1:2" x14ac:dyDescent="0.25">
      <c r="A7504" s="104"/>
      <c r="B7504" s="104"/>
    </row>
    <row r="7505" spans="1:2" x14ac:dyDescent="0.25">
      <c r="A7505" s="104"/>
      <c r="B7505" s="104"/>
    </row>
    <row r="7506" spans="1:2" x14ac:dyDescent="0.25">
      <c r="A7506" s="104"/>
      <c r="B7506" s="104"/>
    </row>
    <row r="7507" spans="1:2" x14ac:dyDescent="0.25">
      <c r="A7507" s="104"/>
      <c r="B7507" s="104"/>
    </row>
    <row r="7508" spans="1:2" x14ac:dyDescent="0.25">
      <c r="A7508" s="104"/>
      <c r="B7508" s="104"/>
    </row>
    <row r="7509" spans="1:2" x14ac:dyDescent="0.25">
      <c r="A7509" s="104"/>
      <c r="B7509" s="104"/>
    </row>
    <row r="7510" spans="1:2" x14ac:dyDescent="0.25">
      <c r="A7510" s="104"/>
      <c r="B7510" s="104"/>
    </row>
    <row r="7511" spans="1:2" x14ac:dyDescent="0.25">
      <c r="A7511" s="104"/>
      <c r="B7511" s="104"/>
    </row>
    <row r="7512" spans="1:2" x14ac:dyDescent="0.25">
      <c r="A7512" s="104"/>
      <c r="B7512" s="104"/>
    </row>
    <row r="7513" spans="1:2" x14ac:dyDescent="0.25">
      <c r="A7513" s="104"/>
      <c r="B7513" s="104"/>
    </row>
    <row r="7514" spans="1:2" x14ac:dyDescent="0.25">
      <c r="A7514" s="104"/>
      <c r="B7514" s="104"/>
    </row>
    <row r="7515" spans="1:2" x14ac:dyDescent="0.25">
      <c r="A7515" s="104"/>
      <c r="B7515" s="104"/>
    </row>
    <row r="7516" spans="1:2" x14ac:dyDescent="0.25">
      <c r="A7516" s="104"/>
      <c r="B7516" s="104"/>
    </row>
    <row r="7517" spans="1:2" x14ac:dyDescent="0.25">
      <c r="A7517" s="104"/>
      <c r="B7517" s="104"/>
    </row>
    <row r="7518" spans="1:2" x14ac:dyDescent="0.25">
      <c r="A7518" s="104"/>
      <c r="B7518" s="104"/>
    </row>
    <row r="7519" spans="1:2" x14ac:dyDescent="0.25">
      <c r="A7519" s="104"/>
      <c r="B7519" s="104"/>
    </row>
    <row r="7520" spans="1:2" x14ac:dyDescent="0.25">
      <c r="A7520" s="104"/>
      <c r="B7520" s="104"/>
    </row>
    <row r="7521" spans="1:2" x14ac:dyDescent="0.25">
      <c r="A7521" s="104"/>
      <c r="B7521" s="104"/>
    </row>
    <row r="7522" spans="1:2" x14ac:dyDescent="0.25">
      <c r="A7522" s="104"/>
      <c r="B7522" s="104"/>
    </row>
    <row r="7523" spans="1:2" x14ac:dyDescent="0.25">
      <c r="A7523" s="104"/>
      <c r="B7523" s="104"/>
    </row>
    <row r="7524" spans="1:2" x14ac:dyDescent="0.25">
      <c r="A7524" s="104"/>
      <c r="B7524" s="104"/>
    </row>
    <row r="7525" spans="1:2" x14ac:dyDescent="0.25">
      <c r="A7525" s="104"/>
      <c r="B7525" s="104"/>
    </row>
    <row r="7526" spans="1:2" x14ac:dyDescent="0.25">
      <c r="A7526" s="104"/>
      <c r="B7526" s="104"/>
    </row>
    <row r="7527" spans="1:2" x14ac:dyDescent="0.25">
      <c r="A7527" s="104"/>
      <c r="B7527" s="104"/>
    </row>
    <row r="7528" spans="1:2" x14ac:dyDescent="0.25">
      <c r="A7528" s="104"/>
      <c r="B7528" s="104"/>
    </row>
    <row r="7529" spans="1:2" x14ac:dyDescent="0.25">
      <c r="A7529" s="104"/>
      <c r="B7529" s="104"/>
    </row>
    <row r="7530" spans="1:2" x14ac:dyDescent="0.25">
      <c r="A7530" s="104"/>
      <c r="B7530" s="104"/>
    </row>
    <row r="7531" spans="1:2" x14ac:dyDescent="0.25">
      <c r="A7531" s="104"/>
      <c r="B7531" s="104"/>
    </row>
    <row r="7532" spans="1:2" x14ac:dyDescent="0.25">
      <c r="A7532" s="104"/>
      <c r="B7532" s="104"/>
    </row>
    <row r="7533" spans="1:2" x14ac:dyDescent="0.25">
      <c r="A7533" s="104"/>
      <c r="B7533" s="104"/>
    </row>
    <row r="7534" spans="1:2" x14ac:dyDescent="0.25">
      <c r="A7534" s="104"/>
      <c r="B7534" s="104"/>
    </row>
    <row r="7535" spans="1:2" x14ac:dyDescent="0.25">
      <c r="A7535" s="104"/>
      <c r="B7535" s="104"/>
    </row>
    <row r="7536" spans="1:2" x14ac:dyDescent="0.25">
      <c r="A7536" s="104"/>
      <c r="B7536" s="104"/>
    </row>
    <row r="7537" spans="1:2" x14ac:dyDescent="0.25">
      <c r="A7537" s="104"/>
      <c r="B7537" s="104"/>
    </row>
    <row r="7538" spans="1:2" x14ac:dyDescent="0.25">
      <c r="A7538" s="104"/>
      <c r="B7538" s="104"/>
    </row>
    <row r="7539" spans="1:2" x14ac:dyDescent="0.25">
      <c r="A7539" s="104"/>
      <c r="B7539" s="104"/>
    </row>
    <row r="7540" spans="1:2" x14ac:dyDescent="0.25">
      <c r="A7540" s="104"/>
      <c r="B7540" s="104"/>
    </row>
    <row r="7541" spans="1:2" x14ac:dyDescent="0.25">
      <c r="A7541" s="104"/>
      <c r="B7541" s="104"/>
    </row>
    <row r="7542" spans="1:2" x14ac:dyDescent="0.25">
      <c r="A7542" s="104"/>
      <c r="B7542" s="104"/>
    </row>
    <row r="7543" spans="1:2" x14ac:dyDescent="0.25">
      <c r="A7543" s="104"/>
      <c r="B7543" s="104"/>
    </row>
    <row r="7544" spans="1:2" x14ac:dyDescent="0.25">
      <c r="A7544" s="104"/>
      <c r="B7544" s="104"/>
    </row>
    <row r="7545" spans="1:2" x14ac:dyDescent="0.25">
      <c r="A7545" s="104"/>
      <c r="B7545" s="104"/>
    </row>
    <row r="7546" spans="1:2" x14ac:dyDescent="0.25">
      <c r="A7546" s="104"/>
      <c r="B7546" s="104"/>
    </row>
    <row r="7547" spans="1:2" x14ac:dyDescent="0.25">
      <c r="A7547" s="104"/>
      <c r="B7547" s="104"/>
    </row>
    <row r="7548" spans="1:2" x14ac:dyDescent="0.25">
      <c r="A7548" s="104"/>
      <c r="B7548" s="104"/>
    </row>
    <row r="7549" spans="1:2" x14ac:dyDescent="0.25">
      <c r="A7549" s="104"/>
      <c r="B7549" s="104"/>
    </row>
    <row r="7550" spans="1:2" x14ac:dyDescent="0.25">
      <c r="A7550" s="104"/>
      <c r="B7550" s="104"/>
    </row>
    <row r="7551" spans="1:2" x14ac:dyDescent="0.25">
      <c r="A7551" s="104"/>
      <c r="B7551" s="104"/>
    </row>
    <row r="7552" spans="1:2" x14ac:dyDescent="0.25">
      <c r="A7552" s="104"/>
      <c r="B7552" s="104"/>
    </row>
    <row r="7553" spans="1:2" x14ac:dyDescent="0.25">
      <c r="A7553" s="104"/>
      <c r="B7553" s="104"/>
    </row>
    <row r="7554" spans="1:2" x14ac:dyDescent="0.25">
      <c r="A7554" s="104"/>
      <c r="B7554" s="104"/>
    </row>
    <row r="7555" spans="1:2" x14ac:dyDescent="0.25">
      <c r="A7555" s="104"/>
      <c r="B7555" s="104"/>
    </row>
    <row r="7556" spans="1:2" x14ac:dyDescent="0.25">
      <c r="A7556" s="104"/>
      <c r="B7556" s="104"/>
    </row>
    <row r="7557" spans="1:2" x14ac:dyDescent="0.25">
      <c r="A7557" s="104"/>
      <c r="B7557" s="104"/>
    </row>
    <row r="7558" spans="1:2" x14ac:dyDescent="0.25">
      <c r="A7558" s="104"/>
      <c r="B7558" s="104"/>
    </row>
    <row r="7559" spans="1:2" x14ac:dyDescent="0.25">
      <c r="A7559" s="104"/>
      <c r="B7559" s="104"/>
    </row>
    <row r="7560" spans="1:2" x14ac:dyDescent="0.25">
      <c r="A7560" s="104"/>
      <c r="B7560" s="104"/>
    </row>
    <row r="7561" spans="1:2" x14ac:dyDescent="0.25">
      <c r="A7561" s="104"/>
      <c r="B7561" s="104"/>
    </row>
    <row r="7562" spans="1:2" x14ac:dyDescent="0.25">
      <c r="A7562" s="104"/>
      <c r="B7562" s="104"/>
    </row>
    <row r="7563" spans="1:2" x14ac:dyDescent="0.25">
      <c r="A7563" s="104"/>
      <c r="B7563" s="104"/>
    </row>
    <row r="7564" spans="1:2" x14ac:dyDescent="0.25">
      <c r="A7564" s="104"/>
      <c r="B7564" s="104"/>
    </row>
    <row r="7565" spans="1:2" x14ac:dyDescent="0.25">
      <c r="A7565" s="104"/>
      <c r="B7565" s="104"/>
    </row>
    <row r="7566" spans="1:2" x14ac:dyDescent="0.25">
      <c r="A7566" s="104"/>
      <c r="B7566" s="104"/>
    </row>
    <row r="7567" spans="1:2" x14ac:dyDescent="0.25">
      <c r="A7567" s="104"/>
      <c r="B7567" s="104"/>
    </row>
    <row r="7568" spans="1:2" x14ac:dyDescent="0.25">
      <c r="A7568" s="104"/>
      <c r="B7568" s="104"/>
    </row>
    <row r="7569" spans="1:2" x14ac:dyDescent="0.25">
      <c r="A7569" s="104"/>
      <c r="B7569" s="104"/>
    </row>
    <row r="7570" spans="1:2" x14ac:dyDescent="0.25">
      <c r="A7570" s="104"/>
      <c r="B7570" s="104"/>
    </row>
    <row r="7571" spans="1:2" x14ac:dyDescent="0.25">
      <c r="A7571" s="104"/>
      <c r="B7571" s="104"/>
    </row>
    <row r="7572" spans="1:2" x14ac:dyDescent="0.25">
      <c r="A7572" s="104"/>
      <c r="B7572" s="104"/>
    </row>
    <row r="7573" spans="1:2" x14ac:dyDescent="0.25">
      <c r="A7573" s="104"/>
      <c r="B7573" s="104"/>
    </row>
    <row r="7574" spans="1:2" x14ac:dyDescent="0.25">
      <c r="A7574" s="104"/>
      <c r="B7574" s="104"/>
    </row>
    <row r="7575" spans="1:2" x14ac:dyDescent="0.25">
      <c r="A7575" s="104"/>
      <c r="B7575" s="104"/>
    </row>
    <row r="7576" spans="1:2" x14ac:dyDescent="0.25">
      <c r="A7576" s="104"/>
      <c r="B7576" s="104"/>
    </row>
    <row r="7577" spans="1:2" x14ac:dyDescent="0.25">
      <c r="A7577" s="104"/>
      <c r="B7577" s="104"/>
    </row>
    <row r="7578" spans="1:2" x14ac:dyDescent="0.25">
      <c r="A7578" s="104"/>
      <c r="B7578" s="104"/>
    </row>
    <row r="7579" spans="1:2" x14ac:dyDescent="0.25">
      <c r="A7579" s="104"/>
      <c r="B7579" s="104"/>
    </row>
    <row r="7580" spans="1:2" x14ac:dyDescent="0.25">
      <c r="A7580" s="104"/>
      <c r="B7580" s="104"/>
    </row>
    <row r="7581" spans="1:2" x14ac:dyDescent="0.25">
      <c r="A7581" s="104"/>
      <c r="B7581" s="104"/>
    </row>
    <row r="7582" spans="1:2" x14ac:dyDescent="0.25">
      <c r="A7582" s="104"/>
      <c r="B7582" s="104"/>
    </row>
    <row r="7583" spans="1:2" x14ac:dyDescent="0.25">
      <c r="A7583" s="104"/>
      <c r="B7583" s="104"/>
    </row>
    <row r="7584" spans="1:2" x14ac:dyDescent="0.25">
      <c r="A7584" s="104"/>
      <c r="B7584" s="104"/>
    </row>
    <row r="7585" spans="1:2" x14ac:dyDescent="0.25">
      <c r="A7585" s="104"/>
      <c r="B7585" s="104"/>
    </row>
    <row r="7586" spans="1:2" x14ac:dyDescent="0.25">
      <c r="A7586" s="104"/>
      <c r="B7586" s="104"/>
    </row>
    <row r="7587" spans="1:2" x14ac:dyDescent="0.25">
      <c r="A7587" s="104"/>
      <c r="B7587" s="104"/>
    </row>
    <row r="7588" spans="1:2" x14ac:dyDescent="0.25">
      <c r="A7588" s="104"/>
      <c r="B7588" s="104"/>
    </row>
    <row r="7589" spans="1:2" x14ac:dyDescent="0.25">
      <c r="A7589" s="104"/>
      <c r="B7589" s="104"/>
    </row>
    <row r="7590" spans="1:2" x14ac:dyDescent="0.25">
      <c r="A7590" s="104"/>
      <c r="B7590" s="104"/>
    </row>
    <row r="7591" spans="1:2" x14ac:dyDescent="0.25">
      <c r="A7591" s="104"/>
      <c r="B7591" s="104"/>
    </row>
    <row r="7592" spans="1:2" x14ac:dyDescent="0.25">
      <c r="A7592" s="104"/>
      <c r="B7592" s="104"/>
    </row>
    <row r="7593" spans="1:2" x14ac:dyDescent="0.25">
      <c r="A7593" s="104"/>
      <c r="B7593" s="104"/>
    </row>
    <row r="7594" spans="1:2" x14ac:dyDescent="0.25">
      <c r="A7594" s="104"/>
      <c r="B7594" s="104"/>
    </row>
    <row r="7595" spans="1:2" x14ac:dyDescent="0.25">
      <c r="A7595" s="104"/>
      <c r="B7595" s="104"/>
    </row>
    <row r="7596" spans="1:2" x14ac:dyDescent="0.25">
      <c r="A7596" s="104"/>
      <c r="B7596" s="104"/>
    </row>
    <row r="7597" spans="1:2" x14ac:dyDescent="0.25">
      <c r="A7597" s="104"/>
      <c r="B7597" s="104"/>
    </row>
    <row r="7598" spans="1:2" x14ac:dyDescent="0.25">
      <c r="A7598" s="104"/>
      <c r="B7598" s="104"/>
    </row>
    <row r="7599" spans="1:2" x14ac:dyDescent="0.25">
      <c r="A7599" s="104"/>
      <c r="B7599" s="104"/>
    </row>
    <row r="7600" spans="1:2" x14ac:dyDescent="0.25">
      <c r="A7600" s="104"/>
      <c r="B7600" s="104"/>
    </row>
    <row r="7601" spans="1:2" x14ac:dyDescent="0.25">
      <c r="A7601" s="104"/>
      <c r="B7601" s="104"/>
    </row>
    <row r="7602" spans="1:2" x14ac:dyDescent="0.25">
      <c r="A7602" s="104"/>
      <c r="B7602" s="104"/>
    </row>
    <row r="7603" spans="1:2" x14ac:dyDescent="0.25">
      <c r="A7603" s="104"/>
      <c r="B7603" s="104"/>
    </row>
    <row r="7604" spans="1:2" x14ac:dyDescent="0.25">
      <c r="A7604" s="104"/>
      <c r="B7604" s="104"/>
    </row>
    <row r="7605" spans="1:2" x14ac:dyDescent="0.25">
      <c r="A7605" s="104"/>
      <c r="B7605" s="104"/>
    </row>
    <row r="7606" spans="1:2" x14ac:dyDescent="0.25">
      <c r="A7606" s="104"/>
      <c r="B7606" s="104"/>
    </row>
    <row r="7607" spans="1:2" x14ac:dyDescent="0.25">
      <c r="A7607" s="104"/>
      <c r="B7607" s="104"/>
    </row>
    <row r="7608" spans="1:2" x14ac:dyDescent="0.25">
      <c r="A7608" s="104"/>
      <c r="B7608" s="104"/>
    </row>
    <row r="7609" spans="1:2" x14ac:dyDescent="0.25">
      <c r="A7609" s="104"/>
      <c r="B7609" s="104"/>
    </row>
    <row r="7610" spans="1:2" x14ac:dyDescent="0.25">
      <c r="A7610" s="104"/>
      <c r="B7610" s="104"/>
    </row>
    <row r="7611" spans="1:2" x14ac:dyDescent="0.25">
      <c r="A7611" s="104"/>
      <c r="B7611" s="104"/>
    </row>
    <row r="7612" spans="1:2" x14ac:dyDescent="0.25">
      <c r="A7612" s="104"/>
      <c r="B7612" s="104"/>
    </row>
    <row r="7613" spans="1:2" x14ac:dyDescent="0.25">
      <c r="A7613" s="104"/>
      <c r="B7613" s="104"/>
    </row>
    <row r="7614" spans="1:2" x14ac:dyDescent="0.25">
      <c r="A7614" s="104"/>
      <c r="B7614" s="104"/>
    </row>
    <row r="7615" spans="1:2" x14ac:dyDescent="0.25">
      <c r="A7615" s="104"/>
      <c r="B7615" s="104"/>
    </row>
    <row r="7616" spans="1:2" x14ac:dyDescent="0.25">
      <c r="A7616" s="104"/>
      <c r="B7616" s="104"/>
    </row>
    <row r="7617" spans="1:2" x14ac:dyDescent="0.25">
      <c r="A7617" s="104"/>
      <c r="B7617" s="104"/>
    </row>
    <row r="7618" spans="1:2" x14ac:dyDescent="0.25">
      <c r="A7618" s="104"/>
      <c r="B7618" s="104"/>
    </row>
    <row r="7619" spans="1:2" x14ac:dyDescent="0.25">
      <c r="A7619" s="104"/>
      <c r="B7619" s="104"/>
    </row>
    <row r="7620" spans="1:2" x14ac:dyDescent="0.25">
      <c r="A7620" s="104"/>
      <c r="B7620" s="104"/>
    </row>
    <row r="7621" spans="1:2" x14ac:dyDescent="0.25">
      <c r="A7621" s="104"/>
      <c r="B7621" s="104"/>
    </row>
    <row r="7622" spans="1:2" x14ac:dyDescent="0.25">
      <c r="A7622" s="104"/>
      <c r="B7622" s="104"/>
    </row>
    <row r="7623" spans="1:2" x14ac:dyDescent="0.25">
      <c r="A7623" s="104"/>
      <c r="B7623" s="104"/>
    </row>
    <row r="7624" spans="1:2" x14ac:dyDescent="0.25">
      <c r="A7624" s="104"/>
      <c r="B7624" s="104"/>
    </row>
    <row r="7625" spans="1:2" x14ac:dyDescent="0.25">
      <c r="A7625" s="104"/>
      <c r="B7625" s="104"/>
    </row>
    <row r="7626" spans="1:2" x14ac:dyDescent="0.25">
      <c r="A7626" s="104"/>
      <c r="B7626" s="104"/>
    </row>
    <row r="7627" spans="1:2" x14ac:dyDescent="0.25">
      <c r="A7627" s="104"/>
      <c r="B7627" s="104"/>
    </row>
    <row r="7628" spans="1:2" x14ac:dyDescent="0.25">
      <c r="A7628" s="104"/>
      <c r="B7628" s="104"/>
    </row>
    <row r="7629" spans="1:2" x14ac:dyDescent="0.25">
      <c r="A7629" s="104"/>
      <c r="B7629" s="104"/>
    </row>
    <row r="7630" spans="1:2" x14ac:dyDescent="0.25">
      <c r="A7630" s="104"/>
      <c r="B7630" s="104"/>
    </row>
    <row r="7631" spans="1:2" x14ac:dyDescent="0.25">
      <c r="A7631" s="104"/>
      <c r="B7631" s="104"/>
    </row>
    <row r="7632" spans="1:2" x14ac:dyDescent="0.25">
      <c r="A7632" s="104"/>
      <c r="B7632" s="104"/>
    </row>
    <row r="7633" spans="1:2" x14ac:dyDescent="0.25">
      <c r="A7633" s="104"/>
      <c r="B7633" s="104"/>
    </row>
    <row r="7634" spans="1:2" x14ac:dyDescent="0.25">
      <c r="A7634" s="104"/>
      <c r="B7634" s="104"/>
    </row>
    <row r="7635" spans="1:2" x14ac:dyDescent="0.25">
      <c r="A7635" s="104"/>
      <c r="B7635" s="104"/>
    </row>
    <row r="7636" spans="1:2" x14ac:dyDescent="0.25">
      <c r="A7636" s="104"/>
      <c r="B7636" s="104"/>
    </row>
    <row r="7637" spans="1:2" x14ac:dyDescent="0.25">
      <c r="A7637" s="104"/>
      <c r="B7637" s="104"/>
    </row>
    <row r="7638" spans="1:2" x14ac:dyDescent="0.25">
      <c r="A7638" s="104"/>
      <c r="B7638" s="104"/>
    </row>
    <row r="7639" spans="1:2" x14ac:dyDescent="0.25">
      <c r="A7639" s="104"/>
      <c r="B7639" s="104"/>
    </row>
    <row r="7640" spans="1:2" x14ac:dyDescent="0.25">
      <c r="A7640" s="104"/>
      <c r="B7640" s="104"/>
    </row>
    <row r="7641" spans="1:2" x14ac:dyDescent="0.25">
      <c r="A7641" s="104"/>
      <c r="B7641" s="104"/>
    </row>
    <row r="7642" spans="1:2" x14ac:dyDescent="0.25">
      <c r="A7642" s="104"/>
      <c r="B7642" s="104"/>
    </row>
    <row r="7643" spans="1:2" x14ac:dyDescent="0.25">
      <c r="A7643" s="104"/>
      <c r="B7643" s="104"/>
    </row>
    <row r="7644" spans="1:2" x14ac:dyDescent="0.25">
      <c r="A7644" s="104"/>
      <c r="B7644" s="104"/>
    </row>
    <row r="7645" spans="1:2" x14ac:dyDescent="0.25">
      <c r="A7645" s="104"/>
      <c r="B7645" s="104"/>
    </row>
    <row r="7646" spans="1:2" x14ac:dyDescent="0.25">
      <c r="A7646" s="104"/>
      <c r="B7646" s="104"/>
    </row>
    <row r="7647" spans="1:2" x14ac:dyDescent="0.25">
      <c r="A7647" s="104"/>
      <c r="B7647" s="104"/>
    </row>
    <row r="7648" spans="1:2" x14ac:dyDescent="0.25">
      <c r="A7648" s="104"/>
      <c r="B7648" s="104"/>
    </row>
    <row r="7649" spans="1:2" x14ac:dyDescent="0.25">
      <c r="A7649" s="104"/>
      <c r="B7649" s="104"/>
    </row>
    <row r="7650" spans="1:2" x14ac:dyDescent="0.25">
      <c r="A7650" s="104"/>
      <c r="B7650" s="104"/>
    </row>
    <row r="7651" spans="1:2" x14ac:dyDescent="0.25">
      <c r="A7651" s="104"/>
      <c r="B7651" s="104"/>
    </row>
    <row r="7652" spans="1:2" x14ac:dyDescent="0.25">
      <c r="A7652" s="104"/>
      <c r="B7652" s="104"/>
    </row>
    <row r="7653" spans="1:2" x14ac:dyDescent="0.25">
      <c r="A7653" s="104"/>
      <c r="B7653" s="104"/>
    </row>
    <row r="7654" spans="1:2" x14ac:dyDescent="0.25">
      <c r="A7654" s="104"/>
      <c r="B7654" s="104"/>
    </row>
    <row r="7655" spans="1:2" x14ac:dyDescent="0.25">
      <c r="A7655" s="104"/>
      <c r="B7655" s="104"/>
    </row>
    <row r="7656" spans="1:2" x14ac:dyDescent="0.25">
      <c r="A7656" s="104"/>
      <c r="B7656" s="104"/>
    </row>
    <row r="7657" spans="1:2" x14ac:dyDescent="0.25">
      <c r="A7657" s="104"/>
      <c r="B7657" s="104"/>
    </row>
    <row r="7658" spans="1:2" x14ac:dyDescent="0.25">
      <c r="A7658" s="104"/>
      <c r="B7658" s="104"/>
    </row>
    <row r="7659" spans="1:2" x14ac:dyDescent="0.25">
      <c r="A7659" s="104"/>
      <c r="B7659" s="104"/>
    </row>
    <row r="7660" spans="1:2" x14ac:dyDescent="0.25">
      <c r="A7660" s="104"/>
      <c r="B7660" s="104"/>
    </row>
    <row r="7661" spans="1:2" x14ac:dyDescent="0.25">
      <c r="A7661" s="104"/>
      <c r="B7661" s="104"/>
    </row>
    <row r="7662" spans="1:2" x14ac:dyDescent="0.25">
      <c r="A7662" s="104"/>
      <c r="B7662" s="104"/>
    </row>
    <row r="7663" spans="1:2" x14ac:dyDescent="0.25">
      <c r="A7663" s="104"/>
      <c r="B7663" s="104"/>
    </row>
    <row r="7664" spans="1:2" x14ac:dyDescent="0.25">
      <c r="A7664" s="104"/>
      <c r="B7664" s="104"/>
    </row>
    <row r="7665" spans="1:2" x14ac:dyDescent="0.25">
      <c r="A7665" s="104"/>
      <c r="B7665" s="104"/>
    </row>
    <row r="7666" spans="1:2" x14ac:dyDescent="0.25">
      <c r="A7666" s="104"/>
      <c r="B7666" s="104"/>
    </row>
    <row r="7667" spans="1:2" x14ac:dyDescent="0.25">
      <c r="A7667" s="104"/>
      <c r="B7667" s="104"/>
    </row>
    <row r="7668" spans="1:2" x14ac:dyDescent="0.25">
      <c r="A7668" s="104"/>
      <c r="B7668" s="104"/>
    </row>
    <row r="7669" spans="1:2" x14ac:dyDescent="0.25">
      <c r="A7669" s="104"/>
      <c r="B7669" s="104"/>
    </row>
    <row r="7670" spans="1:2" x14ac:dyDescent="0.25">
      <c r="A7670" s="104"/>
      <c r="B7670" s="104"/>
    </row>
    <row r="7671" spans="1:2" x14ac:dyDescent="0.25">
      <c r="A7671" s="104"/>
      <c r="B7671" s="104"/>
    </row>
    <row r="7672" spans="1:2" x14ac:dyDescent="0.25">
      <c r="A7672" s="104"/>
      <c r="B7672" s="104"/>
    </row>
    <row r="7673" spans="1:2" x14ac:dyDescent="0.25">
      <c r="A7673" s="104"/>
      <c r="B7673" s="104"/>
    </row>
    <row r="7674" spans="1:2" x14ac:dyDescent="0.25">
      <c r="A7674" s="104"/>
      <c r="B7674" s="104"/>
    </row>
    <row r="7675" spans="1:2" x14ac:dyDescent="0.25">
      <c r="A7675" s="104"/>
      <c r="B7675" s="104"/>
    </row>
    <row r="7676" spans="1:2" x14ac:dyDescent="0.25">
      <c r="A7676" s="104"/>
      <c r="B7676" s="104"/>
    </row>
    <row r="7677" spans="1:2" x14ac:dyDescent="0.25">
      <c r="A7677" s="104"/>
      <c r="B7677" s="104"/>
    </row>
    <row r="7678" spans="1:2" x14ac:dyDescent="0.25">
      <c r="A7678" s="104"/>
      <c r="B7678" s="104"/>
    </row>
    <row r="7679" spans="1:2" x14ac:dyDescent="0.25">
      <c r="A7679" s="104"/>
      <c r="B7679" s="104"/>
    </row>
    <row r="7680" spans="1:2" x14ac:dyDescent="0.25">
      <c r="A7680" s="104"/>
      <c r="B7680" s="104"/>
    </row>
    <row r="7681" spans="1:2" x14ac:dyDescent="0.25">
      <c r="A7681" s="104"/>
      <c r="B7681" s="104"/>
    </row>
    <row r="7682" spans="1:2" x14ac:dyDescent="0.25">
      <c r="A7682" s="104"/>
      <c r="B7682" s="104"/>
    </row>
    <row r="7683" spans="1:2" x14ac:dyDescent="0.25">
      <c r="A7683" s="104"/>
      <c r="B7683" s="104"/>
    </row>
    <row r="7684" spans="1:2" x14ac:dyDescent="0.25">
      <c r="A7684" s="104"/>
      <c r="B7684" s="104"/>
    </row>
    <row r="7685" spans="1:2" x14ac:dyDescent="0.25">
      <c r="A7685" s="104"/>
      <c r="B7685" s="104"/>
    </row>
    <row r="7686" spans="1:2" x14ac:dyDescent="0.25">
      <c r="A7686" s="104"/>
      <c r="B7686" s="104"/>
    </row>
    <row r="7687" spans="1:2" x14ac:dyDescent="0.25">
      <c r="A7687" s="104"/>
      <c r="B7687" s="104"/>
    </row>
    <row r="7688" spans="1:2" x14ac:dyDescent="0.25">
      <c r="A7688" s="104"/>
      <c r="B7688" s="104"/>
    </row>
    <row r="7689" spans="1:2" x14ac:dyDescent="0.25">
      <c r="A7689" s="104"/>
      <c r="B7689" s="104"/>
    </row>
    <row r="7690" spans="1:2" x14ac:dyDescent="0.25">
      <c r="A7690" s="104"/>
      <c r="B7690" s="104"/>
    </row>
    <row r="7691" spans="1:2" x14ac:dyDescent="0.25">
      <c r="A7691" s="104"/>
      <c r="B7691" s="104"/>
    </row>
    <row r="7692" spans="1:2" x14ac:dyDescent="0.25">
      <c r="A7692" s="104"/>
      <c r="B7692" s="104"/>
    </row>
    <row r="7693" spans="1:2" x14ac:dyDescent="0.25">
      <c r="A7693" s="104"/>
      <c r="B7693" s="104"/>
    </row>
    <row r="7694" spans="1:2" x14ac:dyDescent="0.25">
      <c r="A7694" s="104"/>
      <c r="B7694" s="104"/>
    </row>
    <row r="7695" spans="1:2" x14ac:dyDescent="0.25">
      <c r="A7695" s="104"/>
      <c r="B7695" s="104"/>
    </row>
    <row r="7696" spans="1:2" x14ac:dyDescent="0.25">
      <c r="A7696" s="104"/>
      <c r="B7696" s="104"/>
    </row>
    <row r="7697" spans="1:2" x14ac:dyDescent="0.25">
      <c r="A7697" s="104"/>
      <c r="B7697" s="104"/>
    </row>
    <row r="7698" spans="1:2" x14ac:dyDescent="0.25">
      <c r="A7698" s="104"/>
      <c r="B7698" s="104"/>
    </row>
    <row r="7699" spans="1:2" x14ac:dyDescent="0.25">
      <c r="A7699" s="104"/>
      <c r="B7699" s="104"/>
    </row>
    <row r="7700" spans="1:2" x14ac:dyDescent="0.25">
      <c r="A7700" s="104"/>
      <c r="B7700" s="104"/>
    </row>
    <row r="7701" spans="1:2" x14ac:dyDescent="0.25">
      <c r="A7701" s="104"/>
      <c r="B7701" s="104"/>
    </row>
    <row r="7702" spans="1:2" x14ac:dyDescent="0.25">
      <c r="A7702" s="104"/>
      <c r="B7702" s="104"/>
    </row>
    <row r="7703" spans="1:2" x14ac:dyDescent="0.25">
      <c r="A7703" s="104"/>
      <c r="B7703" s="104"/>
    </row>
    <row r="7704" spans="1:2" x14ac:dyDescent="0.25">
      <c r="A7704" s="104"/>
      <c r="B7704" s="104"/>
    </row>
    <row r="7705" spans="1:2" x14ac:dyDescent="0.25">
      <c r="A7705" s="104"/>
      <c r="B7705" s="104"/>
    </row>
    <row r="7706" spans="1:2" x14ac:dyDescent="0.25">
      <c r="A7706" s="104"/>
      <c r="B7706" s="104"/>
    </row>
    <row r="7707" spans="1:2" x14ac:dyDescent="0.25">
      <c r="A7707" s="104"/>
      <c r="B7707" s="104"/>
    </row>
    <row r="7708" spans="1:2" x14ac:dyDescent="0.25">
      <c r="A7708" s="104"/>
      <c r="B7708" s="104"/>
    </row>
    <row r="7709" spans="1:2" x14ac:dyDescent="0.25">
      <c r="A7709" s="104"/>
      <c r="B7709" s="104"/>
    </row>
    <row r="7710" spans="1:2" x14ac:dyDescent="0.25">
      <c r="A7710" s="104"/>
      <c r="B7710" s="104"/>
    </row>
    <row r="7711" spans="1:2" x14ac:dyDescent="0.25">
      <c r="A7711" s="104"/>
      <c r="B7711" s="104"/>
    </row>
    <row r="7712" spans="1:2" x14ac:dyDescent="0.25">
      <c r="A7712" s="104"/>
      <c r="B7712" s="104"/>
    </row>
    <row r="7713" spans="1:2" x14ac:dyDescent="0.25">
      <c r="A7713" s="104"/>
      <c r="B7713" s="104"/>
    </row>
    <row r="7714" spans="1:2" x14ac:dyDescent="0.25">
      <c r="A7714" s="104"/>
      <c r="B7714" s="104"/>
    </row>
    <row r="7715" spans="1:2" x14ac:dyDescent="0.25">
      <c r="A7715" s="104"/>
      <c r="B7715" s="104"/>
    </row>
    <row r="7716" spans="1:2" x14ac:dyDescent="0.25">
      <c r="A7716" s="104"/>
      <c r="B7716" s="104"/>
    </row>
    <row r="7717" spans="1:2" x14ac:dyDescent="0.25">
      <c r="A7717" s="104"/>
      <c r="B7717" s="104"/>
    </row>
    <row r="7718" spans="1:2" x14ac:dyDescent="0.25">
      <c r="A7718" s="104"/>
      <c r="B7718" s="104"/>
    </row>
    <row r="7719" spans="1:2" x14ac:dyDescent="0.25">
      <c r="A7719" s="104"/>
      <c r="B7719" s="104"/>
    </row>
    <row r="7720" spans="1:2" x14ac:dyDescent="0.25">
      <c r="A7720" s="104"/>
      <c r="B7720" s="104"/>
    </row>
    <row r="7721" spans="1:2" x14ac:dyDescent="0.25">
      <c r="A7721" s="104"/>
      <c r="B7721" s="104"/>
    </row>
    <row r="7722" spans="1:2" x14ac:dyDescent="0.25">
      <c r="A7722" s="104"/>
      <c r="B7722" s="104"/>
    </row>
    <row r="7723" spans="1:2" x14ac:dyDescent="0.25">
      <c r="A7723" s="104"/>
      <c r="B7723" s="104"/>
    </row>
    <row r="7724" spans="1:2" x14ac:dyDescent="0.25">
      <c r="A7724" s="104"/>
      <c r="B7724" s="104"/>
    </row>
    <row r="7725" spans="1:2" x14ac:dyDescent="0.25">
      <c r="A7725" s="104"/>
      <c r="B7725" s="104"/>
    </row>
    <row r="7726" spans="1:2" x14ac:dyDescent="0.25">
      <c r="A7726" s="104"/>
      <c r="B7726" s="104"/>
    </row>
    <row r="7727" spans="1:2" x14ac:dyDescent="0.25">
      <c r="A7727" s="104"/>
      <c r="B7727" s="104"/>
    </row>
    <row r="7728" spans="1:2" x14ac:dyDescent="0.25">
      <c r="A7728" s="104"/>
      <c r="B7728" s="104"/>
    </row>
    <row r="7729" spans="1:2" x14ac:dyDescent="0.25">
      <c r="A7729" s="104"/>
      <c r="B7729" s="104"/>
    </row>
    <row r="7730" spans="1:2" x14ac:dyDescent="0.25">
      <c r="A7730" s="104"/>
      <c r="B7730" s="104"/>
    </row>
    <row r="7731" spans="1:2" x14ac:dyDescent="0.25">
      <c r="A7731" s="104"/>
      <c r="B7731" s="104"/>
    </row>
    <row r="7732" spans="1:2" x14ac:dyDescent="0.25">
      <c r="A7732" s="104"/>
      <c r="B7732" s="104"/>
    </row>
    <row r="7733" spans="1:2" x14ac:dyDescent="0.25">
      <c r="A7733" s="104"/>
      <c r="B7733" s="104"/>
    </row>
    <row r="7734" spans="1:2" x14ac:dyDescent="0.25">
      <c r="A7734" s="104"/>
      <c r="B7734" s="104"/>
    </row>
    <row r="7735" spans="1:2" x14ac:dyDescent="0.25">
      <c r="A7735" s="104"/>
      <c r="B7735" s="104"/>
    </row>
    <row r="7736" spans="1:2" x14ac:dyDescent="0.25">
      <c r="A7736" s="104"/>
      <c r="B7736" s="104"/>
    </row>
    <row r="7737" spans="1:2" x14ac:dyDescent="0.25">
      <c r="A7737" s="104"/>
      <c r="B7737" s="104"/>
    </row>
    <row r="7738" spans="1:2" x14ac:dyDescent="0.25">
      <c r="A7738" s="104"/>
      <c r="B7738" s="104"/>
    </row>
    <row r="7739" spans="1:2" x14ac:dyDescent="0.25">
      <c r="A7739" s="104"/>
      <c r="B7739" s="104"/>
    </row>
    <row r="7740" spans="1:2" x14ac:dyDescent="0.25">
      <c r="A7740" s="104"/>
      <c r="B7740" s="104"/>
    </row>
    <row r="7741" spans="1:2" x14ac:dyDescent="0.25">
      <c r="A7741" s="104"/>
      <c r="B7741" s="104"/>
    </row>
    <row r="7742" spans="1:2" x14ac:dyDescent="0.25">
      <c r="A7742" s="104"/>
      <c r="B7742" s="104"/>
    </row>
    <row r="7743" spans="1:2" x14ac:dyDescent="0.25">
      <c r="A7743" s="104"/>
      <c r="B7743" s="104"/>
    </row>
    <row r="7744" spans="1:2" x14ac:dyDescent="0.25">
      <c r="A7744" s="104"/>
      <c r="B7744" s="104"/>
    </row>
    <row r="7745" spans="1:2" x14ac:dyDescent="0.25">
      <c r="A7745" s="104"/>
      <c r="B7745" s="104"/>
    </row>
    <row r="7746" spans="1:2" x14ac:dyDescent="0.25">
      <c r="A7746" s="104"/>
      <c r="B7746" s="104"/>
    </row>
    <row r="7747" spans="1:2" x14ac:dyDescent="0.25">
      <c r="A7747" s="104"/>
      <c r="B7747" s="104"/>
    </row>
    <row r="7748" spans="1:2" x14ac:dyDescent="0.25">
      <c r="A7748" s="104"/>
      <c r="B7748" s="104"/>
    </row>
    <row r="7749" spans="1:2" x14ac:dyDescent="0.25">
      <c r="A7749" s="104"/>
      <c r="B7749" s="104"/>
    </row>
    <row r="7750" spans="1:2" x14ac:dyDescent="0.25">
      <c r="A7750" s="104"/>
      <c r="B7750" s="104"/>
    </row>
    <row r="7751" spans="1:2" x14ac:dyDescent="0.25">
      <c r="A7751" s="104"/>
      <c r="B7751" s="104"/>
    </row>
    <row r="7752" spans="1:2" x14ac:dyDescent="0.25">
      <c r="A7752" s="104"/>
      <c r="B7752" s="104"/>
    </row>
    <row r="7753" spans="1:2" x14ac:dyDescent="0.25">
      <c r="A7753" s="104"/>
      <c r="B7753" s="104"/>
    </row>
    <row r="7754" spans="1:2" x14ac:dyDescent="0.25">
      <c r="A7754" s="104"/>
      <c r="B7754" s="104"/>
    </row>
    <row r="7755" spans="1:2" x14ac:dyDescent="0.25">
      <c r="A7755" s="104"/>
      <c r="B7755" s="104"/>
    </row>
    <row r="7756" spans="1:2" x14ac:dyDescent="0.25">
      <c r="A7756" s="104"/>
      <c r="B7756" s="104"/>
    </row>
    <row r="7757" spans="1:2" x14ac:dyDescent="0.25">
      <c r="A7757" s="104"/>
      <c r="B7757" s="104"/>
    </row>
    <row r="7758" spans="1:2" x14ac:dyDescent="0.25">
      <c r="A7758" s="104"/>
      <c r="B7758" s="104"/>
    </row>
    <row r="7759" spans="1:2" x14ac:dyDescent="0.25">
      <c r="A7759" s="104"/>
      <c r="B7759" s="104"/>
    </row>
    <row r="7760" spans="1:2" x14ac:dyDescent="0.25">
      <c r="A7760" s="104"/>
      <c r="B7760" s="104"/>
    </row>
    <row r="7761" spans="1:2" x14ac:dyDescent="0.25">
      <c r="A7761" s="104"/>
      <c r="B7761" s="104"/>
    </row>
    <row r="7762" spans="1:2" x14ac:dyDescent="0.25">
      <c r="A7762" s="104"/>
      <c r="B7762" s="104"/>
    </row>
    <row r="7763" spans="1:2" x14ac:dyDescent="0.25">
      <c r="A7763" s="104"/>
      <c r="B7763" s="104"/>
    </row>
    <row r="7764" spans="1:2" x14ac:dyDescent="0.25">
      <c r="A7764" s="104"/>
      <c r="B7764" s="104"/>
    </row>
    <row r="7765" spans="1:2" x14ac:dyDescent="0.25">
      <c r="A7765" s="104"/>
      <c r="B7765" s="104"/>
    </row>
    <row r="7766" spans="1:2" x14ac:dyDescent="0.25">
      <c r="A7766" s="104"/>
      <c r="B7766" s="104"/>
    </row>
    <row r="7767" spans="1:2" x14ac:dyDescent="0.25">
      <c r="A7767" s="104"/>
      <c r="B7767" s="104"/>
    </row>
    <row r="7768" spans="1:2" x14ac:dyDescent="0.25">
      <c r="A7768" s="104"/>
      <c r="B7768" s="104"/>
    </row>
    <row r="7769" spans="1:2" x14ac:dyDescent="0.25">
      <c r="A7769" s="104"/>
      <c r="B7769" s="104"/>
    </row>
    <row r="7770" spans="1:2" x14ac:dyDescent="0.25">
      <c r="A7770" s="104"/>
      <c r="B7770" s="104"/>
    </row>
    <row r="7771" spans="1:2" x14ac:dyDescent="0.25">
      <c r="A7771" s="104"/>
      <c r="B7771" s="104"/>
    </row>
    <row r="7772" spans="1:2" x14ac:dyDescent="0.25">
      <c r="A7772" s="104"/>
      <c r="B7772" s="104"/>
    </row>
    <row r="7773" spans="1:2" x14ac:dyDescent="0.25">
      <c r="A7773" s="104"/>
      <c r="B7773" s="104"/>
    </row>
    <row r="7774" spans="1:2" x14ac:dyDescent="0.25">
      <c r="A7774" s="104"/>
      <c r="B7774" s="104"/>
    </row>
    <row r="7775" spans="1:2" x14ac:dyDescent="0.25">
      <c r="A7775" s="104"/>
      <c r="B7775" s="104"/>
    </row>
    <row r="7776" spans="1:2" x14ac:dyDescent="0.25">
      <c r="A7776" s="104"/>
      <c r="B7776" s="104"/>
    </row>
    <row r="7777" spans="1:2" x14ac:dyDescent="0.25">
      <c r="A7777" s="104"/>
      <c r="B7777" s="104"/>
    </row>
    <row r="7778" spans="1:2" x14ac:dyDescent="0.25">
      <c r="A7778" s="104"/>
      <c r="B7778" s="104"/>
    </row>
    <row r="7779" spans="1:2" x14ac:dyDescent="0.25">
      <c r="A7779" s="104"/>
      <c r="B7779" s="104"/>
    </row>
    <row r="7780" spans="1:2" x14ac:dyDescent="0.25">
      <c r="A7780" s="104"/>
      <c r="B7780" s="104"/>
    </row>
    <row r="7781" spans="1:2" x14ac:dyDescent="0.25">
      <c r="A7781" s="104"/>
      <c r="B7781" s="104"/>
    </row>
    <row r="7782" spans="1:2" x14ac:dyDescent="0.25">
      <c r="A7782" s="104"/>
      <c r="B7782" s="104"/>
    </row>
    <row r="7783" spans="1:2" x14ac:dyDescent="0.25">
      <c r="A7783" s="104"/>
      <c r="B7783" s="104"/>
    </row>
    <row r="7784" spans="1:2" x14ac:dyDescent="0.25">
      <c r="A7784" s="104"/>
      <c r="B7784" s="104"/>
    </row>
    <row r="7785" spans="1:2" x14ac:dyDescent="0.25">
      <c r="A7785" s="104"/>
      <c r="B7785" s="104"/>
    </row>
    <row r="7786" spans="1:2" x14ac:dyDescent="0.25">
      <c r="A7786" s="104"/>
      <c r="B7786" s="104"/>
    </row>
    <row r="7787" spans="1:2" x14ac:dyDescent="0.25">
      <c r="A7787" s="104"/>
      <c r="B7787" s="104"/>
    </row>
    <row r="7788" spans="1:2" x14ac:dyDescent="0.25">
      <c r="A7788" s="104"/>
      <c r="B7788" s="104"/>
    </row>
    <row r="7789" spans="1:2" x14ac:dyDescent="0.25">
      <c r="A7789" s="104"/>
      <c r="B7789" s="104"/>
    </row>
    <row r="7790" spans="1:2" x14ac:dyDescent="0.25">
      <c r="A7790" s="104"/>
      <c r="B7790" s="104"/>
    </row>
    <row r="7791" spans="1:2" x14ac:dyDescent="0.25">
      <c r="A7791" s="104"/>
      <c r="B7791" s="104"/>
    </row>
    <row r="7792" spans="1:2" x14ac:dyDescent="0.25">
      <c r="A7792" s="104"/>
      <c r="B7792" s="104"/>
    </row>
    <row r="7793" spans="1:2" x14ac:dyDescent="0.25">
      <c r="A7793" s="104"/>
      <c r="B7793" s="104"/>
    </row>
    <row r="7794" spans="1:2" x14ac:dyDescent="0.25">
      <c r="A7794" s="104"/>
      <c r="B7794" s="104"/>
    </row>
    <row r="7795" spans="1:2" x14ac:dyDescent="0.25">
      <c r="A7795" s="104"/>
      <c r="B7795" s="104"/>
    </row>
    <row r="7796" spans="1:2" x14ac:dyDescent="0.25">
      <c r="A7796" s="104"/>
      <c r="B7796" s="104"/>
    </row>
    <row r="7797" spans="1:2" x14ac:dyDescent="0.25">
      <c r="A7797" s="104"/>
      <c r="B7797" s="104"/>
    </row>
    <row r="7798" spans="1:2" x14ac:dyDescent="0.25">
      <c r="A7798" s="104"/>
      <c r="B7798" s="104"/>
    </row>
    <row r="7799" spans="1:2" x14ac:dyDescent="0.25">
      <c r="A7799" s="104"/>
      <c r="B7799" s="104"/>
    </row>
    <row r="7800" spans="1:2" x14ac:dyDescent="0.25">
      <c r="A7800" s="104"/>
      <c r="B7800" s="104"/>
    </row>
    <row r="7801" spans="1:2" x14ac:dyDescent="0.25">
      <c r="A7801" s="104"/>
      <c r="B7801" s="104"/>
    </row>
    <row r="7802" spans="1:2" x14ac:dyDescent="0.25">
      <c r="A7802" s="104"/>
      <c r="B7802" s="104"/>
    </row>
    <row r="7803" spans="1:2" x14ac:dyDescent="0.25">
      <c r="A7803" s="104"/>
      <c r="B7803" s="104"/>
    </row>
    <row r="7804" spans="1:2" x14ac:dyDescent="0.25">
      <c r="A7804" s="104"/>
      <c r="B7804" s="104"/>
    </row>
    <row r="7805" spans="1:2" x14ac:dyDescent="0.25">
      <c r="A7805" s="104"/>
      <c r="B7805" s="104"/>
    </row>
    <row r="7806" spans="1:2" x14ac:dyDescent="0.25">
      <c r="A7806" s="104"/>
      <c r="B7806" s="104"/>
    </row>
    <row r="7807" spans="1:2" x14ac:dyDescent="0.25">
      <c r="A7807" s="104"/>
      <c r="B7807" s="104"/>
    </row>
    <row r="7808" spans="1:2" x14ac:dyDescent="0.25">
      <c r="A7808" s="104"/>
      <c r="B7808" s="104"/>
    </row>
    <row r="7809" spans="1:2" x14ac:dyDescent="0.25">
      <c r="A7809" s="104"/>
      <c r="B7809" s="104"/>
    </row>
    <row r="7810" spans="1:2" x14ac:dyDescent="0.25">
      <c r="A7810" s="104"/>
      <c r="B7810" s="104"/>
    </row>
    <row r="7811" spans="1:2" x14ac:dyDescent="0.25">
      <c r="A7811" s="104"/>
      <c r="B7811" s="104"/>
    </row>
    <row r="7812" spans="1:2" x14ac:dyDescent="0.25">
      <c r="A7812" s="104"/>
      <c r="B7812" s="104"/>
    </row>
    <row r="7813" spans="1:2" x14ac:dyDescent="0.25">
      <c r="A7813" s="104"/>
      <c r="B7813" s="104"/>
    </row>
    <row r="7814" spans="1:2" x14ac:dyDescent="0.25">
      <c r="A7814" s="104"/>
      <c r="B7814" s="104"/>
    </row>
    <row r="7815" spans="1:2" x14ac:dyDescent="0.25">
      <c r="A7815" s="104"/>
      <c r="B7815" s="104"/>
    </row>
    <row r="7816" spans="1:2" x14ac:dyDescent="0.25">
      <c r="A7816" s="104"/>
      <c r="B7816" s="104"/>
    </row>
    <row r="7817" spans="1:2" x14ac:dyDescent="0.25">
      <c r="A7817" s="104"/>
      <c r="B7817" s="104"/>
    </row>
    <row r="7818" spans="1:2" x14ac:dyDescent="0.25">
      <c r="A7818" s="104"/>
      <c r="B7818" s="104"/>
    </row>
    <row r="7819" spans="1:2" x14ac:dyDescent="0.25">
      <c r="A7819" s="104"/>
      <c r="B7819" s="104"/>
    </row>
    <row r="7820" spans="1:2" x14ac:dyDescent="0.25">
      <c r="A7820" s="104"/>
      <c r="B7820" s="104"/>
    </row>
    <row r="7821" spans="1:2" x14ac:dyDescent="0.25">
      <c r="A7821" s="104"/>
      <c r="B7821" s="104"/>
    </row>
    <row r="7822" spans="1:2" x14ac:dyDescent="0.25">
      <c r="A7822" s="104"/>
      <c r="B7822" s="104"/>
    </row>
    <row r="7823" spans="1:2" x14ac:dyDescent="0.25">
      <c r="A7823" s="104"/>
      <c r="B7823" s="104"/>
    </row>
    <row r="7824" spans="1:2" x14ac:dyDescent="0.25">
      <c r="A7824" s="104"/>
      <c r="B7824" s="104"/>
    </row>
    <row r="7825" spans="1:2" x14ac:dyDescent="0.25">
      <c r="A7825" s="104"/>
      <c r="B7825" s="104"/>
    </row>
    <row r="7826" spans="1:2" x14ac:dyDescent="0.25">
      <c r="A7826" s="104"/>
      <c r="B7826" s="104"/>
    </row>
    <row r="7827" spans="1:2" x14ac:dyDescent="0.25">
      <c r="A7827" s="104"/>
      <c r="B7827" s="104"/>
    </row>
    <row r="7828" spans="1:2" x14ac:dyDescent="0.25">
      <c r="A7828" s="104"/>
      <c r="B7828" s="104"/>
    </row>
    <row r="7829" spans="1:2" x14ac:dyDescent="0.25">
      <c r="A7829" s="104"/>
      <c r="B7829" s="104"/>
    </row>
    <row r="7830" spans="1:2" x14ac:dyDescent="0.25">
      <c r="A7830" s="104"/>
      <c r="B7830" s="104"/>
    </row>
    <row r="7831" spans="1:2" x14ac:dyDescent="0.25">
      <c r="A7831" s="104"/>
      <c r="B7831" s="104"/>
    </row>
    <row r="7832" spans="1:2" x14ac:dyDescent="0.25">
      <c r="A7832" s="104"/>
      <c r="B7832" s="104"/>
    </row>
    <row r="7833" spans="1:2" x14ac:dyDescent="0.25">
      <c r="A7833" s="104"/>
      <c r="B7833" s="104"/>
    </row>
    <row r="7834" spans="1:2" x14ac:dyDescent="0.25">
      <c r="A7834" s="104"/>
      <c r="B7834" s="104"/>
    </row>
    <row r="7835" spans="1:2" x14ac:dyDescent="0.25">
      <c r="A7835" s="104"/>
      <c r="B7835" s="104"/>
    </row>
    <row r="7836" spans="1:2" x14ac:dyDescent="0.25">
      <c r="A7836" s="104"/>
      <c r="B7836" s="104"/>
    </row>
    <row r="7837" spans="1:2" x14ac:dyDescent="0.25">
      <c r="A7837" s="104"/>
      <c r="B7837" s="104"/>
    </row>
    <row r="7838" spans="1:2" x14ac:dyDescent="0.25">
      <c r="A7838" s="104"/>
      <c r="B7838" s="104"/>
    </row>
    <row r="7839" spans="1:2" x14ac:dyDescent="0.25">
      <c r="A7839" s="104"/>
      <c r="B7839" s="104"/>
    </row>
    <row r="7840" spans="1:2" x14ac:dyDescent="0.25">
      <c r="A7840" s="104"/>
      <c r="B7840" s="104"/>
    </row>
    <row r="7841" spans="1:2" x14ac:dyDescent="0.25">
      <c r="A7841" s="104"/>
      <c r="B7841" s="104"/>
    </row>
    <row r="7842" spans="1:2" x14ac:dyDescent="0.25">
      <c r="A7842" s="104"/>
      <c r="B7842" s="104"/>
    </row>
    <row r="7843" spans="1:2" x14ac:dyDescent="0.25">
      <c r="A7843" s="104"/>
      <c r="B7843" s="104"/>
    </row>
    <row r="7844" spans="1:2" x14ac:dyDescent="0.25">
      <c r="A7844" s="104"/>
      <c r="B7844" s="104"/>
    </row>
    <row r="7845" spans="1:2" x14ac:dyDescent="0.25">
      <c r="A7845" s="104"/>
      <c r="B7845" s="104"/>
    </row>
    <row r="7846" spans="1:2" x14ac:dyDescent="0.25">
      <c r="A7846" s="104"/>
      <c r="B7846" s="104"/>
    </row>
    <row r="7847" spans="1:2" x14ac:dyDescent="0.25">
      <c r="A7847" s="104"/>
      <c r="B7847" s="104"/>
    </row>
    <row r="7848" spans="1:2" x14ac:dyDescent="0.25">
      <c r="A7848" s="104"/>
      <c r="B7848" s="104"/>
    </row>
    <row r="7849" spans="1:2" x14ac:dyDescent="0.25">
      <c r="A7849" s="104"/>
      <c r="B7849" s="104"/>
    </row>
    <row r="7850" spans="1:2" x14ac:dyDescent="0.25">
      <c r="A7850" s="104"/>
      <c r="B7850" s="104"/>
    </row>
    <row r="7851" spans="1:2" x14ac:dyDescent="0.25">
      <c r="A7851" s="104"/>
      <c r="B7851" s="104"/>
    </row>
    <row r="7852" spans="1:2" x14ac:dyDescent="0.25">
      <c r="A7852" s="104"/>
      <c r="B7852" s="104"/>
    </row>
    <row r="7853" spans="1:2" x14ac:dyDescent="0.25">
      <c r="A7853" s="104"/>
      <c r="B7853" s="104"/>
    </row>
    <row r="7854" spans="1:2" x14ac:dyDescent="0.25">
      <c r="A7854" s="104"/>
      <c r="B7854" s="104"/>
    </row>
    <row r="7855" spans="1:2" x14ac:dyDescent="0.25">
      <c r="A7855" s="104"/>
      <c r="B7855" s="104"/>
    </row>
    <row r="7856" spans="1:2" x14ac:dyDescent="0.25">
      <c r="A7856" s="104"/>
      <c r="B7856" s="104"/>
    </row>
    <row r="7857" spans="1:2" x14ac:dyDescent="0.25">
      <c r="A7857" s="104"/>
      <c r="B7857" s="104"/>
    </row>
    <row r="7858" spans="1:2" x14ac:dyDescent="0.25">
      <c r="A7858" s="104"/>
      <c r="B7858" s="104"/>
    </row>
    <row r="7859" spans="1:2" x14ac:dyDescent="0.25">
      <c r="A7859" s="104"/>
      <c r="B7859" s="104"/>
    </row>
    <row r="7860" spans="1:2" x14ac:dyDescent="0.25">
      <c r="A7860" s="104"/>
      <c r="B7860" s="104"/>
    </row>
    <row r="7861" spans="1:2" x14ac:dyDescent="0.25">
      <c r="A7861" s="104"/>
      <c r="B7861" s="104"/>
    </row>
    <row r="7862" spans="1:2" x14ac:dyDescent="0.25">
      <c r="A7862" s="104"/>
      <c r="B7862" s="104"/>
    </row>
    <row r="7863" spans="1:2" x14ac:dyDescent="0.25">
      <c r="A7863" s="104"/>
      <c r="B7863" s="104"/>
    </row>
    <row r="7864" spans="1:2" x14ac:dyDescent="0.25">
      <c r="A7864" s="104"/>
      <c r="B7864" s="104"/>
    </row>
    <row r="7865" spans="1:2" x14ac:dyDescent="0.25">
      <c r="A7865" s="104"/>
      <c r="B7865" s="104"/>
    </row>
    <row r="7866" spans="1:2" x14ac:dyDescent="0.25">
      <c r="A7866" s="104"/>
      <c r="B7866" s="104"/>
    </row>
    <row r="7867" spans="1:2" x14ac:dyDescent="0.25">
      <c r="A7867" s="104"/>
      <c r="B7867" s="104"/>
    </row>
    <row r="7868" spans="1:2" x14ac:dyDescent="0.25">
      <c r="A7868" s="104"/>
      <c r="B7868" s="104"/>
    </row>
    <row r="7869" spans="1:2" x14ac:dyDescent="0.25">
      <c r="A7869" s="104"/>
      <c r="B7869" s="104"/>
    </row>
    <row r="7870" spans="1:2" x14ac:dyDescent="0.25">
      <c r="A7870" s="104"/>
      <c r="B7870" s="104"/>
    </row>
    <row r="7871" spans="1:2" x14ac:dyDescent="0.25">
      <c r="A7871" s="104"/>
      <c r="B7871" s="104"/>
    </row>
    <row r="7872" spans="1:2" x14ac:dyDescent="0.25">
      <c r="A7872" s="104"/>
      <c r="B7872" s="104"/>
    </row>
    <row r="7873" spans="1:2" x14ac:dyDescent="0.25">
      <c r="A7873" s="104"/>
      <c r="B7873" s="104"/>
    </row>
    <row r="7874" spans="1:2" x14ac:dyDescent="0.25">
      <c r="A7874" s="104"/>
      <c r="B7874" s="104"/>
    </row>
    <row r="7875" spans="1:2" x14ac:dyDescent="0.25">
      <c r="A7875" s="104"/>
      <c r="B7875" s="104"/>
    </row>
    <row r="7876" spans="1:2" x14ac:dyDescent="0.25">
      <c r="A7876" s="104"/>
      <c r="B7876" s="104"/>
    </row>
    <row r="7877" spans="1:2" x14ac:dyDescent="0.25">
      <c r="A7877" s="104"/>
      <c r="B7877" s="104"/>
    </row>
    <row r="7878" spans="1:2" x14ac:dyDescent="0.25">
      <c r="A7878" s="104"/>
      <c r="B7878" s="104"/>
    </row>
    <row r="7879" spans="1:2" x14ac:dyDescent="0.25">
      <c r="A7879" s="104"/>
      <c r="B7879" s="104"/>
    </row>
    <row r="7880" spans="1:2" x14ac:dyDescent="0.25">
      <c r="A7880" s="104"/>
      <c r="B7880" s="104"/>
    </row>
    <row r="7881" spans="1:2" x14ac:dyDescent="0.25">
      <c r="A7881" s="104"/>
      <c r="B7881" s="104"/>
    </row>
    <row r="7882" spans="1:2" x14ac:dyDescent="0.25">
      <c r="A7882" s="104"/>
      <c r="B7882" s="104"/>
    </row>
    <row r="7883" spans="1:2" x14ac:dyDescent="0.25">
      <c r="A7883" s="104"/>
      <c r="B7883" s="104"/>
    </row>
    <row r="7884" spans="1:2" x14ac:dyDescent="0.25">
      <c r="A7884" s="104"/>
      <c r="B7884" s="104"/>
    </row>
    <row r="7885" spans="1:2" x14ac:dyDescent="0.25">
      <c r="A7885" s="104"/>
      <c r="B7885" s="104"/>
    </row>
    <row r="7886" spans="1:2" x14ac:dyDescent="0.25">
      <c r="A7886" s="104"/>
      <c r="B7886" s="104"/>
    </row>
    <row r="7887" spans="1:2" x14ac:dyDescent="0.25">
      <c r="A7887" s="104"/>
      <c r="B7887" s="104"/>
    </row>
    <row r="7888" spans="1:2" x14ac:dyDescent="0.25">
      <c r="A7888" s="104"/>
      <c r="B7888" s="104"/>
    </row>
    <row r="7889" spans="1:2" x14ac:dyDescent="0.25">
      <c r="A7889" s="104"/>
      <c r="B7889" s="104"/>
    </row>
    <row r="7890" spans="1:2" x14ac:dyDescent="0.25">
      <c r="A7890" s="104"/>
      <c r="B7890" s="104"/>
    </row>
    <row r="7891" spans="1:2" x14ac:dyDescent="0.25">
      <c r="A7891" s="104"/>
      <c r="B7891" s="104"/>
    </row>
    <row r="7892" spans="1:2" x14ac:dyDescent="0.25">
      <c r="A7892" s="104"/>
      <c r="B7892" s="104"/>
    </row>
    <row r="7893" spans="1:2" x14ac:dyDescent="0.25">
      <c r="A7893" s="104"/>
      <c r="B7893" s="104"/>
    </row>
    <row r="7894" spans="1:2" x14ac:dyDescent="0.25">
      <c r="A7894" s="104"/>
      <c r="B7894" s="104"/>
    </row>
    <row r="7895" spans="1:2" x14ac:dyDescent="0.25">
      <c r="A7895" s="104"/>
      <c r="B7895" s="104"/>
    </row>
    <row r="7896" spans="1:2" x14ac:dyDescent="0.25">
      <c r="A7896" s="104"/>
      <c r="B7896" s="104"/>
    </row>
    <row r="7897" spans="1:2" x14ac:dyDescent="0.25">
      <c r="A7897" s="104"/>
      <c r="B7897" s="104"/>
    </row>
    <row r="7898" spans="1:2" x14ac:dyDescent="0.25">
      <c r="A7898" s="104"/>
      <c r="B7898" s="104"/>
    </row>
    <row r="7899" spans="1:2" x14ac:dyDescent="0.25">
      <c r="A7899" s="104"/>
      <c r="B7899" s="104"/>
    </row>
    <row r="7900" spans="1:2" x14ac:dyDescent="0.25">
      <c r="A7900" s="104"/>
      <c r="B7900" s="104"/>
    </row>
    <row r="7901" spans="1:2" x14ac:dyDescent="0.25">
      <c r="A7901" s="104"/>
      <c r="B7901" s="104"/>
    </row>
    <row r="7902" spans="1:2" x14ac:dyDescent="0.25">
      <c r="A7902" s="104"/>
      <c r="B7902" s="104"/>
    </row>
    <row r="7903" spans="1:2" x14ac:dyDescent="0.25">
      <c r="A7903" s="104"/>
      <c r="B7903" s="104"/>
    </row>
    <row r="7904" spans="1:2" x14ac:dyDescent="0.25">
      <c r="A7904" s="104"/>
      <c r="B7904" s="104"/>
    </row>
    <row r="7905" spans="1:2" x14ac:dyDescent="0.25">
      <c r="A7905" s="104"/>
      <c r="B7905" s="104"/>
    </row>
    <row r="7906" spans="1:2" x14ac:dyDescent="0.25">
      <c r="A7906" s="104"/>
      <c r="B7906" s="104"/>
    </row>
    <row r="7907" spans="1:2" x14ac:dyDescent="0.25">
      <c r="A7907" s="104"/>
      <c r="B7907" s="104"/>
    </row>
    <row r="7908" spans="1:2" x14ac:dyDescent="0.25">
      <c r="A7908" s="104"/>
      <c r="B7908" s="104"/>
    </row>
    <row r="7909" spans="1:2" x14ac:dyDescent="0.25">
      <c r="A7909" s="104"/>
      <c r="B7909" s="104"/>
    </row>
    <row r="7910" spans="1:2" x14ac:dyDescent="0.25">
      <c r="A7910" s="104"/>
      <c r="B7910" s="104"/>
    </row>
    <row r="7911" spans="1:2" x14ac:dyDescent="0.25">
      <c r="A7911" s="104"/>
      <c r="B7911" s="104"/>
    </row>
    <row r="7912" spans="1:2" x14ac:dyDescent="0.25">
      <c r="A7912" s="104"/>
      <c r="B7912" s="104"/>
    </row>
    <row r="7913" spans="1:2" x14ac:dyDescent="0.25">
      <c r="A7913" s="104"/>
      <c r="B7913" s="104"/>
    </row>
    <row r="7914" spans="1:2" x14ac:dyDescent="0.25">
      <c r="A7914" s="104"/>
      <c r="B7914" s="104"/>
    </row>
    <row r="7915" spans="1:2" x14ac:dyDescent="0.25">
      <c r="A7915" s="104"/>
      <c r="B7915" s="104"/>
    </row>
    <row r="7916" spans="1:2" x14ac:dyDescent="0.25">
      <c r="A7916" s="104"/>
      <c r="B7916" s="104"/>
    </row>
    <row r="7917" spans="1:2" x14ac:dyDescent="0.25">
      <c r="A7917" s="104"/>
      <c r="B7917" s="104"/>
    </row>
    <row r="7918" spans="1:2" x14ac:dyDescent="0.25">
      <c r="A7918" s="104"/>
      <c r="B7918" s="104"/>
    </row>
    <row r="7919" spans="1:2" x14ac:dyDescent="0.25">
      <c r="A7919" s="104"/>
      <c r="B7919" s="104"/>
    </row>
    <row r="7920" spans="1:2" x14ac:dyDescent="0.25">
      <c r="A7920" s="104"/>
      <c r="B7920" s="104"/>
    </row>
    <row r="7921" spans="1:2" x14ac:dyDescent="0.25">
      <c r="A7921" s="104"/>
      <c r="B7921" s="104"/>
    </row>
    <row r="7922" spans="1:2" x14ac:dyDescent="0.25">
      <c r="A7922" s="104"/>
      <c r="B7922" s="104"/>
    </row>
    <row r="7923" spans="1:2" x14ac:dyDescent="0.25">
      <c r="A7923" s="104"/>
      <c r="B7923" s="104"/>
    </row>
    <row r="7924" spans="1:2" x14ac:dyDescent="0.25">
      <c r="A7924" s="104"/>
      <c r="B7924" s="104"/>
    </row>
    <row r="7925" spans="1:2" x14ac:dyDescent="0.25">
      <c r="A7925" s="104"/>
      <c r="B7925" s="104"/>
    </row>
    <row r="7926" spans="1:2" x14ac:dyDescent="0.25">
      <c r="A7926" s="104"/>
      <c r="B7926" s="104"/>
    </row>
    <row r="7927" spans="1:2" x14ac:dyDescent="0.25">
      <c r="A7927" s="104"/>
      <c r="B7927" s="104"/>
    </row>
    <row r="7928" spans="1:2" x14ac:dyDescent="0.25">
      <c r="A7928" s="104"/>
      <c r="B7928" s="104"/>
    </row>
    <row r="7929" spans="1:2" x14ac:dyDescent="0.25">
      <c r="A7929" s="104"/>
      <c r="B7929" s="104"/>
    </row>
    <row r="7930" spans="1:2" x14ac:dyDescent="0.25">
      <c r="A7930" s="104"/>
      <c r="B7930" s="104"/>
    </row>
    <row r="7931" spans="1:2" x14ac:dyDescent="0.25">
      <c r="A7931" s="104"/>
      <c r="B7931" s="104"/>
    </row>
    <row r="7932" spans="1:2" x14ac:dyDescent="0.25">
      <c r="A7932" s="104"/>
      <c r="B7932" s="104"/>
    </row>
    <row r="7933" spans="1:2" x14ac:dyDescent="0.25">
      <c r="A7933" s="104"/>
      <c r="B7933" s="104"/>
    </row>
    <row r="7934" spans="1:2" x14ac:dyDescent="0.25">
      <c r="A7934" s="104"/>
      <c r="B7934" s="104"/>
    </row>
    <row r="7935" spans="1:2" x14ac:dyDescent="0.25">
      <c r="A7935" s="104"/>
      <c r="B7935" s="104"/>
    </row>
    <row r="7936" spans="1:2" x14ac:dyDescent="0.25">
      <c r="A7936" s="104"/>
      <c r="B7936" s="104"/>
    </row>
    <row r="7937" spans="1:2" x14ac:dyDescent="0.25">
      <c r="A7937" s="104"/>
      <c r="B7937" s="104"/>
    </row>
    <row r="7938" spans="1:2" x14ac:dyDescent="0.25">
      <c r="A7938" s="104"/>
      <c r="B7938" s="104"/>
    </row>
    <row r="7939" spans="1:2" x14ac:dyDescent="0.25">
      <c r="A7939" s="104"/>
      <c r="B7939" s="104"/>
    </row>
    <row r="7940" spans="1:2" x14ac:dyDescent="0.25">
      <c r="A7940" s="104"/>
      <c r="B7940" s="104"/>
    </row>
    <row r="7941" spans="1:2" x14ac:dyDescent="0.25">
      <c r="A7941" s="104"/>
      <c r="B7941" s="104"/>
    </row>
    <row r="7942" spans="1:2" x14ac:dyDescent="0.25">
      <c r="A7942" s="104"/>
      <c r="B7942" s="104"/>
    </row>
    <row r="7943" spans="1:2" x14ac:dyDescent="0.25">
      <c r="A7943" s="104"/>
      <c r="B7943" s="104"/>
    </row>
    <row r="7944" spans="1:2" x14ac:dyDescent="0.25">
      <c r="A7944" s="104"/>
      <c r="B7944" s="104"/>
    </row>
    <row r="7945" spans="1:2" x14ac:dyDescent="0.25">
      <c r="A7945" s="104"/>
      <c r="B7945" s="104"/>
    </row>
    <row r="7946" spans="1:2" x14ac:dyDescent="0.25">
      <c r="A7946" s="104"/>
      <c r="B7946" s="104"/>
    </row>
    <row r="7947" spans="1:2" x14ac:dyDescent="0.25">
      <c r="A7947" s="104"/>
      <c r="B7947" s="104"/>
    </row>
    <row r="7948" spans="1:2" x14ac:dyDescent="0.25">
      <c r="A7948" s="104"/>
      <c r="B7948" s="104"/>
    </row>
    <row r="7949" spans="1:2" x14ac:dyDescent="0.25">
      <c r="A7949" s="104"/>
      <c r="B7949" s="104"/>
    </row>
    <row r="7950" spans="1:2" x14ac:dyDescent="0.25">
      <c r="A7950" s="104"/>
      <c r="B7950" s="104"/>
    </row>
    <row r="7951" spans="1:2" x14ac:dyDescent="0.25">
      <c r="A7951" s="104"/>
      <c r="B7951" s="104"/>
    </row>
    <row r="7952" spans="1:2" x14ac:dyDescent="0.25">
      <c r="A7952" s="104"/>
      <c r="B7952" s="104"/>
    </row>
    <row r="7953" spans="1:2" x14ac:dyDescent="0.25">
      <c r="A7953" s="104"/>
      <c r="B7953" s="104"/>
    </row>
    <row r="7954" spans="1:2" x14ac:dyDescent="0.25">
      <c r="A7954" s="104"/>
      <c r="B7954" s="104"/>
    </row>
    <row r="7955" spans="1:2" x14ac:dyDescent="0.25">
      <c r="A7955" s="104"/>
      <c r="B7955" s="104"/>
    </row>
    <row r="7956" spans="1:2" x14ac:dyDescent="0.25">
      <c r="A7956" s="104"/>
      <c r="B7956" s="104"/>
    </row>
    <row r="7957" spans="1:2" x14ac:dyDescent="0.25">
      <c r="A7957" s="104"/>
      <c r="B7957" s="104"/>
    </row>
    <row r="7958" spans="1:2" x14ac:dyDescent="0.25">
      <c r="A7958" s="104"/>
      <c r="B7958" s="104"/>
    </row>
    <row r="7959" spans="1:2" x14ac:dyDescent="0.25">
      <c r="A7959" s="104"/>
      <c r="B7959" s="104"/>
    </row>
    <row r="7960" spans="1:2" x14ac:dyDescent="0.25">
      <c r="A7960" s="104"/>
      <c r="B7960" s="104"/>
    </row>
    <row r="7961" spans="1:2" x14ac:dyDescent="0.25">
      <c r="A7961" s="104"/>
      <c r="B7961" s="104"/>
    </row>
    <row r="7962" spans="1:2" x14ac:dyDescent="0.25">
      <c r="A7962" s="104"/>
      <c r="B7962" s="104"/>
    </row>
    <row r="7963" spans="1:2" x14ac:dyDescent="0.25">
      <c r="A7963" s="104"/>
      <c r="B7963" s="104"/>
    </row>
    <row r="7964" spans="1:2" x14ac:dyDescent="0.25">
      <c r="A7964" s="104"/>
      <c r="B7964" s="104"/>
    </row>
    <row r="7965" spans="1:2" x14ac:dyDescent="0.25">
      <c r="A7965" s="104"/>
      <c r="B7965" s="104"/>
    </row>
    <row r="7966" spans="1:2" x14ac:dyDescent="0.25">
      <c r="A7966" s="104"/>
      <c r="B7966" s="104"/>
    </row>
    <row r="7967" spans="1:2" x14ac:dyDescent="0.25">
      <c r="A7967" s="104"/>
      <c r="B7967" s="104"/>
    </row>
    <row r="7968" spans="1:2" x14ac:dyDescent="0.25">
      <c r="A7968" s="104"/>
      <c r="B7968" s="104"/>
    </row>
    <row r="7969" spans="1:2" x14ac:dyDescent="0.25">
      <c r="A7969" s="104"/>
      <c r="B7969" s="104"/>
    </row>
    <row r="7970" spans="1:2" x14ac:dyDescent="0.25">
      <c r="A7970" s="104"/>
      <c r="B7970" s="104"/>
    </row>
    <row r="7971" spans="1:2" x14ac:dyDescent="0.25">
      <c r="A7971" s="104"/>
      <c r="B7971" s="104"/>
    </row>
    <row r="7972" spans="1:2" x14ac:dyDescent="0.25">
      <c r="A7972" s="104"/>
      <c r="B7972" s="104"/>
    </row>
    <row r="7973" spans="1:2" x14ac:dyDescent="0.25">
      <c r="A7973" s="104"/>
      <c r="B7973" s="104"/>
    </row>
    <row r="7974" spans="1:2" x14ac:dyDescent="0.25">
      <c r="A7974" s="104"/>
      <c r="B7974" s="104"/>
    </row>
    <row r="7975" spans="1:2" x14ac:dyDescent="0.25">
      <c r="A7975" s="104"/>
      <c r="B7975" s="104"/>
    </row>
    <row r="7976" spans="1:2" x14ac:dyDescent="0.25">
      <c r="A7976" s="104"/>
      <c r="B7976" s="104"/>
    </row>
    <row r="7977" spans="1:2" x14ac:dyDescent="0.25">
      <c r="A7977" s="104"/>
      <c r="B7977" s="104"/>
    </row>
    <row r="7978" spans="1:2" x14ac:dyDescent="0.25">
      <c r="A7978" s="104"/>
      <c r="B7978" s="104"/>
    </row>
    <row r="7979" spans="1:2" x14ac:dyDescent="0.25">
      <c r="A7979" s="104"/>
      <c r="B7979" s="104"/>
    </row>
    <row r="7980" spans="1:2" x14ac:dyDescent="0.25">
      <c r="A7980" s="104"/>
      <c r="B7980" s="104"/>
    </row>
    <row r="7981" spans="1:2" x14ac:dyDescent="0.25">
      <c r="A7981" s="104"/>
      <c r="B7981" s="104"/>
    </row>
    <row r="7982" spans="1:2" x14ac:dyDescent="0.25">
      <c r="A7982" s="104"/>
      <c r="B7982" s="104"/>
    </row>
    <row r="7983" spans="1:2" x14ac:dyDescent="0.25">
      <c r="A7983" s="104"/>
      <c r="B7983" s="104"/>
    </row>
    <row r="7984" spans="1:2" x14ac:dyDescent="0.25">
      <c r="A7984" s="104"/>
      <c r="B7984" s="104"/>
    </row>
    <row r="7985" spans="1:2" x14ac:dyDescent="0.25">
      <c r="A7985" s="104"/>
      <c r="B7985" s="104"/>
    </row>
    <row r="7986" spans="1:2" x14ac:dyDescent="0.25">
      <c r="A7986" s="104"/>
      <c r="B7986" s="104"/>
    </row>
    <row r="7987" spans="1:2" x14ac:dyDescent="0.25">
      <c r="A7987" s="104"/>
      <c r="B7987" s="104"/>
    </row>
    <row r="7988" spans="1:2" x14ac:dyDescent="0.25">
      <c r="A7988" s="104"/>
      <c r="B7988" s="104"/>
    </row>
    <row r="7989" spans="1:2" x14ac:dyDescent="0.25">
      <c r="A7989" s="104"/>
      <c r="B7989" s="104"/>
    </row>
    <row r="7990" spans="1:2" x14ac:dyDescent="0.25">
      <c r="A7990" s="104"/>
      <c r="B7990" s="104"/>
    </row>
    <row r="7991" spans="1:2" x14ac:dyDescent="0.25">
      <c r="A7991" s="104"/>
      <c r="B7991" s="104"/>
    </row>
    <row r="7992" spans="1:2" x14ac:dyDescent="0.25">
      <c r="A7992" s="104"/>
      <c r="B7992" s="104"/>
    </row>
    <row r="7993" spans="1:2" x14ac:dyDescent="0.25">
      <c r="A7993" s="104"/>
      <c r="B7993" s="104"/>
    </row>
    <row r="7994" spans="1:2" x14ac:dyDescent="0.25">
      <c r="A7994" s="104"/>
      <c r="B7994" s="104"/>
    </row>
    <row r="7995" spans="1:2" x14ac:dyDescent="0.25">
      <c r="A7995" s="104"/>
      <c r="B7995" s="104"/>
    </row>
    <row r="7996" spans="1:2" x14ac:dyDescent="0.25">
      <c r="A7996" s="104"/>
      <c r="B7996" s="104"/>
    </row>
    <row r="7997" spans="1:2" x14ac:dyDescent="0.25">
      <c r="A7997" s="104"/>
      <c r="B7997" s="104"/>
    </row>
    <row r="7998" spans="1:2" x14ac:dyDescent="0.25">
      <c r="A7998" s="104"/>
      <c r="B7998" s="104"/>
    </row>
    <row r="7999" spans="1:2" x14ac:dyDescent="0.25">
      <c r="A7999" s="104"/>
      <c r="B7999" s="104"/>
    </row>
    <row r="8000" spans="1:2" x14ac:dyDescent="0.25">
      <c r="A8000" s="104"/>
      <c r="B8000" s="104"/>
    </row>
    <row r="8001" spans="1:2" x14ac:dyDescent="0.25">
      <c r="A8001" s="104"/>
      <c r="B8001" s="104"/>
    </row>
    <row r="8002" spans="1:2" x14ac:dyDescent="0.25">
      <c r="A8002" s="104"/>
      <c r="B8002" s="104"/>
    </row>
    <row r="8003" spans="1:2" x14ac:dyDescent="0.25">
      <c r="A8003" s="104"/>
      <c r="B8003" s="104"/>
    </row>
    <row r="8004" spans="1:2" x14ac:dyDescent="0.25">
      <c r="A8004" s="104"/>
      <c r="B8004" s="104"/>
    </row>
    <row r="8005" spans="1:2" x14ac:dyDescent="0.25">
      <c r="A8005" s="104"/>
      <c r="B8005" s="104"/>
    </row>
    <row r="8006" spans="1:2" x14ac:dyDescent="0.25">
      <c r="A8006" s="104"/>
      <c r="B8006" s="104"/>
    </row>
    <row r="8007" spans="1:2" x14ac:dyDescent="0.25">
      <c r="A8007" s="104"/>
      <c r="B8007" s="104"/>
    </row>
    <row r="8008" spans="1:2" x14ac:dyDescent="0.25">
      <c r="A8008" s="104"/>
      <c r="B8008" s="104"/>
    </row>
    <row r="8009" spans="1:2" x14ac:dyDescent="0.25">
      <c r="A8009" s="104"/>
      <c r="B8009" s="104"/>
    </row>
    <row r="8010" spans="1:2" x14ac:dyDescent="0.25">
      <c r="A8010" s="104"/>
      <c r="B8010" s="104"/>
    </row>
    <row r="8011" spans="1:2" x14ac:dyDescent="0.25">
      <c r="A8011" s="104"/>
      <c r="B8011" s="104"/>
    </row>
    <row r="8012" spans="1:2" x14ac:dyDescent="0.25">
      <c r="A8012" s="104"/>
      <c r="B8012" s="104"/>
    </row>
    <row r="8013" spans="1:2" x14ac:dyDescent="0.25">
      <c r="A8013" s="104"/>
      <c r="B8013" s="104"/>
    </row>
    <row r="8014" spans="1:2" x14ac:dyDescent="0.25">
      <c r="A8014" s="104"/>
      <c r="B8014" s="104"/>
    </row>
    <row r="8015" spans="1:2" x14ac:dyDescent="0.25">
      <c r="A8015" s="104"/>
      <c r="B8015" s="104"/>
    </row>
    <row r="8016" spans="1:2" x14ac:dyDescent="0.25">
      <c r="A8016" s="104"/>
      <c r="B8016" s="104"/>
    </row>
    <row r="8017" spans="1:2" x14ac:dyDescent="0.25">
      <c r="A8017" s="104"/>
      <c r="B8017" s="104"/>
    </row>
    <row r="8018" spans="1:2" x14ac:dyDescent="0.25">
      <c r="A8018" s="104"/>
      <c r="B8018" s="104"/>
    </row>
    <row r="8019" spans="1:2" x14ac:dyDescent="0.25">
      <c r="A8019" s="104"/>
      <c r="B8019" s="104"/>
    </row>
    <row r="8020" spans="1:2" x14ac:dyDescent="0.25">
      <c r="A8020" s="104"/>
      <c r="B8020" s="104"/>
    </row>
    <row r="8021" spans="1:2" x14ac:dyDescent="0.25">
      <c r="A8021" s="104"/>
      <c r="B8021" s="104"/>
    </row>
    <row r="8022" spans="1:2" x14ac:dyDescent="0.25">
      <c r="A8022" s="104"/>
      <c r="B8022" s="104"/>
    </row>
    <row r="8023" spans="1:2" x14ac:dyDescent="0.25">
      <c r="A8023" s="104"/>
      <c r="B8023" s="104"/>
    </row>
    <row r="8024" spans="1:2" x14ac:dyDescent="0.25">
      <c r="A8024" s="104"/>
      <c r="B8024" s="104"/>
    </row>
    <row r="8025" spans="1:2" x14ac:dyDescent="0.25">
      <c r="A8025" s="104"/>
      <c r="B8025" s="104"/>
    </row>
    <row r="8026" spans="1:2" x14ac:dyDescent="0.25">
      <c r="A8026" s="104"/>
      <c r="B8026" s="104"/>
    </row>
    <row r="8027" spans="1:2" x14ac:dyDescent="0.25">
      <c r="A8027" s="104"/>
      <c r="B8027" s="104"/>
    </row>
    <row r="8028" spans="1:2" x14ac:dyDescent="0.25">
      <c r="A8028" s="104"/>
      <c r="B8028" s="104"/>
    </row>
    <row r="8029" spans="1:2" x14ac:dyDescent="0.25">
      <c r="A8029" s="104"/>
      <c r="B8029" s="104"/>
    </row>
    <row r="8030" spans="1:2" x14ac:dyDescent="0.25">
      <c r="A8030" s="104"/>
      <c r="B8030" s="104"/>
    </row>
    <row r="8031" spans="1:2" x14ac:dyDescent="0.25">
      <c r="A8031" s="104"/>
      <c r="B8031" s="104"/>
    </row>
    <row r="8032" spans="1:2" x14ac:dyDescent="0.25">
      <c r="A8032" s="104"/>
      <c r="B8032" s="104"/>
    </row>
    <row r="8033" spans="1:2" x14ac:dyDescent="0.25">
      <c r="A8033" s="104"/>
      <c r="B8033" s="104"/>
    </row>
    <row r="8034" spans="1:2" x14ac:dyDescent="0.25">
      <c r="A8034" s="104"/>
      <c r="B8034" s="104"/>
    </row>
    <row r="8035" spans="1:2" x14ac:dyDescent="0.25">
      <c r="A8035" s="104"/>
      <c r="B8035" s="104"/>
    </row>
    <row r="8036" spans="1:2" x14ac:dyDescent="0.25">
      <c r="A8036" s="104"/>
      <c r="B8036" s="104"/>
    </row>
    <row r="8037" spans="1:2" x14ac:dyDescent="0.25">
      <c r="A8037" s="104"/>
      <c r="B8037" s="104"/>
    </row>
    <row r="8038" spans="1:2" x14ac:dyDescent="0.25">
      <c r="A8038" s="104"/>
      <c r="B8038" s="104"/>
    </row>
    <row r="8039" spans="1:2" x14ac:dyDescent="0.25">
      <c r="A8039" s="104"/>
      <c r="B8039" s="104"/>
    </row>
    <row r="8040" spans="1:2" x14ac:dyDescent="0.25">
      <c r="A8040" s="104"/>
      <c r="B8040" s="104"/>
    </row>
    <row r="8041" spans="1:2" x14ac:dyDescent="0.25">
      <c r="A8041" s="104"/>
      <c r="B8041" s="104"/>
    </row>
    <row r="8042" spans="1:2" x14ac:dyDescent="0.25">
      <c r="A8042" s="104"/>
      <c r="B8042" s="104"/>
    </row>
    <row r="8043" spans="1:2" x14ac:dyDescent="0.25">
      <c r="A8043" s="104"/>
      <c r="B8043" s="104"/>
    </row>
    <row r="8044" spans="1:2" x14ac:dyDescent="0.25">
      <c r="A8044" s="104"/>
      <c r="B8044" s="104"/>
    </row>
    <row r="8045" spans="1:2" x14ac:dyDescent="0.25">
      <c r="A8045" s="104"/>
      <c r="B8045" s="104"/>
    </row>
    <row r="8046" spans="1:2" x14ac:dyDescent="0.25">
      <c r="A8046" s="104"/>
      <c r="B8046" s="104"/>
    </row>
    <row r="8047" spans="1:2" x14ac:dyDescent="0.25">
      <c r="A8047" s="104"/>
      <c r="B8047" s="104"/>
    </row>
    <row r="8048" spans="1:2" x14ac:dyDescent="0.25">
      <c r="A8048" s="104"/>
      <c r="B8048" s="104"/>
    </row>
    <row r="8049" spans="1:2" x14ac:dyDescent="0.25">
      <c r="A8049" s="104"/>
      <c r="B8049" s="104"/>
    </row>
    <row r="8050" spans="1:2" x14ac:dyDescent="0.25">
      <c r="A8050" s="104"/>
      <c r="B8050" s="104"/>
    </row>
    <row r="8051" spans="1:2" x14ac:dyDescent="0.25">
      <c r="A8051" s="104"/>
      <c r="B8051" s="104"/>
    </row>
    <row r="8052" spans="1:2" x14ac:dyDescent="0.25">
      <c r="A8052" s="104"/>
      <c r="B8052" s="104"/>
    </row>
    <row r="8053" spans="1:2" x14ac:dyDescent="0.25">
      <c r="A8053" s="104"/>
      <c r="B8053" s="104"/>
    </row>
    <row r="8054" spans="1:2" x14ac:dyDescent="0.25">
      <c r="A8054" s="104"/>
      <c r="B8054" s="104"/>
    </row>
    <row r="8055" spans="1:2" x14ac:dyDescent="0.25">
      <c r="A8055" s="104"/>
      <c r="B8055" s="104"/>
    </row>
    <row r="8056" spans="1:2" x14ac:dyDescent="0.25">
      <c r="A8056" s="104"/>
      <c r="B8056" s="104"/>
    </row>
    <row r="8057" spans="1:2" x14ac:dyDescent="0.25">
      <c r="A8057" s="104"/>
      <c r="B8057" s="104"/>
    </row>
    <row r="8058" spans="1:2" x14ac:dyDescent="0.25">
      <c r="A8058" s="104"/>
      <c r="B8058" s="104"/>
    </row>
    <row r="8059" spans="1:2" x14ac:dyDescent="0.25">
      <c r="A8059" s="104"/>
      <c r="B8059" s="104"/>
    </row>
    <row r="8060" spans="1:2" x14ac:dyDescent="0.25">
      <c r="A8060" s="104"/>
      <c r="B8060" s="104"/>
    </row>
    <row r="8061" spans="1:2" x14ac:dyDescent="0.25">
      <c r="A8061" s="104"/>
      <c r="B8061" s="104"/>
    </row>
    <row r="8062" spans="1:2" x14ac:dyDescent="0.25">
      <c r="A8062" s="104"/>
      <c r="B8062" s="104"/>
    </row>
    <row r="8063" spans="1:2" x14ac:dyDescent="0.25">
      <c r="A8063" s="104"/>
      <c r="B8063" s="104"/>
    </row>
    <row r="8064" spans="1:2" x14ac:dyDescent="0.25">
      <c r="A8064" s="104"/>
      <c r="B8064" s="104"/>
    </row>
    <row r="8065" spans="1:2" x14ac:dyDescent="0.25">
      <c r="A8065" s="104"/>
      <c r="B8065" s="104"/>
    </row>
    <row r="8066" spans="1:2" x14ac:dyDescent="0.25">
      <c r="A8066" s="104"/>
      <c r="B8066" s="104"/>
    </row>
    <row r="8067" spans="1:2" x14ac:dyDescent="0.25">
      <c r="A8067" s="104"/>
      <c r="B8067" s="104"/>
    </row>
    <row r="8068" spans="1:2" x14ac:dyDescent="0.25">
      <c r="A8068" s="104"/>
      <c r="B8068" s="104"/>
    </row>
    <row r="8069" spans="1:2" x14ac:dyDescent="0.25">
      <c r="A8069" s="104"/>
      <c r="B8069" s="104"/>
    </row>
    <row r="8070" spans="1:2" x14ac:dyDescent="0.25">
      <c r="A8070" s="104"/>
      <c r="B8070" s="104"/>
    </row>
    <row r="8071" spans="1:2" x14ac:dyDescent="0.25">
      <c r="A8071" s="104"/>
      <c r="B8071" s="104"/>
    </row>
    <row r="8072" spans="1:2" x14ac:dyDescent="0.25">
      <c r="A8072" s="104"/>
      <c r="B8072" s="104"/>
    </row>
    <row r="8073" spans="1:2" x14ac:dyDescent="0.25">
      <c r="A8073" s="104"/>
      <c r="B8073" s="104"/>
    </row>
    <row r="8074" spans="1:2" x14ac:dyDescent="0.25">
      <c r="A8074" s="104"/>
      <c r="B8074" s="104"/>
    </row>
    <row r="8075" spans="1:2" x14ac:dyDescent="0.25">
      <c r="A8075" s="104"/>
      <c r="B8075" s="104"/>
    </row>
    <row r="8076" spans="1:2" x14ac:dyDescent="0.25">
      <c r="A8076" s="104"/>
      <c r="B8076" s="104"/>
    </row>
    <row r="8077" spans="1:2" x14ac:dyDescent="0.25">
      <c r="A8077" s="104"/>
      <c r="B8077" s="104"/>
    </row>
    <row r="8078" spans="1:2" x14ac:dyDescent="0.25">
      <c r="A8078" s="104"/>
      <c r="B8078" s="104"/>
    </row>
    <row r="8079" spans="1:2" x14ac:dyDescent="0.25">
      <c r="A8079" s="104"/>
      <c r="B8079" s="104"/>
    </row>
    <row r="8080" spans="1:2" x14ac:dyDescent="0.25">
      <c r="A8080" s="104"/>
      <c r="B8080" s="104"/>
    </row>
    <row r="8081" spans="1:2" x14ac:dyDescent="0.25">
      <c r="A8081" s="104"/>
      <c r="B8081" s="104"/>
    </row>
    <row r="8082" spans="1:2" x14ac:dyDescent="0.25">
      <c r="A8082" s="104"/>
      <c r="B8082" s="104"/>
    </row>
    <row r="8083" spans="1:2" x14ac:dyDescent="0.25">
      <c r="A8083" s="104"/>
      <c r="B8083" s="104"/>
    </row>
    <row r="8084" spans="1:2" x14ac:dyDescent="0.25">
      <c r="A8084" s="104"/>
      <c r="B8084" s="104"/>
    </row>
    <row r="8085" spans="1:2" x14ac:dyDescent="0.25">
      <c r="A8085" s="104"/>
      <c r="B8085" s="104"/>
    </row>
    <row r="8086" spans="1:2" x14ac:dyDescent="0.25">
      <c r="A8086" s="104"/>
      <c r="B8086" s="104"/>
    </row>
    <row r="8087" spans="1:2" x14ac:dyDescent="0.25">
      <c r="A8087" s="104"/>
      <c r="B8087" s="104"/>
    </row>
    <row r="8088" spans="1:2" x14ac:dyDescent="0.25">
      <c r="A8088" s="104"/>
      <c r="B8088" s="104"/>
    </row>
    <row r="8089" spans="1:2" x14ac:dyDescent="0.25">
      <c r="A8089" s="104"/>
      <c r="B8089" s="104"/>
    </row>
    <row r="8090" spans="1:2" x14ac:dyDescent="0.25">
      <c r="A8090" s="104"/>
      <c r="B8090" s="104"/>
    </row>
    <row r="8091" spans="1:2" x14ac:dyDescent="0.25">
      <c r="A8091" s="104"/>
      <c r="B8091" s="104"/>
    </row>
    <row r="8092" spans="1:2" x14ac:dyDescent="0.25">
      <c r="A8092" s="104"/>
      <c r="B8092" s="104"/>
    </row>
    <row r="8093" spans="1:2" x14ac:dyDescent="0.25">
      <c r="A8093" s="104"/>
      <c r="B8093" s="104"/>
    </row>
    <row r="8094" spans="1:2" x14ac:dyDescent="0.25">
      <c r="A8094" s="104"/>
      <c r="B8094" s="104"/>
    </row>
    <row r="8095" spans="1:2" x14ac:dyDescent="0.25">
      <c r="A8095" s="104"/>
      <c r="B8095" s="104"/>
    </row>
    <row r="8096" spans="1:2" x14ac:dyDescent="0.25">
      <c r="A8096" s="104"/>
      <c r="B8096" s="104"/>
    </row>
    <row r="8097" spans="1:2" x14ac:dyDescent="0.25">
      <c r="A8097" s="104"/>
      <c r="B8097" s="104"/>
    </row>
    <row r="8098" spans="1:2" x14ac:dyDescent="0.25">
      <c r="A8098" s="104"/>
      <c r="B8098" s="104"/>
    </row>
    <row r="8099" spans="1:2" x14ac:dyDescent="0.25">
      <c r="A8099" s="104"/>
      <c r="B8099" s="104"/>
    </row>
    <row r="8100" spans="1:2" x14ac:dyDescent="0.25">
      <c r="A8100" s="104"/>
      <c r="B8100" s="104"/>
    </row>
    <row r="8101" spans="1:2" x14ac:dyDescent="0.25">
      <c r="A8101" s="104"/>
      <c r="B8101" s="104"/>
    </row>
    <row r="8102" spans="1:2" x14ac:dyDescent="0.25">
      <c r="A8102" s="104"/>
      <c r="B8102" s="104"/>
    </row>
    <row r="8103" spans="1:2" x14ac:dyDescent="0.25">
      <c r="A8103" s="104"/>
      <c r="B8103" s="104"/>
    </row>
    <row r="8104" spans="1:2" x14ac:dyDescent="0.25">
      <c r="A8104" s="104"/>
      <c r="B8104" s="104"/>
    </row>
    <row r="8105" spans="1:2" x14ac:dyDescent="0.25">
      <c r="A8105" s="104"/>
      <c r="B8105" s="104"/>
    </row>
    <row r="8106" spans="1:2" x14ac:dyDescent="0.25">
      <c r="A8106" s="104"/>
      <c r="B8106" s="104"/>
    </row>
    <row r="8107" spans="1:2" x14ac:dyDescent="0.25">
      <c r="A8107" s="104"/>
      <c r="B8107" s="104"/>
    </row>
    <row r="8108" spans="1:2" x14ac:dyDescent="0.25">
      <c r="A8108" s="104"/>
      <c r="B8108" s="104"/>
    </row>
    <row r="8109" spans="1:2" x14ac:dyDescent="0.25">
      <c r="A8109" s="104"/>
      <c r="B8109" s="104"/>
    </row>
    <row r="8110" spans="1:2" x14ac:dyDescent="0.25">
      <c r="A8110" s="104"/>
      <c r="B8110" s="104"/>
    </row>
    <row r="8111" spans="1:2" x14ac:dyDescent="0.25">
      <c r="A8111" s="104"/>
      <c r="B8111" s="104"/>
    </row>
    <row r="8112" spans="1:2" x14ac:dyDescent="0.25">
      <c r="A8112" s="104"/>
      <c r="B8112" s="104"/>
    </row>
    <row r="8113" spans="1:2" x14ac:dyDescent="0.25">
      <c r="A8113" s="104"/>
      <c r="B8113" s="104"/>
    </row>
    <row r="8114" spans="1:2" x14ac:dyDescent="0.25">
      <c r="A8114" s="104"/>
      <c r="B8114" s="104"/>
    </row>
    <row r="8115" spans="1:2" x14ac:dyDescent="0.25">
      <c r="A8115" s="104"/>
      <c r="B8115" s="104"/>
    </row>
    <row r="8116" spans="1:2" x14ac:dyDescent="0.25">
      <c r="A8116" s="104"/>
      <c r="B8116" s="104"/>
    </row>
    <row r="8117" spans="1:2" x14ac:dyDescent="0.25">
      <c r="A8117" s="104"/>
      <c r="B8117" s="104"/>
    </row>
    <row r="8118" spans="1:2" x14ac:dyDescent="0.25">
      <c r="A8118" s="104"/>
      <c r="B8118" s="104"/>
    </row>
    <row r="8119" spans="1:2" x14ac:dyDescent="0.25">
      <c r="A8119" s="104"/>
      <c r="B8119" s="104"/>
    </row>
    <row r="8120" spans="1:2" x14ac:dyDescent="0.25">
      <c r="A8120" s="104"/>
      <c r="B8120" s="104"/>
    </row>
    <row r="8121" spans="1:2" x14ac:dyDescent="0.25">
      <c r="A8121" s="104"/>
      <c r="B8121" s="104"/>
    </row>
    <row r="8122" spans="1:2" x14ac:dyDescent="0.25">
      <c r="A8122" s="104"/>
      <c r="B8122" s="104"/>
    </row>
    <row r="8123" spans="1:2" x14ac:dyDescent="0.25">
      <c r="A8123" s="104"/>
      <c r="B8123" s="104"/>
    </row>
    <row r="8124" spans="1:2" x14ac:dyDescent="0.25">
      <c r="A8124" s="104"/>
      <c r="B8124" s="104"/>
    </row>
    <row r="8125" spans="1:2" x14ac:dyDescent="0.25">
      <c r="A8125" s="104"/>
      <c r="B8125" s="104"/>
    </row>
    <row r="8126" spans="1:2" x14ac:dyDescent="0.25">
      <c r="A8126" s="104"/>
      <c r="B8126" s="104"/>
    </row>
    <row r="8127" spans="1:2" x14ac:dyDescent="0.25">
      <c r="A8127" s="104"/>
      <c r="B8127" s="104"/>
    </row>
    <row r="8128" spans="1:2" x14ac:dyDescent="0.25">
      <c r="A8128" s="104"/>
      <c r="B8128" s="104"/>
    </row>
    <row r="8129" spans="1:2" x14ac:dyDescent="0.25">
      <c r="A8129" s="104"/>
      <c r="B8129" s="104"/>
    </row>
    <row r="8130" spans="1:2" x14ac:dyDescent="0.25">
      <c r="A8130" s="104"/>
      <c r="B8130" s="104"/>
    </row>
    <row r="8131" spans="1:2" x14ac:dyDescent="0.25">
      <c r="A8131" s="104"/>
      <c r="B8131" s="104"/>
    </row>
    <row r="8132" spans="1:2" x14ac:dyDescent="0.25">
      <c r="A8132" s="104"/>
      <c r="B8132" s="104"/>
    </row>
    <row r="8133" spans="1:2" x14ac:dyDescent="0.25">
      <c r="A8133" s="104"/>
      <c r="B8133" s="104"/>
    </row>
    <row r="8134" spans="1:2" x14ac:dyDescent="0.25">
      <c r="A8134" s="104"/>
      <c r="B8134" s="104"/>
    </row>
    <row r="8135" spans="1:2" x14ac:dyDescent="0.25">
      <c r="A8135" s="104"/>
      <c r="B8135" s="104"/>
    </row>
    <row r="8136" spans="1:2" x14ac:dyDescent="0.25">
      <c r="A8136" s="104"/>
      <c r="B8136" s="104"/>
    </row>
    <row r="8137" spans="1:2" x14ac:dyDescent="0.25">
      <c r="A8137" s="104"/>
      <c r="B8137" s="104"/>
    </row>
    <row r="8138" spans="1:2" x14ac:dyDescent="0.25">
      <c r="A8138" s="104"/>
      <c r="B8138" s="104"/>
    </row>
    <row r="8139" spans="1:2" x14ac:dyDescent="0.25">
      <c r="A8139" s="104"/>
      <c r="B8139" s="104"/>
    </row>
    <row r="8140" spans="1:2" x14ac:dyDescent="0.25">
      <c r="A8140" s="104"/>
      <c r="B8140" s="104"/>
    </row>
    <row r="8141" spans="1:2" x14ac:dyDescent="0.25">
      <c r="A8141" s="104"/>
      <c r="B8141" s="104"/>
    </row>
    <row r="8142" spans="1:2" x14ac:dyDescent="0.25">
      <c r="A8142" s="104"/>
      <c r="B8142" s="104"/>
    </row>
    <row r="8143" spans="1:2" x14ac:dyDescent="0.25">
      <c r="A8143" s="104"/>
      <c r="B8143" s="104"/>
    </row>
    <row r="8144" spans="1:2" x14ac:dyDescent="0.25">
      <c r="A8144" s="104"/>
      <c r="B8144" s="104"/>
    </row>
    <row r="8145" spans="1:2" x14ac:dyDescent="0.25">
      <c r="A8145" s="104"/>
      <c r="B8145" s="104"/>
    </row>
    <row r="8146" spans="1:2" x14ac:dyDescent="0.25">
      <c r="A8146" s="104"/>
      <c r="B8146" s="104"/>
    </row>
    <row r="8147" spans="1:2" x14ac:dyDescent="0.25">
      <c r="A8147" s="104"/>
      <c r="B8147" s="104"/>
    </row>
    <row r="8148" spans="1:2" x14ac:dyDescent="0.25">
      <c r="A8148" s="104"/>
      <c r="B8148" s="104"/>
    </row>
    <row r="8149" spans="1:2" x14ac:dyDescent="0.25">
      <c r="A8149" s="104"/>
      <c r="B8149" s="104"/>
    </row>
    <row r="8150" spans="1:2" x14ac:dyDescent="0.25">
      <c r="A8150" s="104"/>
      <c r="B8150" s="104"/>
    </row>
    <row r="8151" spans="1:2" x14ac:dyDescent="0.25">
      <c r="A8151" s="104"/>
      <c r="B8151" s="104"/>
    </row>
    <row r="8152" spans="1:2" x14ac:dyDescent="0.25">
      <c r="A8152" s="104"/>
      <c r="B8152" s="104"/>
    </row>
    <row r="8153" spans="1:2" x14ac:dyDescent="0.25">
      <c r="A8153" s="104"/>
      <c r="B8153" s="104"/>
    </row>
    <row r="8154" spans="1:2" x14ac:dyDescent="0.25">
      <c r="A8154" s="104"/>
      <c r="B8154" s="104"/>
    </row>
    <row r="8155" spans="1:2" x14ac:dyDescent="0.25">
      <c r="A8155" s="104"/>
      <c r="B8155" s="104"/>
    </row>
    <row r="8156" spans="1:2" x14ac:dyDescent="0.25">
      <c r="A8156" s="104"/>
      <c r="B8156" s="104"/>
    </row>
    <row r="8157" spans="1:2" x14ac:dyDescent="0.25">
      <c r="A8157" s="104"/>
      <c r="B8157" s="104"/>
    </row>
    <row r="8158" spans="1:2" x14ac:dyDescent="0.25">
      <c r="A8158" s="104"/>
      <c r="B8158" s="104"/>
    </row>
    <row r="8159" spans="1:2" x14ac:dyDescent="0.25">
      <c r="A8159" s="104"/>
      <c r="B8159" s="104"/>
    </row>
    <row r="8160" spans="1:2" x14ac:dyDescent="0.25">
      <c r="A8160" s="104"/>
      <c r="B8160" s="104"/>
    </row>
    <row r="8161" spans="1:2" x14ac:dyDescent="0.25">
      <c r="A8161" s="104"/>
      <c r="B8161" s="104"/>
    </row>
    <row r="8162" spans="1:2" x14ac:dyDescent="0.25">
      <c r="A8162" s="104"/>
      <c r="B8162" s="104"/>
    </row>
    <row r="8163" spans="1:2" x14ac:dyDescent="0.25">
      <c r="A8163" s="104"/>
      <c r="B8163" s="104"/>
    </row>
    <row r="8164" spans="1:2" x14ac:dyDescent="0.25">
      <c r="A8164" s="104"/>
      <c r="B8164" s="104"/>
    </row>
    <row r="8165" spans="1:2" x14ac:dyDescent="0.25">
      <c r="A8165" s="104"/>
      <c r="B8165" s="104"/>
    </row>
    <row r="8166" spans="1:2" x14ac:dyDescent="0.25">
      <c r="A8166" s="104"/>
      <c r="B8166" s="104"/>
    </row>
    <row r="8167" spans="1:2" x14ac:dyDescent="0.25">
      <c r="A8167" s="104"/>
      <c r="B8167" s="104"/>
    </row>
    <row r="8168" spans="1:2" x14ac:dyDescent="0.25">
      <c r="A8168" s="104"/>
      <c r="B8168" s="104"/>
    </row>
    <row r="8169" spans="1:2" x14ac:dyDescent="0.25">
      <c r="A8169" s="104"/>
      <c r="B8169" s="104"/>
    </row>
    <row r="8170" spans="1:2" x14ac:dyDescent="0.25">
      <c r="A8170" s="104"/>
      <c r="B8170" s="104"/>
    </row>
    <row r="8171" spans="1:2" x14ac:dyDescent="0.25">
      <c r="A8171" s="104"/>
      <c r="B8171" s="104"/>
    </row>
    <row r="8172" spans="1:2" x14ac:dyDescent="0.25">
      <c r="A8172" s="104"/>
      <c r="B8172" s="104"/>
    </row>
    <row r="8173" spans="1:2" x14ac:dyDescent="0.25">
      <c r="A8173" s="104"/>
      <c r="B8173" s="104"/>
    </row>
    <row r="8174" spans="1:2" x14ac:dyDescent="0.25">
      <c r="A8174" s="104"/>
      <c r="B8174" s="104"/>
    </row>
    <row r="8175" spans="1:2" x14ac:dyDescent="0.25">
      <c r="A8175" s="104"/>
      <c r="B8175" s="104"/>
    </row>
    <row r="8176" spans="1:2" x14ac:dyDescent="0.25">
      <c r="A8176" s="104"/>
      <c r="B8176" s="104"/>
    </row>
    <row r="8177" spans="1:2" x14ac:dyDescent="0.25">
      <c r="A8177" s="104"/>
      <c r="B8177" s="104"/>
    </row>
    <row r="8178" spans="1:2" x14ac:dyDescent="0.25">
      <c r="A8178" s="104"/>
      <c r="B8178" s="104"/>
    </row>
    <row r="8179" spans="1:2" x14ac:dyDescent="0.25">
      <c r="A8179" s="104"/>
      <c r="B8179" s="104"/>
    </row>
    <row r="8180" spans="1:2" x14ac:dyDescent="0.25">
      <c r="A8180" s="104"/>
      <c r="B8180" s="104"/>
    </row>
    <row r="8181" spans="1:2" x14ac:dyDescent="0.25">
      <c r="A8181" s="104"/>
      <c r="B8181" s="104"/>
    </row>
    <row r="8182" spans="1:2" x14ac:dyDescent="0.25">
      <c r="A8182" s="104"/>
      <c r="B8182" s="104"/>
    </row>
    <row r="8183" spans="1:2" x14ac:dyDescent="0.25">
      <c r="A8183" s="104"/>
      <c r="B8183" s="104"/>
    </row>
    <row r="8184" spans="1:2" x14ac:dyDescent="0.25">
      <c r="A8184" s="104"/>
      <c r="B8184" s="104"/>
    </row>
    <row r="8185" spans="1:2" x14ac:dyDescent="0.25">
      <c r="A8185" s="104"/>
      <c r="B8185" s="104"/>
    </row>
    <row r="8186" spans="1:2" x14ac:dyDescent="0.25">
      <c r="A8186" s="104"/>
      <c r="B8186" s="104"/>
    </row>
    <row r="8187" spans="1:2" x14ac:dyDescent="0.25">
      <c r="A8187" s="104"/>
      <c r="B8187" s="104"/>
    </row>
    <row r="8188" spans="1:2" x14ac:dyDescent="0.25">
      <c r="A8188" s="104"/>
      <c r="B8188" s="104"/>
    </row>
    <row r="8189" spans="1:2" x14ac:dyDescent="0.25">
      <c r="A8189" s="104"/>
      <c r="B8189" s="104"/>
    </row>
    <row r="8190" spans="1:2" x14ac:dyDescent="0.25">
      <c r="A8190" s="104"/>
      <c r="B8190" s="104"/>
    </row>
    <row r="8191" spans="1:2" x14ac:dyDescent="0.25">
      <c r="A8191" s="104"/>
      <c r="B8191" s="104"/>
    </row>
    <row r="8192" spans="1:2" x14ac:dyDescent="0.25">
      <c r="A8192" s="104"/>
      <c r="B8192" s="104"/>
    </row>
    <row r="8193" spans="1:2" x14ac:dyDescent="0.25">
      <c r="A8193" s="104"/>
      <c r="B8193" s="104"/>
    </row>
    <row r="8194" spans="1:2" x14ac:dyDescent="0.25">
      <c r="A8194" s="104"/>
      <c r="B8194" s="104"/>
    </row>
    <row r="8195" spans="1:2" x14ac:dyDescent="0.25">
      <c r="A8195" s="104"/>
      <c r="B8195" s="104"/>
    </row>
    <row r="8196" spans="1:2" x14ac:dyDescent="0.25">
      <c r="A8196" s="104"/>
      <c r="B8196" s="104"/>
    </row>
    <row r="8197" spans="1:2" x14ac:dyDescent="0.25">
      <c r="A8197" s="104"/>
      <c r="B8197" s="104"/>
    </row>
    <row r="8198" spans="1:2" x14ac:dyDescent="0.25">
      <c r="A8198" s="104"/>
      <c r="B8198" s="104"/>
    </row>
    <row r="8199" spans="1:2" x14ac:dyDescent="0.25">
      <c r="A8199" s="104"/>
      <c r="B8199" s="104"/>
    </row>
    <row r="8200" spans="1:2" x14ac:dyDescent="0.25">
      <c r="A8200" s="104"/>
      <c r="B8200" s="104"/>
    </row>
    <row r="8201" spans="1:2" x14ac:dyDescent="0.25">
      <c r="A8201" s="104"/>
      <c r="B8201" s="104"/>
    </row>
    <row r="8202" spans="1:2" x14ac:dyDescent="0.25">
      <c r="A8202" s="104"/>
      <c r="B8202" s="104"/>
    </row>
    <row r="8203" spans="1:2" x14ac:dyDescent="0.25">
      <c r="A8203" s="104"/>
      <c r="B8203" s="104"/>
    </row>
    <row r="8204" spans="1:2" x14ac:dyDescent="0.25">
      <c r="A8204" s="104"/>
      <c r="B8204" s="104"/>
    </row>
    <row r="8205" spans="1:2" x14ac:dyDescent="0.25">
      <c r="A8205" s="104"/>
      <c r="B8205" s="104"/>
    </row>
    <row r="8206" spans="1:2" x14ac:dyDescent="0.25">
      <c r="A8206" s="104"/>
      <c r="B8206" s="104"/>
    </row>
    <row r="8207" spans="1:2" x14ac:dyDescent="0.25">
      <c r="A8207" s="104"/>
      <c r="B8207" s="104"/>
    </row>
    <row r="8208" spans="1:2" x14ac:dyDescent="0.25">
      <c r="A8208" s="104"/>
      <c r="B8208" s="104"/>
    </row>
    <row r="8209" spans="1:2" x14ac:dyDescent="0.25">
      <c r="A8209" s="104"/>
      <c r="B8209" s="104"/>
    </row>
    <row r="8210" spans="1:2" x14ac:dyDescent="0.25">
      <c r="A8210" s="104"/>
      <c r="B8210" s="104"/>
    </row>
    <row r="8211" spans="1:2" x14ac:dyDescent="0.25">
      <c r="A8211" s="104"/>
      <c r="B8211" s="104"/>
    </row>
    <row r="8212" spans="1:2" x14ac:dyDescent="0.25">
      <c r="A8212" s="104"/>
      <c r="B8212" s="104"/>
    </row>
    <row r="8213" spans="1:2" x14ac:dyDescent="0.25">
      <c r="A8213" s="104"/>
      <c r="B8213" s="104"/>
    </row>
    <row r="8214" spans="1:2" x14ac:dyDescent="0.25">
      <c r="A8214" s="104"/>
      <c r="B8214" s="104"/>
    </row>
    <row r="8215" spans="1:2" x14ac:dyDescent="0.25">
      <c r="A8215" s="104"/>
      <c r="B8215" s="104"/>
    </row>
    <row r="8216" spans="1:2" x14ac:dyDescent="0.25">
      <c r="A8216" s="104"/>
      <c r="B8216" s="104"/>
    </row>
    <row r="8217" spans="1:2" x14ac:dyDescent="0.25">
      <c r="A8217" s="104"/>
      <c r="B8217" s="104"/>
    </row>
    <row r="8218" spans="1:2" x14ac:dyDescent="0.25">
      <c r="A8218" s="104"/>
      <c r="B8218" s="104"/>
    </row>
    <row r="8219" spans="1:2" x14ac:dyDescent="0.25">
      <c r="A8219" s="104"/>
      <c r="B8219" s="104"/>
    </row>
    <row r="8220" spans="1:2" x14ac:dyDescent="0.25">
      <c r="A8220" s="104"/>
      <c r="B8220" s="104"/>
    </row>
    <row r="8221" spans="1:2" x14ac:dyDescent="0.25">
      <c r="A8221" s="104"/>
      <c r="B8221" s="104"/>
    </row>
    <row r="8222" spans="1:2" x14ac:dyDescent="0.25">
      <c r="A8222" s="104"/>
      <c r="B8222" s="104"/>
    </row>
    <row r="8223" spans="1:2" x14ac:dyDescent="0.25">
      <c r="A8223" s="104"/>
      <c r="B8223" s="104"/>
    </row>
    <row r="8224" spans="1:2" x14ac:dyDescent="0.25">
      <c r="A8224" s="104"/>
      <c r="B8224" s="104"/>
    </row>
    <row r="8225" spans="1:2" x14ac:dyDescent="0.25">
      <c r="A8225" s="104"/>
      <c r="B8225" s="104"/>
    </row>
    <row r="8226" spans="1:2" x14ac:dyDescent="0.25">
      <c r="A8226" s="104"/>
      <c r="B8226" s="104"/>
    </row>
    <row r="8227" spans="1:2" x14ac:dyDescent="0.25">
      <c r="A8227" s="104"/>
      <c r="B8227" s="104"/>
    </row>
    <row r="8228" spans="1:2" x14ac:dyDescent="0.25">
      <c r="A8228" s="104"/>
      <c r="B8228" s="104"/>
    </row>
    <row r="8229" spans="1:2" x14ac:dyDescent="0.25">
      <c r="A8229" s="104"/>
      <c r="B8229" s="104"/>
    </row>
    <row r="8230" spans="1:2" x14ac:dyDescent="0.25">
      <c r="A8230" s="104"/>
      <c r="B8230" s="104"/>
    </row>
    <row r="8231" spans="1:2" x14ac:dyDescent="0.25">
      <c r="A8231" s="104"/>
      <c r="B8231" s="104"/>
    </row>
    <row r="8232" spans="1:2" x14ac:dyDescent="0.25">
      <c r="A8232" s="104"/>
      <c r="B8232" s="104"/>
    </row>
    <row r="8233" spans="1:2" x14ac:dyDescent="0.25">
      <c r="A8233" s="104"/>
      <c r="B8233" s="104"/>
    </row>
    <row r="8234" spans="1:2" x14ac:dyDescent="0.25">
      <c r="A8234" s="104"/>
      <c r="B8234" s="104"/>
    </row>
    <row r="8235" spans="1:2" x14ac:dyDescent="0.25">
      <c r="A8235" s="104"/>
      <c r="B8235" s="104"/>
    </row>
    <row r="8236" spans="1:2" x14ac:dyDescent="0.25">
      <c r="A8236" s="104"/>
      <c r="B8236" s="104"/>
    </row>
    <row r="8237" spans="1:2" x14ac:dyDescent="0.25">
      <c r="A8237" s="104"/>
      <c r="B8237" s="104"/>
    </row>
    <row r="8238" spans="1:2" x14ac:dyDescent="0.25">
      <c r="A8238" s="104"/>
      <c r="B8238" s="104"/>
    </row>
    <row r="8239" spans="1:2" x14ac:dyDescent="0.25">
      <c r="A8239" s="104"/>
      <c r="B8239" s="104"/>
    </row>
    <row r="8240" spans="1:2" x14ac:dyDescent="0.25">
      <c r="A8240" s="104"/>
      <c r="B8240" s="104"/>
    </row>
    <row r="8241" spans="1:2" x14ac:dyDescent="0.25">
      <c r="A8241" s="104"/>
      <c r="B8241" s="104"/>
    </row>
    <row r="8242" spans="1:2" x14ac:dyDescent="0.25">
      <c r="A8242" s="104"/>
      <c r="B8242" s="104"/>
    </row>
    <row r="8243" spans="1:2" x14ac:dyDescent="0.25">
      <c r="A8243" s="104"/>
      <c r="B8243" s="104"/>
    </row>
    <row r="8244" spans="1:2" x14ac:dyDescent="0.25">
      <c r="A8244" s="104"/>
      <c r="B8244" s="104"/>
    </row>
    <row r="8245" spans="1:2" x14ac:dyDescent="0.25">
      <c r="A8245" s="104"/>
      <c r="B8245" s="104"/>
    </row>
    <row r="8246" spans="1:2" x14ac:dyDescent="0.25">
      <c r="A8246" s="104"/>
      <c r="B8246" s="104"/>
    </row>
    <row r="8247" spans="1:2" x14ac:dyDescent="0.25">
      <c r="A8247" s="104"/>
      <c r="B8247" s="104"/>
    </row>
    <row r="8248" spans="1:2" x14ac:dyDescent="0.25">
      <c r="A8248" s="104"/>
      <c r="B8248" s="104"/>
    </row>
    <row r="8249" spans="1:2" x14ac:dyDescent="0.25">
      <c r="A8249" s="104"/>
      <c r="B8249" s="104"/>
    </row>
    <row r="8250" spans="1:2" x14ac:dyDescent="0.25">
      <c r="A8250" s="104"/>
      <c r="B8250" s="104"/>
    </row>
    <row r="8251" spans="1:2" x14ac:dyDescent="0.25">
      <c r="A8251" s="104"/>
      <c r="B8251" s="104"/>
    </row>
    <row r="8252" spans="1:2" x14ac:dyDescent="0.25">
      <c r="A8252" s="104"/>
      <c r="B8252" s="104"/>
    </row>
    <row r="8253" spans="1:2" x14ac:dyDescent="0.25">
      <c r="A8253" s="104"/>
      <c r="B8253" s="104"/>
    </row>
    <row r="8254" spans="1:2" x14ac:dyDescent="0.25">
      <c r="A8254" s="104"/>
      <c r="B8254" s="104"/>
    </row>
    <row r="8255" spans="1:2" x14ac:dyDescent="0.25">
      <c r="A8255" s="104"/>
      <c r="B8255" s="104"/>
    </row>
    <row r="8256" spans="1:2" x14ac:dyDescent="0.25">
      <c r="A8256" s="104"/>
      <c r="B8256" s="104"/>
    </row>
    <row r="8257" spans="1:2" x14ac:dyDescent="0.25">
      <c r="A8257" s="104"/>
      <c r="B8257" s="104"/>
    </row>
    <row r="8258" spans="1:2" x14ac:dyDescent="0.25">
      <c r="A8258" s="104"/>
      <c r="B8258" s="104"/>
    </row>
    <row r="8259" spans="1:2" x14ac:dyDescent="0.25">
      <c r="A8259" s="104"/>
      <c r="B8259" s="104"/>
    </row>
    <row r="8260" spans="1:2" x14ac:dyDescent="0.25">
      <c r="A8260" s="104"/>
      <c r="B8260" s="104"/>
    </row>
    <row r="8261" spans="1:2" x14ac:dyDescent="0.25">
      <c r="A8261" s="104"/>
      <c r="B8261" s="104"/>
    </row>
    <row r="8262" spans="1:2" x14ac:dyDescent="0.25">
      <c r="A8262" s="104"/>
      <c r="B8262" s="104"/>
    </row>
    <row r="8263" spans="1:2" x14ac:dyDescent="0.25">
      <c r="A8263" s="104"/>
      <c r="B8263" s="104"/>
    </row>
    <row r="8264" spans="1:2" x14ac:dyDescent="0.25">
      <c r="A8264" s="104"/>
      <c r="B8264" s="104"/>
    </row>
    <row r="8265" spans="1:2" x14ac:dyDescent="0.25">
      <c r="A8265" s="104"/>
      <c r="B8265" s="104"/>
    </row>
    <row r="8266" spans="1:2" x14ac:dyDescent="0.25">
      <c r="A8266" s="104"/>
      <c r="B8266" s="104"/>
    </row>
    <row r="8267" spans="1:2" x14ac:dyDescent="0.25">
      <c r="A8267" s="104"/>
      <c r="B8267" s="104"/>
    </row>
    <row r="8268" spans="1:2" x14ac:dyDescent="0.25">
      <c r="A8268" s="104"/>
      <c r="B8268" s="104"/>
    </row>
    <row r="8269" spans="1:2" x14ac:dyDescent="0.25">
      <c r="A8269" s="104"/>
      <c r="B8269" s="104"/>
    </row>
    <row r="8270" spans="1:2" x14ac:dyDescent="0.25">
      <c r="A8270" s="104"/>
      <c r="B8270" s="104"/>
    </row>
    <row r="8271" spans="1:2" x14ac:dyDescent="0.25">
      <c r="A8271" s="104"/>
      <c r="B8271" s="104"/>
    </row>
    <row r="8272" spans="1:2" x14ac:dyDescent="0.25">
      <c r="A8272" s="104"/>
      <c r="B8272" s="104"/>
    </row>
    <row r="8273" spans="1:2" x14ac:dyDescent="0.25">
      <c r="A8273" s="104"/>
      <c r="B8273" s="104"/>
    </row>
    <row r="8274" spans="1:2" x14ac:dyDescent="0.25">
      <c r="A8274" s="104"/>
      <c r="B8274" s="104"/>
    </row>
    <row r="8275" spans="1:2" x14ac:dyDescent="0.25">
      <c r="A8275" s="104"/>
      <c r="B8275" s="104"/>
    </row>
    <row r="8276" spans="1:2" x14ac:dyDescent="0.25">
      <c r="A8276" s="104"/>
      <c r="B8276" s="104"/>
    </row>
    <row r="8277" spans="1:2" x14ac:dyDescent="0.25">
      <c r="A8277" s="104"/>
      <c r="B8277" s="104"/>
    </row>
    <row r="8278" spans="1:2" x14ac:dyDescent="0.25">
      <c r="A8278" s="104"/>
      <c r="B8278" s="104"/>
    </row>
    <row r="8279" spans="1:2" x14ac:dyDescent="0.25">
      <c r="A8279" s="104"/>
      <c r="B8279" s="104"/>
    </row>
    <row r="8280" spans="1:2" x14ac:dyDescent="0.25">
      <c r="A8280" s="104"/>
      <c r="B8280" s="104"/>
    </row>
    <row r="8281" spans="1:2" x14ac:dyDescent="0.25">
      <c r="A8281" s="104"/>
      <c r="B8281" s="104"/>
    </row>
    <row r="8282" spans="1:2" x14ac:dyDescent="0.25">
      <c r="A8282" s="104"/>
      <c r="B8282" s="104"/>
    </row>
    <row r="8283" spans="1:2" x14ac:dyDescent="0.25">
      <c r="A8283" s="104"/>
      <c r="B8283" s="104"/>
    </row>
    <row r="8284" spans="1:2" x14ac:dyDescent="0.25">
      <c r="A8284" s="104"/>
      <c r="B8284" s="104"/>
    </row>
    <row r="8285" spans="1:2" x14ac:dyDescent="0.25">
      <c r="A8285" s="104"/>
      <c r="B8285" s="104"/>
    </row>
    <row r="8286" spans="1:2" x14ac:dyDescent="0.25">
      <c r="A8286" s="104"/>
      <c r="B8286" s="104"/>
    </row>
    <row r="8287" spans="1:2" x14ac:dyDescent="0.25">
      <c r="A8287" s="104"/>
      <c r="B8287" s="104"/>
    </row>
    <row r="8288" spans="1:2" x14ac:dyDescent="0.25">
      <c r="A8288" s="104"/>
      <c r="B8288" s="104"/>
    </row>
    <row r="8289" spans="1:2" x14ac:dyDescent="0.25">
      <c r="A8289" s="104"/>
      <c r="B8289" s="104"/>
    </row>
    <row r="8290" spans="1:2" x14ac:dyDescent="0.25">
      <c r="A8290" s="104"/>
      <c r="B8290" s="104"/>
    </row>
    <row r="8291" spans="1:2" x14ac:dyDescent="0.25">
      <c r="A8291" s="104"/>
      <c r="B8291" s="104"/>
    </row>
    <row r="8292" spans="1:2" x14ac:dyDescent="0.25">
      <c r="A8292" s="104"/>
      <c r="B8292" s="104"/>
    </row>
    <row r="8293" spans="1:2" x14ac:dyDescent="0.25">
      <c r="A8293" s="104"/>
      <c r="B8293" s="104"/>
    </row>
    <row r="8294" spans="1:2" x14ac:dyDescent="0.25">
      <c r="A8294" s="104"/>
      <c r="B8294" s="104"/>
    </row>
    <row r="8295" spans="1:2" x14ac:dyDescent="0.25">
      <c r="A8295" s="104"/>
      <c r="B8295" s="104"/>
    </row>
    <row r="8296" spans="1:2" x14ac:dyDescent="0.25">
      <c r="A8296" s="104"/>
      <c r="B8296" s="104"/>
    </row>
    <row r="8297" spans="1:2" x14ac:dyDescent="0.25">
      <c r="A8297" s="104"/>
      <c r="B8297" s="104"/>
    </row>
    <row r="8298" spans="1:2" x14ac:dyDescent="0.25">
      <c r="A8298" s="104"/>
      <c r="B8298" s="104"/>
    </row>
    <row r="8299" spans="1:2" x14ac:dyDescent="0.25">
      <c r="A8299" s="104"/>
      <c r="B8299" s="104"/>
    </row>
    <row r="8300" spans="1:2" x14ac:dyDescent="0.25">
      <c r="A8300" s="104"/>
      <c r="B8300" s="104"/>
    </row>
    <row r="8301" spans="1:2" x14ac:dyDescent="0.25">
      <c r="A8301" s="104"/>
      <c r="B8301" s="104"/>
    </row>
    <row r="8302" spans="1:2" x14ac:dyDescent="0.25">
      <c r="A8302" s="104"/>
      <c r="B8302" s="104"/>
    </row>
    <row r="8303" spans="1:2" x14ac:dyDescent="0.25">
      <c r="A8303" s="104"/>
      <c r="B8303" s="104"/>
    </row>
    <row r="8304" spans="1:2" x14ac:dyDescent="0.25">
      <c r="A8304" s="104"/>
      <c r="B8304" s="104"/>
    </row>
    <row r="8305" spans="1:2" x14ac:dyDescent="0.25">
      <c r="A8305" s="104"/>
      <c r="B8305" s="104"/>
    </row>
    <row r="8306" spans="1:2" x14ac:dyDescent="0.25">
      <c r="A8306" s="104"/>
      <c r="B8306" s="104"/>
    </row>
    <row r="8307" spans="1:2" x14ac:dyDescent="0.25">
      <c r="A8307" s="104"/>
      <c r="B8307" s="104"/>
    </row>
    <row r="8308" spans="1:2" x14ac:dyDescent="0.25">
      <c r="A8308" s="104"/>
      <c r="B8308" s="104"/>
    </row>
    <row r="8309" spans="1:2" x14ac:dyDescent="0.25">
      <c r="A8309" s="104"/>
      <c r="B8309" s="104"/>
    </row>
    <row r="8310" spans="1:2" x14ac:dyDescent="0.25">
      <c r="A8310" s="104"/>
      <c r="B8310" s="104"/>
    </row>
    <row r="8311" spans="1:2" x14ac:dyDescent="0.25">
      <c r="A8311" s="104"/>
      <c r="B8311" s="104"/>
    </row>
    <row r="8312" spans="1:2" x14ac:dyDescent="0.25">
      <c r="A8312" s="104"/>
      <c r="B8312" s="104"/>
    </row>
    <row r="8313" spans="1:2" x14ac:dyDescent="0.25">
      <c r="A8313" s="104"/>
      <c r="B8313" s="104"/>
    </row>
    <row r="8314" spans="1:2" x14ac:dyDescent="0.25">
      <c r="A8314" s="104"/>
      <c r="B8314" s="104"/>
    </row>
    <row r="8315" spans="1:2" x14ac:dyDescent="0.25">
      <c r="A8315" s="104"/>
      <c r="B8315" s="104"/>
    </row>
    <row r="8316" spans="1:2" x14ac:dyDescent="0.25">
      <c r="A8316" s="104"/>
      <c r="B8316" s="104"/>
    </row>
    <row r="8317" spans="1:2" x14ac:dyDescent="0.25">
      <c r="A8317" s="104"/>
      <c r="B8317" s="104"/>
    </row>
    <row r="8318" spans="1:2" x14ac:dyDescent="0.25">
      <c r="A8318" s="104"/>
      <c r="B8318" s="104"/>
    </row>
    <row r="8319" spans="1:2" x14ac:dyDescent="0.25">
      <c r="A8319" s="104"/>
      <c r="B8319" s="104"/>
    </row>
    <row r="8320" spans="1:2" x14ac:dyDescent="0.25">
      <c r="A8320" s="104"/>
      <c r="B8320" s="104"/>
    </row>
    <row r="8321" spans="1:2" x14ac:dyDescent="0.25">
      <c r="A8321" s="104"/>
      <c r="B8321" s="104"/>
    </row>
    <row r="8322" spans="1:2" x14ac:dyDescent="0.25">
      <c r="A8322" s="104"/>
      <c r="B8322" s="104"/>
    </row>
    <row r="8323" spans="1:2" x14ac:dyDescent="0.25">
      <c r="A8323" s="104"/>
      <c r="B8323" s="104"/>
    </row>
    <row r="8324" spans="1:2" x14ac:dyDescent="0.25">
      <c r="A8324" s="104"/>
      <c r="B8324" s="104"/>
    </row>
    <row r="8325" spans="1:2" x14ac:dyDescent="0.25">
      <c r="A8325" s="104"/>
      <c r="B8325" s="104"/>
    </row>
    <row r="8326" spans="1:2" x14ac:dyDescent="0.25">
      <c r="A8326" s="104"/>
      <c r="B8326" s="104"/>
    </row>
    <row r="8327" spans="1:2" x14ac:dyDescent="0.25">
      <c r="A8327" s="104"/>
      <c r="B8327" s="104"/>
    </row>
    <row r="8328" spans="1:2" x14ac:dyDescent="0.25">
      <c r="A8328" s="104"/>
      <c r="B8328" s="104"/>
    </row>
    <row r="8329" spans="1:2" x14ac:dyDescent="0.25">
      <c r="A8329" s="104"/>
      <c r="B8329" s="104"/>
    </row>
    <row r="8330" spans="1:2" x14ac:dyDescent="0.25">
      <c r="A8330" s="104"/>
      <c r="B8330" s="104"/>
    </row>
    <row r="8331" spans="1:2" x14ac:dyDescent="0.25">
      <c r="A8331" s="104"/>
      <c r="B8331" s="104"/>
    </row>
    <row r="8332" spans="1:2" x14ac:dyDescent="0.25">
      <c r="A8332" s="104"/>
      <c r="B8332" s="104"/>
    </row>
    <row r="8333" spans="1:2" x14ac:dyDescent="0.25">
      <c r="A8333" s="104"/>
      <c r="B8333" s="104"/>
    </row>
    <row r="8334" spans="1:2" x14ac:dyDescent="0.25">
      <c r="A8334" s="104"/>
      <c r="B8334" s="104"/>
    </row>
    <row r="8335" spans="1:2" x14ac:dyDescent="0.25">
      <c r="A8335" s="104"/>
      <c r="B8335" s="104"/>
    </row>
    <row r="8336" spans="1:2" x14ac:dyDescent="0.25">
      <c r="A8336" s="104"/>
      <c r="B8336" s="104"/>
    </row>
    <row r="8337" spans="1:2" x14ac:dyDescent="0.25">
      <c r="A8337" s="104"/>
      <c r="B8337" s="104"/>
    </row>
    <row r="8338" spans="1:2" x14ac:dyDescent="0.25">
      <c r="A8338" s="104"/>
      <c r="B8338" s="104"/>
    </row>
    <row r="8339" spans="1:2" x14ac:dyDescent="0.25">
      <c r="A8339" s="104"/>
      <c r="B8339" s="104"/>
    </row>
    <row r="8340" spans="1:2" x14ac:dyDescent="0.25">
      <c r="A8340" s="104"/>
      <c r="B8340" s="104"/>
    </row>
    <row r="8341" spans="1:2" x14ac:dyDescent="0.25">
      <c r="A8341" s="104"/>
      <c r="B8341" s="104"/>
    </row>
    <row r="8342" spans="1:2" x14ac:dyDescent="0.25">
      <c r="A8342" s="104"/>
      <c r="B8342" s="104"/>
    </row>
    <row r="8343" spans="1:2" x14ac:dyDescent="0.25">
      <c r="A8343" s="104"/>
      <c r="B8343" s="104"/>
    </row>
    <row r="8344" spans="1:2" x14ac:dyDescent="0.25">
      <c r="A8344" s="104"/>
      <c r="B8344" s="104"/>
    </row>
    <row r="8345" spans="1:2" x14ac:dyDescent="0.25">
      <c r="A8345" s="104"/>
      <c r="B8345" s="104"/>
    </row>
    <row r="8346" spans="1:2" x14ac:dyDescent="0.25">
      <c r="A8346" s="104"/>
      <c r="B8346" s="104"/>
    </row>
    <row r="8347" spans="1:2" x14ac:dyDescent="0.25">
      <c r="A8347" s="104"/>
      <c r="B8347" s="104"/>
    </row>
    <row r="8348" spans="1:2" x14ac:dyDescent="0.25">
      <c r="A8348" s="104"/>
      <c r="B8348" s="104"/>
    </row>
    <row r="8349" spans="1:2" x14ac:dyDescent="0.25">
      <c r="A8349" s="104"/>
      <c r="B8349" s="104"/>
    </row>
    <row r="8350" spans="1:2" x14ac:dyDescent="0.25">
      <c r="A8350" s="104"/>
      <c r="B8350" s="104"/>
    </row>
    <row r="8351" spans="1:2" x14ac:dyDescent="0.25">
      <c r="A8351" s="104"/>
      <c r="B8351" s="104"/>
    </row>
    <row r="8352" spans="1:2" x14ac:dyDescent="0.25">
      <c r="A8352" s="104"/>
      <c r="B8352" s="104"/>
    </row>
    <row r="8353" spans="1:2" x14ac:dyDescent="0.25">
      <c r="A8353" s="104"/>
      <c r="B8353" s="104"/>
    </row>
    <row r="8354" spans="1:2" x14ac:dyDescent="0.25">
      <c r="A8354" s="104"/>
      <c r="B8354" s="104"/>
    </row>
    <row r="8355" spans="1:2" x14ac:dyDescent="0.25">
      <c r="A8355" s="104"/>
      <c r="B8355" s="104"/>
    </row>
    <row r="8356" spans="1:2" x14ac:dyDescent="0.25">
      <c r="A8356" s="104"/>
      <c r="B8356" s="104"/>
    </row>
    <row r="8357" spans="1:2" x14ac:dyDescent="0.25">
      <c r="A8357" s="104"/>
      <c r="B8357" s="104"/>
    </row>
    <row r="8358" spans="1:2" x14ac:dyDescent="0.25">
      <c r="A8358" s="104"/>
      <c r="B8358" s="104"/>
    </row>
    <row r="8359" spans="1:2" x14ac:dyDescent="0.25">
      <c r="A8359" s="104"/>
      <c r="B8359" s="104"/>
    </row>
    <row r="8360" spans="1:2" x14ac:dyDescent="0.25">
      <c r="A8360" s="104"/>
      <c r="B8360" s="104"/>
    </row>
    <row r="8361" spans="1:2" x14ac:dyDescent="0.25">
      <c r="A8361" s="104"/>
      <c r="B8361" s="104"/>
    </row>
    <row r="8362" spans="1:2" x14ac:dyDescent="0.25">
      <c r="A8362" s="104"/>
      <c r="B8362" s="104"/>
    </row>
    <row r="8363" spans="1:2" x14ac:dyDescent="0.25">
      <c r="A8363" s="104"/>
      <c r="B8363" s="104"/>
    </row>
    <row r="8364" spans="1:2" x14ac:dyDescent="0.25">
      <c r="A8364" s="104"/>
      <c r="B8364" s="104"/>
    </row>
    <row r="8365" spans="1:2" x14ac:dyDescent="0.25">
      <c r="A8365" s="104"/>
      <c r="B8365" s="104"/>
    </row>
    <row r="8366" spans="1:2" x14ac:dyDescent="0.25">
      <c r="A8366" s="104"/>
      <c r="B8366" s="104"/>
    </row>
    <row r="8367" spans="1:2" x14ac:dyDescent="0.25">
      <c r="A8367" s="104"/>
      <c r="B8367" s="104"/>
    </row>
    <row r="8368" spans="1:2" x14ac:dyDescent="0.25">
      <c r="A8368" s="104"/>
      <c r="B8368" s="104"/>
    </row>
    <row r="8369" spans="1:2" x14ac:dyDescent="0.25">
      <c r="A8369" s="104"/>
      <c r="B8369" s="104"/>
    </row>
    <row r="8370" spans="1:2" x14ac:dyDescent="0.25">
      <c r="A8370" s="104"/>
      <c r="B8370" s="104"/>
    </row>
    <row r="8371" spans="1:2" x14ac:dyDescent="0.25">
      <c r="A8371" s="104"/>
      <c r="B8371" s="104"/>
    </row>
    <row r="8372" spans="1:2" x14ac:dyDescent="0.25">
      <c r="A8372" s="104"/>
      <c r="B8372" s="104"/>
    </row>
    <row r="8373" spans="1:2" x14ac:dyDescent="0.25">
      <c r="A8373" s="104"/>
      <c r="B8373" s="104"/>
    </row>
    <row r="8374" spans="1:2" x14ac:dyDescent="0.25">
      <c r="A8374" s="104"/>
      <c r="B8374" s="104"/>
    </row>
    <row r="8375" spans="1:2" x14ac:dyDescent="0.25">
      <c r="A8375" s="104"/>
      <c r="B8375" s="104"/>
    </row>
    <row r="8376" spans="1:2" x14ac:dyDescent="0.25">
      <c r="A8376" s="104"/>
      <c r="B8376" s="104"/>
    </row>
    <row r="8377" spans="1:2" x14ac:dyDescent="0.25">
      <c r="A8377" s="104"/>
      <c r="B8377" s="104"/>
    </row>
    <row r="8378" spans="1:2" x14ac:dyDescent="0.25">
      <c r="A8378" s="104"/>
      <c r="B8378" s="104"/>
    </row>
    <row r="8379" spans="1:2" x14ac:dyDescent="0.25">
      <c r="A8379" s="104"/>
      <c r="B8379" s="104"/>
    </row>
    <row r="8380" spans="1:2" x14ac:dyDescent="0.25">
      <c r="A8380" s="104"/>
      <c r="B8380" s="104"/>
    </row>
    <row r="8381" spans="1:2" x14ac:dyDescent="0.25">
      <c r="A8381" s="104"/>
      <c r="B8381" s="104"/>
    </row>
    <row r="8382" spans="1:2" x14ac:dyDescent="0.25">
      <c r="A8382" s="104"/>
      <c r="B8382" s="104"/>
    </row>
    <row r="8383" spans="1:2" x14ac:dyDescent="0.25">
      <c r="A8383" s="104"/>
      <c r="B8383" s="104"/>
    </row>
    <row r="8384" spans="1:2" x14ac:dyDescent="0.25">
      <c r="A8384" s="104"/>
      <c r="B8384" s="104"/>
    </row>
    <row r="8385" spans="1:2" x14ac:dyDescent="0.25">
      <c r="A8385" s="104"/>
      <c r="B8385" s="104"/>
    </row>
    <row r="8386" spans="1:2" x14ac:dyDescent="0.25">
      <c r="A8386" s="104"/>
      <c r="B8386" s="104"/>
    </row>
    <row r="8387" spans="1:2" x14ac:dyDescent="0.25">
      <c r="A8387" s="104"/>
      <c r="B8387" s="104"/>
    </row>
    <row r="8388" spans="1:2" x14ac:dyDescent="0.25">
      <c r="A8388" s="104"/>
      <c r="B8388" s="104"/>
    </row>
    <row r="8389" spans="1:2" x14ac:dyDescent="0.25">
      <c r="A8389" s="104"/>
      <c r="B8389" s="104"/>
    </row>
    <row r="8390" spans="1:2" x14ac:dyDescent="0.25">
      <c r="A8390" s="104"/>
      <c r="B8390" s="104"/>
    </row>
    <row r="8391" spans="1:2" x14ac:dyDescent="0.25">
      <c r="A8391" s="104"/>
      <c r="B8391" s="104"/>
    </row>
    <row r="8392" spans="1:2" x14ac:dyDescent="0.25">
      <c r="A8392" s="104"/>
      <c r="B8392" s="104"/>
    </row>
    <row r="8393" spans="1:2" x14ac:dyDescent="0.25">
      <c r="A8393" s="104"/>
      <c r="B8393" s="104"/>
    </row>
    <row r="8394" spans="1:2" x14ac:dyDescent="0.25">
      <c r="A8394" s="104"/>
      <c r="B8394" s="104"/>
    </row>
    <row r="8395" spans="1:2" x14ac:dyDescent="0.25">
      <c r="A8395" s="104"/>
      <c r="B8395" s="104"/>
    </row>
    <row r="8396" spans="1:2" x14ac:dyDescent="0.25">
      <c r="A8396" s="104"/>
      <c r="B8396" s="104"/>
    </row>
    <row r="8397" spans="1:2" x14ac:dyDescent="0.25">
      <c r="A8397" s="104"/>
      <c r="B8397" s="104"/>
    </row>
    <row r="8398" spans="1:2" x14ac:dyDescent="0.25">
      <c r="A8398" s="104"/>
      <c r="B8398" s="104"/>
    </row>
    <row r="8399" spans="1:2" x14ac:dyDescent="0.25">
      <c r="A8399" s="104"/>
      <c r="B8399" s="104"/>
    </row>
    <row r="8400" spans="1:2" x14ac:dyDescent="0.25">
      <c r="A8400" s="104"/>
      <c r="B8400" s="104"/>
    </row>
    <row r="8401" spans="1:2" x14ac:dyDescent="0.25">
      <c r="A8401" s="104"/>
      <c r="B8401" s="104"/>
    </row>
    <row r="8402" spans="1:2" x14ac:dyDescent="0.25">
      <c r="A8402" s="104"/>
      <c r="B8402" s="104"/>
    </row>
    <row r="8403" spans="1:2" x14ac:dyDescent="0.25">
      <c r="A8403" s="104"/>
      <c r="B8403" s="104"/>
    </row>
    <row r="8404" spans="1:2" x14ac:dyDescent="0.25">
      <c r="A8404" s="104"/>
      <c r="B8404" s="104"/>
    </row>
    <row r="8405" spans="1:2" x14ac:dyDescent="0.25">
      <c r="A8405" s="104"/>
      <c r="B8405" s="104"/>
    </row>
    <row r="8406" spans="1:2" x14ac:dyDescent="0.25">
      <c r="A8406" s="104"/>
      <c r="B8406" s="104"/>
    </row>
    <row r="8407" spans="1:2" x14ac:dyDescent="0.25">
      <c r="A8407" s="104"/>
      <c r="B8407" s="104"/>
    </row>
    <row r="8408" spans="1:2" x14ac:dyDescent="0.25">
      <c r="A8408" s="104"/>
      <c r="B8408" s="104"/>
    </row>
    <row r="8409" spans="1:2" x14ac:dyDescent="0.25">
      <c r="A8409" s="104"/>
      <c r="B8409" s="104"/>
    </row>
    <row r="8410" spans="1:2" x14ac:dyDescent="0.25">
      <c r="A8410" s="104"/>
      <c r="B8410" s="104"/>
    </row>
    <row r="8411" spans="1:2" x14ac:dyDescent="0.25">
      <c r="A8411" s="104"/>
      <c r="B8411" s="104"/>
    </row>
    <row r="8412" spans="1:2" x14ac:dyDescent="0.25">
      <c r="A8412" s="104"/>
      <c r="B8412" s="104"/>
    </row>
    <row r="8413" spans="1:2" x14ac:dyDescent="0.25">
      <c r="A8413" s="104"/>
      <c r="B8413" s="104"/>
    </row>
    <row r="8414" spans="1:2" x14ac:dyDescent="0.25">
      <c r="A8414" s="104"/>
      <c r="B8414" s="104"/>
    </row>
    <row r="8415" spans="1:2" x14ac:dyDescent="0.25">
      <c r="A8415" s="104"/>
      <c r="B8415" s="104"/>
    </row>
    <row r="8416" spans="1:2" x14ac:dyDescent="0.25">
      <c r="A8416" s="104"/>
      <c r="B8416" s="104"/>
    </row>
    <row r="8417" spans="1:2" x14ac:dyDescent="0.25">
      <c r="A8417" s="104"/>
      <c r="B8417" s="104"/>
    </row>
    <row r="8418" spans="1:2" x14ac:dyDescent="0.25">
      <c r="A8418" s="104"/>
      <c r="B8418" s="104"/>
    </row>
    <row r="8419" spans="1:2" x14ac:dyDescent="0.25">
      <c r="A8419" s="104"/>
      <c r="B8419" s="104"/>
    </row>
    <row r="8420" spans="1:2" x14ac:dyDescent="0.25">
      <c r="A8420" s="104"/>
      <c r="B8420" s="104"/>
    </row>
    <row r="8421" spans="1:2" x14ac:dyDescent="0.25">
      <c r="A8421" s="104"/>
      <c r="B8421" s="104"/>
    </row>
    <row r="8422" spans="1:2" x14ac:dyDescent="0.25">
      <c r="A8422" s="104"/>
      <c r="B8422" s="104"/>
    </row>
    <row r="8423" spans="1:2" x14ac:dyDescent="0.25">
      <c r="A8423" s="104"/>
      <c r="B8423" s="104"/>
    </row>
    <row r="8424" spans="1:2" x14ac:dyDescent="0.25">
      <c r="A8424" s="104"/>
      <c r="B8424" s="104"/>
    </row>
    <row r="8425" spans="1:2" x14ac:dyDescent="0.25">
      <c r="A8425" s="104"/>
      <c r="B8425" s="104"/>
    </row>
    <row r="8426" spans="1:2" x14ac:dyDescent="0.25">
      <c r="A8426" s="104"/>
      <c r="B8426" s="104"/>
    </row>
    <row r="8427" spans="1:2" x14ac:dyDescent="0.25">
      <c r="A8427" s="104"/>
      <c r="B8427" s="104"/>
    </row>
    <row r="8428" spans="1:2" x14ac:dyDescent="0.25">
      <c r="A8428" s="104"/>
      <c r="B8428" s="104"/>
    </row>
    <row r="8429" spans="1:2" x14ac:dyDescent="0.25">
      <c r="A8429" s="104"/>
      <c r="B8429" s="104"/>
    </row>
    <row r="8430" spans="1:2" x14ac:dyDescent="0.25">
      <c r="A8430" s="104"/>
      <c r="B8430" s="104"/>
    </row>
    <row r="8431" spans="1:2" x14ac:dyDescent="0.25">
      <c r="A8431" s="104"/>
      <c r="B8431" s="104"/>
    </row>
    <row r="8432" spans="1:2" x14ac:dyDescent="0.25">
      <c r="A8432" s="104"/>
      <c r="B8432" s="104"/>
    </row>
    <row r="8433" spans="1:2" x14ac:dyDescent="0.25">
      <c r="A8433" s="104"/>
      <c r="B8433" s="104"/>
    </row>
    <row r="8434" spans="1:2" x14ac:dyDescent="0.25">
      <c r="A8434" s="104"/>
      <c r="B8434" s="104"/>
    </row>
    <row r="8435" spans="1:2" x14ac:dyDescent="0.25">
      <c r="A8435" s="104"/>
      <c r="B8435" s="104"/>
    </row>
    <row r="8436" spans="1:2" x14ac:dyDescent="0.25">
      <c r="A8436" s="104"/>
      <c r="B8436" s="104"/>
    </row>
    <row r="8437" spans="1:2" x14ac:dyDescent="0.25">
      <c r="A8437" s="104"/>
      <c r="B8437" s="104"/>
    </row>
    <row r="8438" spans="1:2" x14ac:dyDescent="0.25">
      <c r="A8438" s="104"/>
      <c r="B8438" s="104"/>
    </row>
    <row r="8439" spans="1:2" x14ac:dyDescent="0.25">
      <c r="A8439" s="104"/>
      <c r="B8439" s="104"/>
    </row>
    <row r="8440" spans="1:2" x14ac:dyDescent="0.25">
      <c r="A8440" s="104"/>
      <c r="B8440" s="104"/>
    </row>
    <row r="8441" spans="1:2" x14ac:dyDescent="0.25">
      <c r="A8441" s="104"/>
      <c r="B8441" s="104"/>
    </row>
    <row r="8442" spans="1:2" x14ac:dyDescent="0.25">
      <c r="A8442" s="104"/>
      <c r="B8442" s="104"/>
    </row>
    <row r="8443" spans="1:2" x14ac:dyDescent="0.25">
      <c r="A8443" s="104"/>
      <c r="B8443" s="104"/>
    </row>
    <row r="8444" spans="1:2" x14ac:dyDescent="0.25">
      <c r="A8444" s="104"/>
      <c r="B8444" s="104"/>
    </row>
    <row r="8445" spans="1:2" x14ac:dyDescent="0.25">
      <c r="A8445" s="104"/>
      <c r="B8445" s="104"/>
    </row>
    <row r="8446" spans="1:2" x14ac:dyDescent="0.25">
      <c r="A8446" s="104"/>
      <c r="B8446" s="104"/>
    </row>
    <row r="8447" spans="1:2" x14ac:dyDescent="0.25">
      <c r="A8447" s="104"/>
      <c r="B8447" s="104"/>
    </row>
    <row r="8448" spans="1:2" x14ac:dyDescent="0.25">
      <c r="A8448" s="104"/>
      <c r="B8448" s="104"/>
    </row>
    <row r="8449" spans="1:2" x14ac:dyDescent="0.25">
      <c r="A8449" s="104"/>
      <c r="B8449" s="104"/>
    </row>
    <row r="8450" spans="1:2" x14ac:dyDescent="0.25">
      <c r="A8450" s="104"/>
      <c r="B8450" s="104"/>
    </row>
    <row r="8451" spans="1:2" x14ac:dyDescent="0.25">
      <c r="A8451" s="104"/>
      <c r="B8451" s="104"/>
    </row>
    <row r="8452" spans="1:2" x14ac:dyDescent="0.25">
      <c r="A8452" s="104"/>
      <c r="B8452" s="104"/>
    </row>
    <row r="8453" spans="1:2" x14ac:dyDescent="0.25">
      <c r="A8453" s="104"/>
      <c r="B8453" s="104"/>
    </row>
    <row r="8454" spans="1:2" x14ac:dyDescent="0.25">
      <c r="A8454" s="104"/>
      <c r="B8454" s="104"/>
    </row>
    <row r="8455" spans="1:2" x14ac:dyDescent="0.25">
      <c r="A8455" s="104"/>
      <c r="B8455" s="104"/>
    </row>
    <row r="8456" spans="1:2" x14ac:dyDescent="0.25">
      <c r="A8456" s="104"/>
      <c r="B8456" s="104"/>
    </row>
    <row r="8457" spans="1:2" x14ac:dyDescent="0.25">
      <c r="A8457" s="104"/>
      <c r="B8457" s="104"/>
    </row>
    <row r="8458" spans="1:2" x14ac:dyDescent="0.25">
      <c r="A8458" s="104"/>
      <c r="B8458" s="104"/>
    </row>
    <row r="8459" spans="1:2" x14ac:dyDescent="0.25">
      <c r="A8459" s="104"/>
      <c r="B8459" s="104"/>
    </row>
    <row r="8460" spans="1:2" x14ac:dyDescent="0.25">
      <c r="A8460" s="104"/>
      <c r="B8460" s="104"/>
    </row>
    <row r="8461" spans="1:2" x14ac:dyDescent="0.25">
      <c r="A8461" s="104"/>
      <c r="B8461" s="104"/>
    </row>
    <row r="8462" spans="1:2" x14ac:dyDescent="0.25">
      <c r="A8462" s="104"/>
      <c r="B8462" s="104"/>
    </row>
    <row r="8463" spans="1:2" x14ac:dyDescent="0.25">
      <c r="A8463" s="104"/>
      <c r="B8463" s="104"/>
    </row>
    <row r="8464" spans="1:2" x14ac:dyDescent="0.25">
      <c r="A8464" s="104"/>
      <c r="B8464" s="104"/>
    </row>
    <row r="8465" spans="1:2" x14ac:dyDescent="0.25">
      <c r="A8465" s="104"/>
      <c r="B8465" s="104"/>
    </row>
    <row r="8466" spans="1:2" x14ac:dyDescent="0.25">
      <c r="A8466" s="104"/>
      <c r="B8466" s="104"/>
    </row>
    <row r="8467" spans="1:2" x14ac:dyDescent="0.25">
      <c r="A8467" s="104"/>
      <c r="B8467" s="104"/>
    </row>
    <row r="8468" spans="1:2" x14ac:dyDescent="0.25">
      <c r="A8468" s="104"/>
      <c r="B8468" s="104"/>
    </row>
    <row r="8469" spans="1:2" x14ac:dyDescent="0.25">
      <c r="A8469" s="104"/>
      <c r="B8469" s="104"/>
    </row>
    <row r="8470" spans="1:2" x14ac:dyDescent="0.25">
      <c r="A8470" s="104"/>
      <c r="B8470" s="104"/>
    </row>
    <row r="8471" spans="1:2" x14ac:dyDescent="0.25">
      <c r="A8471" s="104"/>
      <c r="B8471" s="104"/>
    </row>
    <row r="8472" spans="1:2" x14ac:dyDescent="0.25">
      <c r="A8472" s="104"/>
      <c r="B8472" s="104"/>
    </row>
    <row r="8473" spans="1:2" x14ac:dyDescent="0.25">
      <c r="A8473" s="104"/>
      <c r="B8473" s="104"/>
    </row>
    <row r="8474" spans="1:2" x14ac:dyDescent="0.25">
      <c r="A8474" s="104"/>
      <c r="B8474" s="104"/>
    </row>
    <row r="8475" spans="1:2" x14ac:dyDescent="0.25">
      <c r="A8475" s="104"/>
      <c r="B8475" s="104"/>
    </row>
    <row r="8476" spans="1:2" x14ac:dyDescent="0.25">
      <c r="A8476" s="104"/>
      <c r="B8476" s="104"/>
    </row>
    <row r="8477" spans="1:2" x14ac:dyDescent="0.25">
      <c r="A8477" s="104"/>
      <c r="B8477" s="104"/>
    </row>
    <row r="8478" spans="1:2" x14ac:dyDescent="0.25">
      <c r="A8478" s="104"/>
      <c r="B8478" s="104"/>
    </row>
    <row r="8479" spans="1:2" x14ac:dyDescent="0.25">
      <c r="A8479" s="104"/>
      <c r="B8479" s="104"/>
    </row>
    <row r="8480" spans="1:2" x14ac:dyDescent="0.25">
      <c r="A8480" s="104"/>
      <c r="B8480" s="104"/>
    </row>
    <row r="8481" spans="1:2" x14ac:dyDescent="0.25">
      <c r="A8481" s="104"/>
      <c r="B8481" s="104"/>
    </row>
    <row r="8482" spans="1:2" x14ac:dyDescent="0.25">
      <c r="A8482" s="104"/>
      <c r="B8482" s="104"/>
    </row>
    <row r="8483" spans="1:2" x14ac:dyDescent="0.25">
      <c r="A8483" s="104"/>
      <c r="B8483" s="104"/>
    </row>
    <row r="8484" spans="1:2" x14ac:dyDescent="0.25">
      <c r="A8484" s="104"/>
      <c r="B8484" s="104"/>
    </row>
    <row r="8485" spans="1:2" x14ac:dyDescent="0.25">
      <c r="A8485" s="104"/>
      <c r="B8485" s="104"/>
    </row>
    <row r="8486" spans="1:2" x14ac:dyDescent="0.25">
      <c r="A8486" s="104"/>
      <c r="B8486" s="104"/>
    </row>
    <row r="8487" spans="1:2" x14ac:dyDescent="0.25">
      <c r="A8487" s="104"/>
      <c r="B8487" s="104"/>
    </row>
    <row r="8488" spans="1:2" x14ac:dyDescent="0.25">
      <c r="A8488" s="104"/>
      <c r="B8488" s="104"/>
    </row>
    <row r="8489" spans="1:2" x14ac:dyDescent="0.25">
      <c r="A8489" s="104"/>
      <c r="B8489" s="104"/>
    </row>
    <row r="8490" spans="1:2" x14ac:dyDescent="0.25">
      <c r="A8490" s="104"/>
      <c r="B8490" s="104"/>
    </row>
    <row r="8491" spans="1:2" x14ac:dyDescent="0.25">
      <c r="A8491" s="104"/>
      <c r="B8491" s="104"/>
    </row>
    <row r="8492" spans="1:2" x14ac:dyDescent="0.25">
      <c r="A8492" s="104"/>
      <c r="B8492" s="104"/>
    </row>
    <row r="8493" spans="1:2" x14ac:dyDescent="0.25">
      <c r="A8493" s="104"/>
      <c r="B8493" s="104"/>
    </row>
    <row r="8494" spans="1:2" x14ac:dyDescent="0.25">
      <c r="A8494" s="104"/>
      <c r="B8494" s="104"/>
    </row>
    <row r="8495" spans="1:2" x14ac:dyDescent="0.25">
      <c r="A8495" s="104"/>
      <c r="B8495" s="104"/>
    </row>
    <row r="8496" spans="1:2" x14ac:dyDescent="0.25">
      <c r="A8496" s="104"/>
      <c r="B8496" s="104"/>
    </row>
    <row r="8497" spans="1:2" x14ac:dyDescent="0.25">
      <c r="A8497" s="104"/>
      <c r="B8497" s="104"/>
    </row>
    <row r="8498" spans="1:2" x14ac:dyDescent="0.25">
      <c r="A8498" s="104"/>
      <c r="B8498" s="104"/>
    </row>
    <row r="8499" spans="1:2" x14ac:dyDescent="0.25">
      <c r="A8499" s="104"/>
      <c r="B8499" s="104"/>
    </row>
    <row r="8500" spans="1:2" x14ac:dyDescent="0.25">
      <c r="A8500" s="104"/>
      <c r="B8500" s="104"/>
    </row>
    <row r="8501" spans="1:2" x14ac:dyDescent="0.25">
      <c r="A8501" s="104"/>
      <c r="B8501" s="104"/>
    </row>
    <row r="8502" spans="1:2" x14ac:dyDescent="0.25">
      <c r="A8502" s="104"/>
      <c r="B8502" s="104"/>
    </row>
    <row r="8503" spans="1:2" x14ac:dyDescent="0.25">
      <c r="A8503" s="104"/>
      <c r="B8503" s="104"/>
    </row>
    <row r="8504" spans="1:2" x14ac:dyDescent="0.25">
      <c r="A8504" s="104"/>
      <c r="B8504" s="104"/>
    </row>
    <row r="8505" spans="1:2" x14ac:dyDescent="0.25">
      <c r="A8505" s="104"/>
      <c r="B8505" s="104"/>
    </row>
    <row r="8506" spans="1:2" x14ac:dyDescent="0.25">
      <c r="A8506" s="104"/>
      <c r="B8506" s="104"/>
    </row>
    <row r="8507" spans="1:2" x14ac:dyDescent="0.25">
      <c r="A8507" s="104"/>
      <c r="B8507" s="104"/>
    </row>
    <row r="8508" spans="1:2" x14ac:dyDescent="0.25">
      <c r="A8508" s="104"/>
      <c r="B8508" s="104"/>
    </row>
    <row r="8509" spans="1:2" x14ac:dyDescent="0.25">
      <c r="A8509" s="104"/>
      <c r="B8509" s="104"/>
    </row>
    <row r="8510" spans="1:2" x14ac:dyDescent="0.25">
      <c r="A8510" s="104"/>
      <c r="B8510" s="104"/>
    </row>
    <row r="8511" spans="1:2" x14ac:dyDescent="0.25">
      <c r="A8511" s="104"/>
      <c r="B8511" s="104"/>
    </row>
    <row r="8512" spans="1:2" x14ac:dyDescent="0.25">
      <c r="A8512" s="104"/>
      <c r="B8512" s="104"/>
    </row>
    <row r="8513" spans="1:2" x14ac:dyDescent="0.25">
      <c r="A8513" s="104"/>
      <c r="B8513" s="104"/>
    </row>
    <row r="8514" spans="1:2" x14ac:dyDescent="0.25">
      <c r="A8514" s="104"/>
      <c r="B8514" s="104"/>
    </row>
    <row r="8515" spans="1:2" x14ac:dyDescent="0.25">
      <c r="A8515" s="104"/>
      <c r="B8515" s="104"/>
    </row>
    <row r="8516" spans="1:2" x14ac:dyDescent="0.25">
      <c r="A8516" s="104"/>
      <c r="B8516" s="104"/>
    </row>
    <row r="8517" spans="1:2" x14ac:dyDescent="0.25">
      <c r="A8517" s="104"/>
      <c r="B8517" s="104"/>
    </row>
    <row r="8518" spans="1:2" x14ac:dyDescent="0.25">
      <c r="A8518" s="104"/>
      <c r="B8518" s="104"/>
    </row>
    <row r="8519" spans="1:2" x14ac:dyDescent="0.25">
      <c r="A8519" s="104"/>
      <c r="B8519" s="104"/>
    </row>
    <row r="8520" spans="1:2" x14ac:dyDescent="0.25">
      <c r="A8520" s="104"/>
      <c r="B8520" s="104"/>
    </row>
    <row r="8521" spans="1:2" x14ac:dyDescent="0.25">
      <c r="A8521" s="104"/>
      <c r="B8521" s="104"/>
    </row>
    <row r="8522" spans="1:2" x14ac:dyDescent="0.25">
      <c r="A8522" s="104"/>
      <c r="B8522" s="104"/>
    </row>
    <row r="8523" spans="1:2" x14ac:dyDescent="0.25">
      <c r="A8523" s="104"/>
      <c r="B8523" s="104"/>
    </row>
    <row r="8524" spans="1:2" x14ac:dyDescent="0.25">
      <c r="A8524" s="104"/>
      <c r="B8524" s="104"/>
    </row>
    <row r="8525" spans="1:2" x14ac:dyDescent="0.25">
      <c r="A8525" s="104"/>
      <c r="B8525" s="104"/>
    </row>
    <row r="8526" spans="1:2" x14ac:dyDescent="0.25">
      <c r="A8526" s="104"/>
      <c r="B8526" s="104"/>
    </row>
    <row r="8527" spans="1:2" x14ac:dyDescent="0.25">
      <c r="A8527" s="104"/>
      <c r="B8527" s="104"/>
    </row>
    <row r="8528" spans="1:2" x14ac:dyDescent="0.25">
      <c r="A8528" s="104"/>
      <c r="B8528" s="104"/>
    </row>
    <row r="8529" spans="1:2" x14ac:dyDescent="0.25">
      <c r="A8529" s="104"/>
      <c r="B8529" s="104"/>
    </row>
    <row r="8530" spans="1:2" x14ac:dyDescent="0.25">
      <c r="A8530" s="104"/>
      <c r="B8530" s="104"/>
    </row>
    <row r="8531" spans="1:2" x14ac:dyDescent="0.25">
      <c r="A8531" s="104"/>
      <c r="B8531" s="104"/>
    </row>
    <row r="8532" spans="1:2" x14ac:dyDescent="0.25">
      <c r="A8532" s="104"/>
      <c r="B8532" s="104"/>
    </row>
    <row r="8533" spans="1:2" x14ac:dyDescent="0.25">
      <c r="A8533" s="104"/>
      <c r="B8533" s="104"/>
    </row>
    <row r="8534" spans="1:2" x14ac:dyDescent="0.25">
      <c r="A8534" s="104"/>
      <c r="B8534" s="104"/>
    </row>
    <row r="8535" spans="1:2" x14ac:dyDescent="0.25">
      <c r="A8535" s="104"/>
      <c r="B8535" s="104"/>
    </row>
    <row r="8536" spans="1:2" x14ac:dyDescent="0.25">
      <c r="A8536" s="104"/>
      <c r="B8536" s="104"/>
    </row>
    <row r="8537" spans="1:2" x14ac:dyDescent="0.25">
      <c r="A8537" s="104"/>
      <c r="B8537" s="104"/>
    </row>
    <row r="8538" spans="1:2" x14ac:dyDescent="0.25">
      <c r="A8538" s="104"/>
      <c r="B8538" s="104"/>
    </row>
    <row r="8539" spans="1:2" x14ac:dyDescent="0.25">
      <c r="A8539" s="104"/>
      <c r="B8539" s="104"/>
    </row>
    <row r="8540" spans="1:2" x14ac:dyDescent="0.25">
      <c r="A8540" s="104"/>
      <c r="B8540" s="104"/>
    </row>
    <row r="8541" spans="1:2" x14ac:dyDescent="0.25">
      <c r="A8541" s="104"/>
      <c r="B8541" s="104"/>
    </row>
    <row r="8542" spans="1:2" x14ac:dyDescent="0.25">
      <c r="A8542" s="104"/>
      <c r="B8542" s="104"/>
    </row>
    <row r="8543" spans="1:2" x14ac:dyDescent="0.25">
      <c r="A8543" s="104"/>
      <c r="B8543" s="104"/>
    </row>
    <row r="8544" spans="1:2" x14ac:dyDescent="0.25">
      <c r="A8544" s="104"/>
      <c r="B8544" s="104"/>
    </row>
    <row r="8545" spans="1:2" x14ac:dyDescent="0.25">
      <c r="A8545" s="104"/>
      <c r="B8545" s="104"/>
    </row>
    <row r="8546" spans="1:2" x14ac:dyDescent="0.25">
      <c r="A8546" s="104"/>
      <c r="B8546" s="104"/>
    </row>
    <row r="8547" spans="1:2" x14ac:dyDescent="0.25">
      <c r="A8547" s="104"/>
      <c r="B8547" s="104"/>
    </row>
    <row r="8548" spans="1:2" x14ac:dyDescent="0.25">
      <c r="A8548" s="104"/>
      <c r="B8548" s="104"/>
    </row>
    <row r="8549" spans="1:2" x14ac:dyDescent="0.25">
      <c r="A8549" s="104"/>
      <c r="B8549" s="104"/>
    </row>
    <row r="8550" spans="1:2" x14ac:dyDescent="0.25">
      <c r="A8550" s="104"/>
      <c r="B8550" s="104"/>
    </row>
    <row r="8551" spans="1:2" x14ac:dyDescent="0.25">
      <c r="A8551" s="104"/>
      <c r="B8551" s="104"/>
    </row>
    <row r="8552" spans="1:2" x14ac:dyDescent="0.25">
      <c r="A8552" s="104"/>
      <c r="B8552" s="104"/>
    </row>
    <row r="8553" spans="1:2" x14ac:dyDescent="0.25">
      <c r="A8553" s="104"/>
      <c r="B8553" s="104"/>
    </row>
    <row r="8554" spans="1:2" x14ac:dyDescent="0.25">
      <c r="A8554" s="104"/>
      <c r="B8554" s="104"/>
    </row>
    <row r="8555" spans="1:2" x14ac:dyDescent="0.25">
      <c r="A8555" s="104"/>
      <c r="B8555" s="104"/>
    </row>
    <row r="8556" spans="1:2" x14ac:dyDescent="0.25">
      <c r="A8556" s="104"/>
      <c r="B8556" s="104"/>
    </row>
    <row r="8557" spans="1:2" x14ac:dyDescent="0.25">
      <c r="A8557" s="104"/>
      <c r="B8557" s="104"/>
    </row>
    <row r="8558" spans="1:2" x14ac:dyDescent="0.25">
      <c r="A8558" s="104"/>
      <c r="B8558" s="104"/>
    </row>
    <row r="8559" spans="1:2" x14ac:dyDescent="0.25">
      <c r="A8559" s="104"/>
      <c r="B8559" s="104"/>
    </row>
    <row r="8560" spans="1:2" x14ac:dyDescent="0.25">
      <c r="A8560" s="104"/>
      <c r="B8560" s="104"/>
    </row>
    <row r="8561" spans="1:2" x14ac:dyDescent="0.25">
      <c r="A8561" s="104"/>
      <c r="B8561" s="104"/>
    </row>
    <row r="8562" spans="1:2" x14ac:dyDescent="0.25">
      <c r="A8562" s="104"/>
      <c r="B8562" s="104"/>
    </row>
    <row r="8563" spans="1:2" x14ac:dyDescent="0.25">
      <c r="A8563" s="104"/>
      <c r="B8563" s="104"/>
    </row>
    <row r="8564" spans="1:2" x14ac:dyDescent="0.25">
      <c r="A8564" s="104"/>
      <c r="B8564" s="104"/>
    </row>
    <row r="8565" spans="1:2" x14ac:dyDescent="0.25">
      <c r="A8565" s="104"/>
      <c r="B8565" s="104"/>
    </row>
    <row r="8566" spans="1:2" x14ac:dyDescent="0.25">
      <c r="A8566" s="104"/>
      <c r="B8566" s="104"/>
    </row>
    <row r="8567" spans="1:2" x14ac:dyDescent="0.25">
      <c r="A8567" s="104"/>
      <c r="B8567" s="104"/>
    </row>
    <row r="8568" spans="1:2" x14ac:dyDescent="0.25">
      <c r="A8568" s="104"/>
      <c r="B8568" s="104"/>
    </row>
    <row r="8569" spans="1:2" x14ac:dyDescent="0.25">
      <c r="A8569" s="104"/>
      <c r="B8569" s="104"/>
    </row>
    <row r="8570" spans="1:2" x14ac:dyDescent="0.25">
      <c r="A8570" s="104"/>
      <c r="B8570" s="104"/>
    </row>
    <row r="8571" spans="1:2" x14ac:dyDescent="0.25">
      <c r="A8571" s="104"/>
      <c r="B8571" s="104"/>
    </row>
    <row r="8572" spans="1:2" x14ac:dyDescent="0.25">
      <c r="A8572" s="104"/>
      <c r="B8572" s="104"/>
    </row>
    <row r="8573" spans="1:2" x14ac:dyDescent="0.25">
      <c r="A8573" s="104"/>
      <c r="B8573" s="104"/>
    </row>
    <row r="8574" spans="1:2" x14ac:dyDescent="0.25">
      <c r="A8574" s="104"/>
      <c r="B8574" s="104"/>
    </row>
    <row r="8575" spans="1:2" x14ac:dyDescent="0.25">
      <c r="A8575" s="104"/>
      <c r="B8575" s="104"/>
    </row>
    <row r="8576" spans="1:2" x14ac:dyDescent="0.25">
      <c r="A8576" s="104"/>
      <c r="B8576" s="104"/>
    </row>
    <row r="8577" spans="1:2" x14ac:dyDescent="0.25">
      <c r="A8577" s="104"/>
      <c r="B8577" s="104"/>
    </row>
    <row r="8578" spans="1:2" x14ac:dyDescent="0.25">
      <c r="A8578" s="104"/>
      <c r="B8578" s="104"/>
    </row>
    <row r="8579" spans="1:2" x14ac:dyDescent="0.25">
      <c r="A8579" s="104"/>
      <c r="B8579" s="104"/>
    </row>
    <row r="8580" spans="1:2" x14ac:dyDescent="0.25">
      <c r="A8580" s="104"/>
      <c r="B8580" s="104"/>
    </row>
    <row r="8581" spans="1:2" x14ac:dyDescent="0.25">
      <c r="A8581" s="104"/>
      <c r="B8581" s="104"/>
    </row>
    <row r="8582" spans="1:2" x14ac:dyDescent="0.25">
      <c r="A8582" s="104"/>
      <c r="B8582" s="104"/>
    </row>
    <row r="8583" spans="1:2" x14ac:dyDescent="0.25">
      <c r="A8583" s="104"/>
      <c r="B8583" s="104"/>
    </row>
    <row r="8584" spans="1:2" x14ac:dyDescent="0.25">
      <c r="A8584" s="104"/>
      <c r="B8584" s="104"/>
    </row>
    <row r="8585" spans="1:2" x14ac:dyDescent="0.25">
      <c r="A8585" s="104"/>
      <c r="B8585" s="104"/>
    </row>
    <row r="8586" spans="1:2" x14ac:dyDescent="0.25">
      <c r="A8586" s="104"/>
      <c r="B8586" s="104"/>
    </row>
    <row r="8587" spans="1:2" x14ac:dyDescent="0.25">
      <c r="A8587" s="104"/>
      <c r="B8587" s="104"/>
    </row>
    <row r="8588" spans="1:2" x14ac:dyDescent="0.25">
      <c r="A8588" s="104"/>
      <c r="B8588" s="104"/>
    </row>
    <row r="8589" spans="1:2" x14ac:dyDescent="0.25">
      <c r="A8589" s="104"/>
      <c r="B8589" s="104"/>
    </row>
    <row r="8590" spans="1:2" x14ac:dyDescent="0.25">
      <c r="A8590" s="104"/>
      <c r="B8590" s="104"/>
    </row>
    <row r="8591" spans="1:2" x14ac:dyDescent="0.25">
      <c r="A8591" s="104"/>
      <c r="B8591" s="104"/>
    </row>
    <row r="8592" spans="1:2" x14ac:dyDescent="0.25">
      <c r="A8592" s="104"/>
      <c r="B8592" s="104"/>
    </row>
    <row r="8593" spans="1:2" x14ac:dyDescent="0.25">
      <c r="A8593" s="104"/>
      <c r="B8593" s="104"/>
    </row>
    <row r="8594" spans="1:2" x14ac:dyDescent="0.25">
      <c r="A8594" s="104"/>
      <c r="B8594" s="104"/>
    </row>
    <row r="8595" spans="1:2" x14ac:dyDescent="0.25">
      <c r="A8595" s="104"/>
      <c r="B8595" s="104"/>
    </row>
    <row r="8596" spans="1:2" x14ac:dyDescent="0.25">
      <c r="A8596" s="104"/>
      <c r="B8596" s="104"/>
    </row>
    <row r="8597" spans="1:2" x14ac:dyDescent="0.25">
      <c r="A8597" s="104"/>
      <c r="B8597" s="104"/>
    </row>
    <row r="8598" spans="1:2" x14ac:dyDescent="0.25">
      <c r="A8598" s="104"/>
      <c r="B8598" s="104"/>
    </row>
    <row r="8599" spans="1:2" x14ac:dyDescent="0.25">
      <c r="A8599" s="104"/>
      <c r="B8599" s="104"/>
    </row>
    <row r="8600" spans="1:2" x14ac:dyDescent="0.25">
      <c r="A8600" s="104"/>
      <c r="B8600" s="104"/>
    </row>
    <row r="8601" spans="1:2" x14ac:dyDescent="0.25">
      <c r="A8601" s="104"/>
      <c r="B8601" s="104"/>
    </row>
    <row r="8602" spans="1:2" x14ac:dyDescent="0.25">
      <c r="A8602" s="104"/>
      <c r="B8602" s="104"/>
    </row>
    <row r="8603" spans="1:2" x14ac:dyDescent="0.25">
      <c r="A8603" s="104"/>
      <c r="B8603" s="104"/>
    </row>
    <row r="8604" spans="1:2" x14ac:dyDescent="0.25">
      <c r="A8604" s="104"/>
      <c r="B8604" s="104"/>
    </row>
    <row r="8605" spans="1:2" x14ac:dyDescent="0.25">
      <c r="A8605" s="104"/>
      <c r="B8605" s="104"/>
    </row>
    <row r="8606" spans="1:2" x14ac:dyDescent="0.25">
      <c r="A8606" s="104"/>
      <c r="B8606" s="104"/>
    </row>
    <row r="8607" spans="1:2" x14ac:dyDescent="0.25">
      <c r="A8607" s="104"/>
      <c r="B8607" s="104"/>
    </row>
    <row r="8608" spans="1:2" x14ac:dyDescent="0.25">
      <c r="A8608" s="104"/>
      <c r="B8608" s="104"/>
    </row>
    <row r="8609" spans="1:2" x14ac:dyDescent="0.25">
      <c r="A8609" s="104"/>
      <c r="B8609" s="104"/>
    </row>
    <row r="8610" spans="1:2" x14ac:dyDescent="0.25">
      <c r="A8610" s="104"/>
      <c r="B8610" s="104"/>
    </row>
    <row r="8611" spans="1:2" x14ac:dyDescent="0.25">
      <c r="A8611" s="104"/>
      <c r="B8611" s="104"/>
    </row>
    <row r="8612" spans="1:2" x14ac:dyDescent="0.25">
      <c r="A8612" s="104"/>
      <c r="B8612" s="104"/>
    </row>
    <row r="8613" spans="1:2" x14ac:dyDescent="0.25">
      <c r="A8613" s="104"/>
      <c r="B8613" s="104"/>
    </row>
    <row r="8614" spans="1:2" x14ac:dyDescent="0.25">
      <c r="A8614" s="104"/>
      <c r="B8614" s="104"/>
    </row>
    <row r="8615" spans="1:2" x14ac:dyDescent="0.25">
      <c r="A8615" s="104"/>
      <c r="B8615" s="104"/>
    </row>
    <row r="8616" spans="1:2" x14ac:dyDescent="0.25">
      <c r="A8616" s="104"/>
      <c r="B8616" s="104"/>
    </row>
    <row r="8617" spans="1:2" x14ac:dyDescent="0.25">
      <c r="A8617" s="104"/>
      <c r="B8617" s="104"/>
    </row>
    <row r="8618" spans="1:2" x14ac:dyDescent="0.25">
      <c r="A8618" s="104"/>
      <c r="B8618" s="104"/>
    </row>
    <row r="8619" spans="1:2" x14ac:dyDescent="0.25">
      <c r="A8619" s="104"/>
      <c r="B8619" s="104"/>
    </row>
    <row r="8620" spans="1:2" x14ac:dyDescent="0.25">
      <c r="A8620" s="104"/>
      <c r="B8620" s="104"/>
    </row>
    <row r="8621" spans="1:2" x14ac:dyDescent="0.25">
      <c r="A8621" s="104"/>
      <c r="B8621" s="104"/>
    </row>
    <row r="8622" spans="1:2" x14ac:dyDescent="0.25">
      <c r="A8622" s="104"/>
      <c r="B8622" s="104"/>
    </row>
    <row r="8623" spans="1:2" x14ac:dyDescent="0.25">
      <c r="A8623" s="104"/>
      <c r="B8623" s="104"/>
    </row>
    <row r="8624" spans="1:2" x14ac:dyDescent="0.25">
      <c r="A8624" s="104"/>
      <c r="B8624" s="104"/>
    </row>
    <row r="8625" spans="1:2" x14ac:dyDescent="0.25">
      <c r="A8625" s="104"/>
      <c r="B8625" s="104"/>
    </row>
    <row r="8626" spans="1:2" x14ac:dyDescent="0.25">
      <c r="A8626" s="104"/>
      <c r="B8626" s="104"/>
    </row>
    <row r="8627" spans="1:2" x14ac:dyDescent="0.25">
      <c r="A8627" s="104"/>
      <c r="B8627" s="104"/>
    </row>
    <row r="8628" spans="1:2" x14ac:dyDescent="0.25">
      <c r="A8628" s="104"/>
      <c r="B8628" s="104"/>
    </row>
    <row r="8629" spans="1:2" x14ac:dyDescent="0.25">
      <c r="A8629" s="104"/>
      <c r="B8629" s="104"/>
    </row>
    <row r="8630" spans="1:2" x14ac:dyDescent="0.25">
      <c r="A8630" s="104"/>
      <c r="B8630" s="104"/>
    </row>
    <row r="8631" spans="1:2" x14ac:dyDescent="0.25">
      <c r="A8631" s="104"/>
      <c r="B8631" s="104"/>
    </row>
    <row r="8632" spans="1:2" x14ac:dyDescent="0.25">
      <c r="A8632" s="104"/>
      <c r="B8632" s="104"/>
    </row>
    <row r="8633" spans="1:2" x14ac:dyDescent="0.25">
      <c r="A8633" s="104"/>
      <c r="B8633" s="104"/>
    </row>
    <row r="8634" spans="1:2" x14ac:dyDescent="0.25">
      <c r="A8634" s="104"/>
      <c r="B8634" s="104"/>
    </row>
    <row r="8635" spans="1:2" x14ac:dyDescent="0.25">
      <c r="A8635" s="104"/>
      <c r="B8635" s="104"/>
    </row>
    <row r="8636" spans="1:2" x14ac:dyDescent="0.25">
      <c r="A8636" s="104"/>
      <c r="B8636" s="104"/>
    </row>
    <row r="8637" spans="1:2" x14ac:dyDescent="0.25">
      <c r="A8637" s="104"/>
      <c r="B8637" s="104"/>
    </row>
    <row r="8638" spans="1:2" x14ac:dyDescent="0.25">
      <c r="A8638" s="104"/>
      <c r="B8638" s="104"/>
    </row>
    <row r="8639" spans="1:2" x14ac:dyDescent="0.25">
      <c r="A8639" s="104"/>
      <c r="B8639" s="104"/>
    </row>
    <row r="8640" spans="1:2" x14ac:dyDescent="0.25">
      <c r="A8640" s="104"/>
      <c r="B8640" s="104"/>
    </row>
    <row r="8641" spans="1:2" x14ac:dyDescent="0.25">
      <c r="A8641" s="104"/>
      <c r="B8641" s="104"/>
    </row>
    <row r="8642" spans="1:2" x14ac:dyDescent="0.25">
      <c r="A8642" s="104"/>
      <c r="B8642" s="104"/>
    </row>
    <row r="8643" spans="1:2" x14ac:dyDescent="0.25">
      <c r="A8643" s="104"/>
      <c r="B8643" s="104"/>
    </row>
    <row r="8644" spans="1:2" x14ac:dyDescent="0.25">
      <c r="A8644" s="104"/>
      <c r="B8644" s="104"/>
    </row>
    <row r="8645" spans="1:2" x14ac:dyDescent="0.25">
      <c r="A8645" s="104"/>
      <c r="B8645" s="104"/>
    </row>
    <row r="8646" spans="1:2" x14ac:dyDescent="0.25">
      <c r="A8646" s="104"/>
      <c r="B8646" s="104"/>
    </row>
    <row r="8647" spans="1:2" x14ac:dyDescent="0.25">
      <c r="A8647" s="104"/>
      <c r="B8647" s="104"/>
    </row>
    <row r="8648" spans="1:2" x14ac:dyDescent="0.25">
      <c r="A8648" s="104"/>
      <c r="B8648" s="104"/>
    </row>
    <row r="8649" spans="1:2" x14ac:dyDescent="0.25">
      <c r="A8649" s="104"/>
      <c r="B8649" s="104"/>
    </row>
    <row r="8650" spans="1:2" x14ac:dyDescent="0.25">
      <c r="A8650" s="104"/>
      <c r="B8650" s="104"/>
    </row>
    <row r="8651" spans="1:2" x14ac:dyDescent="0.25">
      <c r="A8651" s="104"/>
      <c r="B8651" s="104"/>
    </row>
    <row r="8652" spans="1:2" x14ac:dyDescent="0.25">
      <c r="A8652" s="104"/>
      <c r="B8652" s="104"/>
    </row>
    <row r="8653" spans="1:2" x14ac:dyDescent="0.25">
      <c r="A8653" s="104"/>
      <c r="B8653" s="104"/>
    </row>
    <row r="8654" spans="1:2" x14ac:dyDescent="0.25">
      <c r="A8654" s="104"/>
      <c r="B8654" s="104"/>
    </row>
    <row r="8655" spans="1:2" x14ac:dyDescent="0.25">
      <c r="A8655" s="104"/>
      <c r="B8655" s="104"/>
    </row>
    <row r="8656" spans="1:2" x14ac:dyDescent="0.25">
      <c r="A8656" s="104"/>
      <c r="B8656" s="104"/>
    </row>
    <row r="8657" spans="1:2" x14ac:dyDescent="0.25">
      <c r="A8657" s="104"/>
      <c r="B8657" s="104"/>
    </row>
    <row r="8658" spans="1:2" x14ac:dyDescent="0.25">
      <c r="A8658" s="104"/>
      <c r="B8658" s="104"/>
    </row>
    <row r="8659" spans="1:2" x14ac:dyDescent="0.25">
      <c r="A8659" s="104"/>
      <c r="B8659" s="104"/>
    </row>
    <row r="8660" spans="1:2" x14ac:dyDescent="0.25">
      <c r="A8660" s="104"/>
      <c r="B8660" s="104"/>
    </row>
    <row r="8661" spans="1:2" x14ac:dyDescent="0.25">
      <c r="A8661" s="104"/>
      <c r="B8661" s="104"/>
    </row>
    <row r="8662" spans="1:2" x14ac:dyDescent="0.25">
      <c r="A8662" s="104"/>
      <c r="B8662" s="104"/>
    </row>
    <row r="8663" spans="1:2" x14ac:dyDescent="0.25">
      <c r="A8663" s="104"/>
      <c r="B8663" s="104"/>
    </row>
    <row r="8664" spans="1:2" x14ac:dyDescent="0.25">
      <c r="A8664" s="104"/>
      <c r="B8664" s="104"/>
    </row>
    <row r="8665" spans="1:2" x14ac:dyDescent="0.25">
      <c r="A8665" s="104"/>
      <c r="B8665" s="104"/>
    </row>
    <row r="8666" spans="1:2" x14ac:dyDescent="0.25">
      <c r="A8666" s="104"/>
      <c r="B8666" s="104"/>
    </row>
    <row r="8667" spans="1:2" x14ac:dyDescent="0.25">
      <c r="A8667" s="104"/>
      <c r="B8667" s="104"/>
    </row>
    <row r="8668" spans="1:2" x14ac:dyDescent="0.25">
      <c r="A8668" s="104"/>
      <c r="B8668" s="104"/>
    </row>
    <row r="8669" spans="1:2" x14ac:dyDescent="0.25">
      <c r="A8669" s="104"/>
      <c r="B8669" s="104"/>
    </row>
    <row r="8670" spans="1:2" x14ac:dyDescent="0.25">
      <c r="A8670" s="104"/>
      <c r="B8670" s="104"/>
    </row>
    <row r="8671" spans="1:2" x14ac:dyDescent="0.25">
      <c r="A8671" s="104"/>
      <c r="B8671" s="104"/>
    </row>
    <row r="8672" spans="1:2" x14ac:dyDescent="0.25">
      <c r="A8672" s="104"/>
      <c r="B8672" s="104"/>
    </row>
    <row r="8673" spans="1:2" x14ac:dyDescent="0.25">
      <c r="A8673" s="104"/>
      <c r="B8673" s="104"/>
    </row>
    <row r="8674" spans="1:2" x14ac:dyDescent="0.25">
      <c r="A8674" s="104"/>
      <c r="B8674" s="104"/>
    </row>
    <row r="8675" spans="1:2" x14ac:dyDescent="0.25">
      <c r="A8675" s="104"/>
      <c r="B8675" s="104"/>
    </row>
    <row r="8676" spans="1:2" x14ac:dyDescent="0.25">
      <c r="A8676" s="104"/>
      <c r="B8676" s="104"/>
    </row>
    <row r="8677" spans="1:2" x14ac:dyDescent="0.25">
      <c r="A8677" s="104"/>
      <c r="B8677" s="104"/>
    </row>
    <row r="8678" spans="1:2" x14ac:dyDescent="0.25">
      <c r="A8678" s="104"/>
      <c r="B8678" s="104"/>
    </row>
    <row r="8679" spans="1:2" x14ac:dyDescent="0.25">
      <c r="A8679" s="104"/>
      <c r="B8679" s="104"/>
    </row>
    <row r="8680" spans="1:2" x14ac:dyDescent="0.25">
      <c r="A8680" s="104"/>
      <c r="B8680" s="104"/>
    </row>
    <row r="8681" spans="1:2" x14ac:dyDescent="0.25">
      <c r="A8681" s="104"/>
      <c r="B8681" s="104"/>
    </row>
    <row r="8682" spans="1:2" x14ac:dyDescent="0.25">
      <c r="A8682" s="104"/>
      <c r="B8682" s="104"/>
    </row>
    <row r="8683" spans="1:2" x14ac:dyDescent="0.25">
      <c r="A8683" s="104"/>
      <c r="B8683" s="104"/>
    </row>
    <row r="8684" spans="1:2" x14ac:dyDescent="0.25">
      <c r="A8684" s="104"/>
      <c r="B8684" s="104"/>
    </row>
    <row r="8685" spans="1:2" x14ac:dyDescent="0.25">
      <c r="A8685" s="104"/>
      <c r="B8685" s="104"/>
    </row>
    <row r="8686" spans="1:2" x14ac:dyDescent="0.25">
      <c r="A8686" s="104"/>
      <c r="B8686" s="104"/>
    </row>
    <row r="8687" spans="1:2" x14ac:dyDescent="0.25">
      <c r="A8687" s="104"/>
      <c r="B8687" s="104"/>
    </row>
    <row r="8688" spans="1:2" x14ac:dyDescent="0.25">
      <c r="A8688" s="104"/>
      <c r="B8688" s="104"/>
    </row>
    <row r="8689" spans="1:2" x14ac:dyDescent="0.25">
      <c r="A8689" s="104"/>
      <c r="B8689" s="104"/>
    </row>
    <row r="8690" spans="1:2" x14ac:dyDescent="0.25">
      <c r="A8690" s="104"/>
      <c r="B8690" s="104"/>
    </row>
    <row r="8691" spans="1:2" x14ac:dyDescent="0.25">
      <c r="A8691" s="104"/>
      <c r="B8691" s="104"/>
    </row>
    <row r="8692" spans="1:2" x14ac:dyDescent="0.25">
      <c r="A8692" s="104"/>
      <c r="B8692" s="104"/>
    </row>
    <row r="8693" spans="1:2" x14ac:dyDescent="0.25">
      <c r="A8693" s="104"/>
      <c r="B8693" s="104"/>
    </row>
    <row r="8694" spans="1:2" x14ac:dyDescent="0.25">
      <c r="A8694" s="104"/>
      <c r="B8694" s="104"/>
    </row>
    <row r="8695" spans="1:2" x14ac:dyDescent="0.25">
      <c r="A8695" s="104"/>
      <c r="B8695" s="104"/>
    </row>
    <row r="8696" spans="1:2" x14ac:dyDescent="0.25">
      <c r="A8696" s="104"/>
      <c r="B8696" s="104"/>
    </row>
    <row r="8697" spans="1:2" x14ac:dyDescent="0.25">
      <c r="A8697" s="104"/>
      <c r="B8697" s="104"/>
    </row>
    <row r="8698" spans="1:2" x14ac:dyDescent="0.25">
      <c r="A8698" s="104"/>
      <c r="B8698" s="104"/>
    </row>
    <row r="8699" spans="1:2" x14ac:dyDescent="0.25">
      <c r="A8699" s="104"/>
      <c r="B8699" s="104"/>
    </row>
    <row r="8700" spans="1:2" x14ac:dyDescent="0.25">
      <c r="A8700" s="104"/>
      <c r="B8700" s="104"/>
    </row>
    <row r="8701" spans="1:2" x14ac:dyDescent="0.25">
      <c r="A8701" s="104"/>
      <c r="B8701" s="104"/>
    </row>
    <row r="8702" spans="1:2" x14ac:dyDescent="0.25">
      <c r="A8702" s="104"/>
      <c r="B8702" s="104"/>
    </row>
    <row r="8703" spans="1:2" x14ac:dyDescent="0.25">
      <c r="A8703" s="104"/>
      <c r="B8703" s="104"/>
    </row>
    <row r="8704" spans="1:2" x14ac:dyDescent="0.25">
      <c r="A8704" s="104"/>
      <c r="B8704" s="104"/>
    </row>
    <row r="8705" spans="1:2" x14ac:dyDescent="0.25">
      <c r="A8705" s="104"/>
      <c r="B8705" s="104"/>
    </row>
    <row r="8706" spans="1:2" x14ac:dyDescent="0.25">
      <c r="A8706" s="104"/>
      <c r="B8706" s="104"/>
    </row>
    <row r="8707" spans="1:2" x14ac:dyDescent="0.25">
      <c r="A8707" s="104"/>
      <c r="B8707" s="104"/>
    </row>
    <row r="8708" spans="1:2" x14ac:dyDescent="0.25">
      <c r="A8708" s="104"/>
      <c r="B8708" s="104"/>
    </row>
    <row r="8709" spans="1:2" x14ac:dyDescent="0.25">
      <c r="A8709" s="104"/>
      <c r="B8709" s="104"/>
    </row>
    <row r="8710" spans="1:2" x14ac:dyDescent="0.25">
      <c r="A8710" s="104"/>
      <c r="B8710" s="104"/>
    </row>
    <row r="8711" spans="1:2" x14ac:dyDescent="0.25">
      <c r="A8711" s="104"/>
      <c r="B8711" s="104"/>
    </row>
    <row r="8712" spans="1:2" x14ac:dyDescent="0.25">
      <c r="A8712" s="104"/>
      <c r="B8712" s="104"/>
    </row>
    <row r="8713" spans="1:2" x14ac:dyDescent="0.25">
      <c r="A8713" s="104"/>
      <c r="B8713" s="104"/>
    </row>
    <row r="8714" spans="1:2" x14ac:dyDescent="0.25">
      <c r="A8714" s="104"/>
      <c r="B8714" s="104"/>
    </row>
    <row r="8715" spans="1:2" x14ac:dyDescent="0.25">
      <c r="A8715" s="104"/>
      <c r="B8715" s="104"/>
    </row>
    <row r="8716" spans="1:2" x14ac:dyDescent="0.25">
      <c r="A8716" s="104"/>
      <c r="B8716" s="104"/>
    </row>
    <row r="8717" spans="1:2" x14ac:dyDescent="0.25">
      <c r="A8717" s="104"/>
      <c r="B8717" s="104"/>
    </row>
    <row r="8718" spans="1:2" x14ac:dyDescent="0.25">
      <c r="A8718" s="104"/>
      <c r="B8718" s="104"/>
    </row>
    <row r="8719" spans="1:2" x14ac:dyDescent="0.25">
      <c r="A8719" s="104"/>
      <c r="B8719" s="104"/>
    </row>
    <row r="8720" spans="1:2" x14ac:dyDescent="0.25">
      <c r="A8720" s="104"/>
      <c r="B8720" s="104"/>
    </row>
    <row r="8721" spans="1:2" x14ac:dyDescent="0.25">
      <c r="A8721" s="104"/>
      <c r="B8721" s="104"/>
    </row>
    <row r="8722" spans="1:2" x14ac:dyDescent="0.25">
      <c r="A8722" s="104"/>
      <c r="B8722" s="104"/>
    </row>
    <row r="8723" spans="1:2" x14ac:dyDescent="0.25">
      <c r="A8723" s="104"/>
      <c r="B8723" s="104"/>
    </row>
    <row r="8724" spans="1:2" x14ac:dyDescent="0.25">
      <c r="A8724" s="104"/>
      <c r="B8724" s="104"/>
    </row>
    <row r="8725" spans="1:2" x14ac:dyDescent="0.25">
      <c r="A8725" s="104"/>
      <c r="B8725" s="104"/>
    </row>
    <row r="8726" spans="1:2" x14ac:dyDescent="0.25">
      <c r="A8726" s="104"/>
      <c r="B8726" s="104"/>
    </row>
    <row r="8727" spans="1:2" x14ac:dyDescent="0.25">
      <c r="A8727" s="104"/>
      <c r="B8727" s="104"/>
    </row>
    <row r="8728" spans="1:2" x14ac:dyDescent="0.25">
      <c r="A8728" s="104"/>
      <c r="B8728" s="104"/>
    </row>
    <row r="8729" spans="1:2" x14ac:dyDescent="0.25">
      <c r="A8729" s="104"/>
      <c r="B8729" s="104"/>
    </row>
    <row r="8730" spans="1:2" x14ac:dyDescent="0.25">
      <c r="A8730" s="104"/>
      <c r="B8730" s="104"/>
    </row>
    <row r="8731" spans="1:2" x14ac:dyDescent="0.25">
      <c r="A8731" s="104"/>
      <c r="B8731" s="104"/>
    </row>
    <row r="8732" spans="1:2" x14ac:dyDescent="0.25">
      <c r="A8732" s="104"/>
      <c r="B8732" s="104"/>
    </row>
    <row r="8733" spans="1:2" x14ac:dyDescent="0.25">
      <c r="A8733" s="104"/>
      <c r="B8733" s="104"/>
    </row>
    <row r="8734" spans="1:2" x14ac:dyDescent="0.25">
      <c r="A8734" s="104"/>
      <c r="B8734" s="104"/>
    </row>
    <row r="8735" spans="1:2" x14ac:dyDescent="0.25">
      <c r="A8735" s="104"/>
      <c r="B8735" s="104"/>
    </row>
    <row r="8736" spans="1:2" x14ac:dyDescent="0.25">
      <c r="A8736" s="104"/>
      <c r="B8736" s="104"/>
    </row>
    <row r="8737" spans="1:2" x14ac:dyDescent="0.25">
      <c r="A8737" s="104"/>
      <c r="B8737" s="104"/>
    </row>
    <row r="8738" spans="1:2" x14ac:dyDescent="0.25">
      <c r="A8738" s="104"/>
      <c r="B8738" s="104"/>
    </row>
    <row r="8739" spans="1:2" x14ac:dyDescent="0.25">
      <c r="A8739" s="104"/>
      <c r="B8739" s="104"/>
    </row>
    <row r="8740" spans="1:2" x14ac:dyDescent="0.25">
      <c r="A8740" s="104"/>
      <c r="B8740" s="104"/>
    </row>
    <row r="8741" spans="1:2" x14ac:dyDescent="0.25">
      <c r="A8741" s="104"/>
      <c r="B8741" s="104"/>
    </row>
    <row r="8742" spans="1:2" x14ac:dyDescent="0.25">
      <c r="A8742" s="104"/>
      <c r="B8742" s="104"/>
    </row>
    <row r="8743" spans="1:2" x14ac:dyDescent="0.25">
      <c r="A8743" s="104"/>
      <c r="B8743" s="104"/>
    </row>
    <row r="8744" spans="1:2" x14ac:dyDescent="0.25">
      <c r="A8744" s="104"/>
      <c r="B8744" s="104"/>
    </row>
    <row r="8745" spans="1:2" x14ac:dyDescent="0.25">
      <c r="A8745" s="104"/>
      <c r="B8745" s="104"/>
    </row>
    <row r="8746" spans="1:2" x14ac:dyDescent="0.25">
      <c r="A8746" s="104"/>
      <c r="B8746" s="104"/>
    </row>
    <row r="8747" spans="1:2" x14ac:dyDescent="0.25">
      <c r="A8747" s="104"/>
      <c r="B8747" s="104"/>
    </row>
    <row r="8748" spans="1:2" x14ac:dyDescent="0.25">
      <c r="A8748" s="104"/>
      <c r="B8748" s="104"/>
    </row>
    <row r="8749" spans="1:2" x14ac:dyDescent="0.25">
      <c r="A8749" s="104"/>
      <c r="B8749" s="104"/>
    </row>
    <row r="8750" spans="1:2" x14ac:dyDescent="0.25">
      <c r="A8750" s="104"/>
      <c r="B8750" s="104"/>
    </row>
    <row r="8751" spans="1:2" x14ac:dyDescent="0.25">
      <c r="A8751" s="104"/>
      <c r="B8751" s="104"/>
    </row>
    <row r="8752" spans="1:2" x14ac:dyDescent="0.25">
      <c r="A8752" s="104"/>
      <c r="B8752" s="104"/>
    </row>
    <row r="8753" spans="1:2" x14ac:dyDescent="0.25">
      <c r="A8753" s="104"/>
      <c r="B8753" s="104"/>
    </row>
    <row r="8754" spans="1:2" x14ac:dyDescent="0.25">
      <c r="A8754" s="104"/>
      <c r="B8754" s="104"/>
    </row>
    <row r="8755" spans="1:2" x14ac:dyDescent="0.25">
      <c r="A8755" s="104"/>
      <c r="B8755" s="104"/>
    </row>
    <row r="8756" spans="1:2" x14ac:dyDescent="0.25">
      <c r="A8756" s="104"/>
      <c r="B8756" s="104"/>
    </row>
    <row r="8757" spans="1:2" x14ac:dyDescent="0.25">
      <c r="A8757" s="104"/>
      <c r="B8757" s="104"/>
    </row>
    <row r="8758" spans="1:2" x14ac:dyDescent="0.25">
      <c r="A8758" s="104"/>
      <c r="B8758" s="104"/>
    </row>
    <row r="8759" spans="1:2" x14ac:dyDescent="0.25">
      <c r="A8759" s="104"/>
      <c r="B8759" s="104"/>
    </row>
    <row r="8760" spans="1:2" x14ac:dyDescent="0.25">
      <c r="A8760" s="104"/>
      <c r="B8760" s="104"/>
    </row>
    <row r="8761" spans="1:2" x14ac:dyDescent="0.25">
      <c r="A8761" s="104"/>
      <c r="B8761" s="104"/>
    </row>
    <row r="8762" spans="1:2" x14ac:dyDescent="0.25">
      <c r="A8762" s="104"/>
      <c r="B8762" s="104"/>
    </row>
    <row r="8763" spans="1:2" x14ac:dyDescent="0.25">
      <c r="A8763" s="104"/>
      <c r="B8763" s="104"/>
    </row>
    <row r="8764" spans="1:2" x14ac:dyDescent="0.25">
      <c r="A8764" s="104"/>
      <c r="B8764" s="104"/>
    </row>
    <row r="8765" spans="1:2" x14ac:dyDescent="0.25">
      <c r="A8765" s="104"/>
      <c r="B8765" s="104"/>
    </row>
    <row r="8766" spans="1:2" x14ac:dyDescent="0.25">
      <c r="A8766" s="104"/>
      <c r="B8766" s="104"/>
    </row>
    <row r="8767" spans="1:2" x14ac:dyDescent="0.25">
      <c r="A8767" s="104"/>
      <c r="B8767" s="104"/>
    </row>
    <row r="8768" spans="1:2" x14ac:dyDescent="0.25">
      <c r="A8768" s="104"/>
      <c r="B8768" s="104"/>
    </row>
    <row r="8769" spans="1:2" x14ac:dyDescent="0.25">
      <c r="A8769" s="104"/>
      <c r="B8769" s="104"/>
    </row>
    <row r="8770" spans="1:2" x14ac:dyDescent="0.25">
      <c r="A8770" s="104"/>
      <c r="B8770" s="104"/>
    </row>
    <row r="8771" spans="1:2" x14ac:dyDescent="0.25">
      <c r="A8771" s="104"/>
      <c r="B8771" s="104"/>
    </row>
    <row r="8772" spans="1:2" x14ac:dyDescent="0.25">
      <c r="A8772" s="104"/>
      <c r="B8772" s="104"/>
    </row>
    <row r="8773" spans="1:2" x14ac:dyDescent="0.25">
      <c r="A8773" s="104"/>
      <c r="B8773" s="104"/>
    </row>
    <row r="8774" spans="1:2" x14ac:dyDescent="0.25">
      <c r="A8774" s="104"/>
      <c r="B8774" s="104"/>
    </row>
    <row r="8775" spans="1:2" x14ac:dyDescent="0.25">
      <c r="A8775" s="104"/>
      <c r="B8775" s="104"/>
    </row>
    <row r="8776" spans="1:2" x14ac:dyDescent="0.25">
      <c r="A8776" s="104"/>
      <c r="B8776" s="104"/>
    </row>
    <row r="8777" spans="1:2" x14ac:dyDescent="0.25">
      <c r="A8777" s="104"/>
      <c r="B8777" s="104"/>
    </row>
    <row r="8778" spans="1:2" x14ac:dyDescent="0.25">
      <c r="A8778" s="104"/>
      <c r="B8778" s="104"/>
    </row>
    <row r="8779" spans="1:2" x14ac:dyDescent="0.25">
      <c r="A8779" s="104"/>
      <c r="B8779" s="104"/>
    </row>
    <row r="8780" spans="1:2" x14ac:dyDescent="0.25">
      <c r="A8780" s="104"/>
      <c r="B8780" s="104"/>
    </row>
    <row r="8781" spans="1:2" x14ac:dyDescent="0.25">
      <c r="A8781" s="104"/>
      <c r="B8781" s="104"/>
    </row>
    <row r="8782" spans="1:2" x14ac:dyDescent="0.25">
      <c r="A8782" s="104"/>
      <c r="B8782" s="104"/>
    </row>
    <row r="8783" spans="1:2" x14ac:dyDescent="0.25">
      <c r="A8783" s="104"/>
      <c r="B8783" s="104"/>
    </row>
    <row r="8784" spans="1:2" x14ac:dyDescent="0.25">
      <c r="A8784" s="104"/>
      <c r="B8784" s="104"/>
    </row>
    <row r="8785" spans="1:2" x14ac:dyDescent="0.25">
      <c r="A8785" s="104"/>
      <c r="B8785" s="104"/>
    </row>
    <row r="8786" spans="1:2" x14ac:dyDescent="0.25">
      <c r="A8786" s="104"/>
      <c r="B8786" s="104"/>
    </row>
    <row r="8787" spans="1:2" x14ac:dyDescent="0.25">
      <c r="A8787" s="104"/>
      <c r="B8787" s="104"/>
    </row>
    <row r="8788" spans="1:2" x14ac:dyDescent="0.25">
      <c r="A8788" s="104"/>
      <c r="B8788" s="104"/>
    </row>
    <row r="8789" spans="1:2" x14ac:dyDescent="0.25">
      <c r="A8789" s="104"/>
      <c r="B8789" s="104"/>
    </row>
    <row r="8790" spans="1:2" x14ac:dyDescent="0.25">
      <c r="A8790" s="104"/>
      <c r="B8790" s="104"/>
    </row>
    <row r="8791" spans="1:2" x14ac:dyDescent="0.25">
      <c r="A8791" s="104"/>
      <c r="B8791" s="104"/>
    </row>
    <row r="8792" spans="1:2" x14ac:dyDescent="0.25">
      <c r="A8792" s="104"/>
      <c r="B8792" s="104"/>
    </row>
    <row r="8793" spans="1:2" x14ac:dyDescent="0.25">
      <c r="A8793" s="104"/>
      <c r="B8793" s="104"/>
    </row>
    <row r="8794" spans="1:2" x14ac:dyDescent="0.25">
      <c r="A8794" s="104"/>
      <c r="B8794" s="104"/>
    </row>
    <row r="8795" spans="1:2" x14ac:dyDescent="0.25">
      <c r="A8795" s="104"/>
      <c r="B8795" s="104"/>
    </row>
    <row r="8796" spans="1:2" x14ac:dyDescent="0.25">
      <c r="A8796" s="104"/>
      <c r="B8796" s="104"/>
    </row>
    <row r="8797" spans="1:2" x14ac:dyDescent="0.25">
      <c r="A8797" s="104"/>
      <c r="B8797" s="104"/>
    </row>
    <row r="8798" spans="1:2" x14ac:dyDescent="0.25">
      <c r="A8798" s="104"/>
      <c r="B8798" s="104"/>
    </row>
    <row r="8799" spans="1:2" x14ac:dyDescent="0.25">
      <c r="A8799" s="104"/>
      <c r="B8799" s="104"/>
    </row>
    <row r="8800" spans="1:2" x14ac:dyDescent="0.25">
      <c r="A8800" s="104"/>
      <c r="B8800" s="104"/>
    </row>
    <row r="8801" spans="1:2" x14ac:dyDescent="0.25">
      <c r="A8801" s="104"/>
      <c r="B8801" s="104"/>
    </row>
    <row r="8802" spans="1:2" x14ac:dyDescent="0.25">
      <c r="A8802" s="104"/>
      <c r="B8802" s="104"/>
    </row>
    <row r="8803" spans="1:2" x14ac:dyDescent="0.25">
      <c r="A8803" s="104"/>
      <c r="B8803" s="104"/>
    </row>
    <row r="8804" spans="1:2" x14ac:dyDescent="0.25">
      <c r="A8804" s="104"/>
      <c r="B8804" s="104"/>
    </row>
    <row r="8805" spans="1:2" x14ac:dyDescent="0.25">
      <c r="A8805" s="104"/>
      <c r="B8805" s="104"/>
    </row>
    <row r="8806" spans="1:2" x14ac:dyDescent="0.25">
      <c r="A8806" s="104"/>
      <c r="B8806" s="104"/>
    </row>
    <row r="8807" spans="1:2" x14ac:dyDescent="0.25">
      <c r="A8807" s="104"/>
      <c r="B8807" s="104"/>
    </row>
    <row r="8808" spans="1:2" x14ac:dyDescent="0.25">
      <c r="A8808" s="104"/>
      <c r="B8808" s="104"/>
    </row>
    <row r="8809" spans="1:2" x14ac:dyDescent="0.25">
      <c r="A8809" s="104"/>
      <c r="B8809" s="104"/>
    </row>
    <row r="8810" spans="1:2" x14ac:dyDescent="0.25">
      <c r="A8810" s="104"/>
      <c r="B8810" s="104"/>
    </row>
    <row r="8811" spans="1:2" x14ac:dyDescent="0.25">
      <c r="A8811" s="104"/>
      <c r="B8811" s="104"/>
    </row>
    <row r="8812" spans="1:2" x14ac:dyDescent="0.25">
      <c r="A8812" s="104"/>
      <c r="B8812" s="104"/>
    </row>
    <row r="8813" spans="1:2" x14ac:dyDescent="0.25">
      <c r="A8813" s="104"/>
      <c r="B8813" s="104"/>
    </row>
    <row r="8814" spans="1:2" x14ac:dyDescent="0.25">
      <c r="A8814" s="104"/>
      <c r="B8814" s="104"/>
    </row>
    <row r="8815" spans="1:2" x14ac:dyDescent="0.25">
      <c r="A8815" s="104"/>
      <c r="B8815" s="104"/>
    </row>
    <row r="8816" spans="1:2" x14ac:dyDescent="0.25">
      <c r="A8816" s="104"/>
      <c r="B8816" s="104"/>
    </row>
    <row r="8817" spans="1:2" x14ac:dyDescent="0.25">
      <c r="A8817" s="104"/>
      <c r="B8817" s="104"/>
    </row>
    <row r="8818" spans="1:2" x14ac:dyDescent="0.25">
      <c r="A8818" s="104"/>
      <c r="B8818" s="104"/>
    </row>
    <row r="8819" spans="1:2" x14ac:dyDescent="0.25">
      <c r="A8819" s="104"/>
      <c r="B8819" s="104"/>
    </row>
    <row r="8820" spans="1:2" x14ac:dyDescent="0.25">
      <c r="A8820" s="104"/>
      <c r="B8820" s="104"/>
    </row>
    <row r="8821" spans="1:2" x14ac:dyDescent="0.25">
      <c r="A8821" s="104"/>
      <c r="B8821" s="104"/>
    </row>
    <row r="8822" spans="1:2" x14ac:dyDescent="0.25">
      <c r="A8822" s="104"/>
      <c r="B8822" s="104"/>
    </row>
    <row r="8823" spans="1:2" x14ac:dyDescent="0.25">
      <c r="A8823" s="104"/>
      <c r="B8823" s="104"/>
    </row>
    <row r="8824" spans="1:2" x14ac:dyDescent="0.25">
      <c r="A8824" s="104"/>
      <c r="B8824" s="104"/>
    </row>
    <row r="8825" spans="1:2" x14ac:dyDescent="0.25">
      <c r="A8825" s="104"/>
      <c r="B8825" s="104"/>
    </row>
    <row r="8826" spans="1:2" x14ac:dyDescent="0.25">
      <c r="A8826" s="104"/>
      <c r="B8826" s="104"/>
    </row>
    <row r="8827" spans="1:2" x14ac:dyDescent="0.25">
      <c r="A8827" s="104"/>
      <c r="B8827" s="104"/>
    </row>
    <row r="8828" spans="1:2" x14ac:dyDescent="0.25">
      <c r="A8828" s="104"/>
      <c r="B8828" s="104"/>
    </row>
    <row r="8829" spans="1:2" x14ac:dyDescent="0.25">
      <c r="A8829" s="104"/>
      <c r="B8829" s="104"/>
    </row>
    <row r="8830" spans="1:2" x14ac:dyDescent="0.25">
      <c r="A8830" s="104"/>
      <c r="B8830" s="104"/>
    </row>
    <row r="8831" spans="1:2" x14ac:dyDescent="0.25">
      <c r="A8831" s="104"/>
      <c r="B8831" s="104"/>
    </row>
    <row r="8832" spans="1:2" x14ac:dyDescent="0.25">
      <c r="A8832" s="104"/>
      <c r="B8832" s="104"/>
    </row>
    <row r="8833" spans="1:2" x14ac:dyDescent="0.25">
      <c r="A8833" s="104"/>
      <c r="B8833" s="104"/>
    </row>
    <row r="8834" spans="1:2" x14ac:dyDescent="0.25">
      <c r="A8834" s="104"/>
      <c r="B8834" s="104"/>
    </row>
    <row r="8835" spans="1:2" x14ac:dyDescent="0.25">
      <c r="A8835" s="104"/>
      <c r="B8835" s="104"/>
    </row>
    <row r="8836" spans="1:2" x14ac:dyDescent="0.25">
      <c r="A8836" s="104"/>
      <c r="B8836" s="104"/>
    </row>
    <row r="8837" spans="1:2" x14ac:dyDescent="0.25">
      <c r="A8837" s="104"/>
      <c r="B8837" s="104"/>
    </row>
    <row r="8838" spans="1:2" x14ac:dyDescent="0.25">
      <c r="A8838" s="104"/>
      <c r="B8838" s="104"/>
    </row>
    <row r="8839" spans="1:2" x14ac:dyDescent="0.25">
      <c r="A8839" s="104"/>
      <c r="B8839" s="104"/>
    </row>
    <row r="8840" spans="1:2" x14ac:dyDescent="0.25">
      <c r="A8840" s="104"/>
      <c r="B8840" s="104"/>
    </row>
    <row r="8841" spans="1:2" x14ac:dyDescent="0.25">
      <c r="A8841" s="104"/>
      <c r="B8841" s="104"/>
    </row>
    <row r="8842" spans="1:2" x14ac:dyDescent="0.25">
      <c r="A8842" s="104"/>
      <c r="B8842" s="104"/>
    </row>
    <row r="8843" spans="1:2" x14ac:dyDescent="0.25">
      <c r="A8843" s="104"/>
      <c r="B8843" s="104"/>
    </row>
    <row r="8844" spans="1:2" x14ac:dyDescent="0.25">
      <c r="A8844" s="104"/>
      <c r="B8844" s="104"/>
    </row>
    <row r="8845" spans="1:2" x14ac:dyDescent="0.25">
      <c r="A8845" s="104"/>
      <c r="B8845" s="104"/>
    </row>
    <row r="8846" spans="1:2" x14ac:dyDescent="0.25">
      <c r="A8846" s="104"/>
      <c r="B8846" s="104"/>
    </row>
    <row r="8847" spans="1:2" x14ac:dyDescent="0.25">
      <c r="A8847" s="104"/>
      <c r="B8847" s="104"/>
    </row>
    <row r="8848" spans="1:2" x14ac:dyDescent="0.25">
      <c r="A8848" s="104"/>
      <c r="B8848" s="104"/>
    </row>
    <row r="8849" spans="1:2" x14ac:dyDescent="0.25">
      <c r="A8849" s="104"/>
      <c r="B8849" s="104"/>
    </row>
    <row r="8850" spans="1:2" x14ac:dyDescent="0.25">
      <c r="A8850" s="104"/>
      <c r="B8850" s="104"/>
    </row>
    <row r="8851" spans="1:2" x14ac:dyDescent="0.25">
      <c r="A8851" s="104"/>
      <c r="B8851" s="104"/>
    </row>
    <row r="8852" spans="1:2" x14ac:dyDescent="0.25">
      <c r="A8852" s="104"/>
      <c r="B8852" s="104"/>
    </row>
    <row r="8853" spans="1:2" x14ac:dyDescent="0.25">
      <c r="A8853" s="104"/>
      <c r="B8853" s="104"/>
    </row>
    <row r="8854" spans="1:2" x14ac:dyDescent="0.25">
      <c r="A8854" s="104"/>
      <c r="B8854" s="104"/>
    </row>
    <row r="8855" spans="1:2" x14ac:dyDescent="0.25">
      <c r="A8855" s="104"/>
      <c r="B8855" s="104"/>
    </row>
    <row r="8856" spans="1:2" x14ac:dyDescent="0.25">
      <c r="A8856" s="104"/>
      <c r="B8856" s="104"/>
    </row>
    <row r="8857" spans="1:2" x14ac:dyDescent="0.25">
      <c r="A8857" s="104"/>
      <c r="B8857" s="104"/>
    </row>
    <row r="8858" spans="1:2" x14ac:dyDescent="0.25">
      <c r="A8858" s="104"/>
      <c r="B8858" s="104"/>
    </row>
    <row r="8859" spans="1:2" x14ac:dyDescent="0.25">
      <c r="A8859" s="104"/>
      <c r="B8859" s="104"/>
    </row>
    <row r="8860" spans="1:2" x14ac:dyDescent="0.25">
      <c r="A8860" s="104"/>
      <c r="B8860" s="104"/>
    </row>
    <row r="8861" spans="1:2" x14ac:dyDescent="0.25">
      <c r="A8861" s="104"/>
      <c r="B8861" s="104"/>
    </row>
    <row r="8862" spans="1:2" x14ac:dyDescent="0.25">
      <c r="A8862" s="104"/>
      <c r="B8862" s="104"/>
    </row>
    <row r="8863" spans="1:2" x14ac:dyDescent="0.25">
      <c r="A8863" s="104"/>
      <c r="B8863" s="104"/>
    </row>
    <row r="8864" spans="1:2" x14ac:dyDescent="0.25">
      <c r="A8864" s="104"/>
      <c r="B8864" s="104"/>
    </row>
    <row r="8865" spans="1:2" x14ac:dyDescent="0.25">
      <c r="A8865" s="104"/>
      <c r="B8865" s="104"/>
    </row>
    <row r="8866" spans="1:2" x14ac:dyDescent="0.25">
      <c r="A8866" s="104"/>
      <c r="B8866" s="104"/>
    </row>
    <row r="8867" spans="1:2" x14ac:dyDescent="0.25">
      <c r="A8867" s="104"/>
      <c r="B8867" s="104"/>
    </row>
    <row r="8868" spans="1:2" x14ac:dyDescent="0.25">
      <c r="A8868" s="104"/>
      <c r="B8868" s="104"/>
    </row>
    <row r="8869" spans="1:2" x14ac:dyDescent="0.25">
      <c r="A8869" s="104"/>
      <c r="B8869" s="104"/>
    </row>
    <row r="8870" spans="1:2" x14ac:dyDescent="0.25">
      <c r="A8870" s="104"/>
      <c r="B8870" s="104"/>
    </row>
    <row r="8871" spans="1:2" x14ac:dyDescent="0.25">
      <c r="A8871" s="104"/>
      <c r="B8871" s="104"/>
    </row>
    <row r="8872" spans="1:2" x14ac:dyDescent="0.25">
      <c r="A8872" s="104"/>
      <c r="B8872" s="104"/>
    </row>
    <row r="8873" spans="1:2" x14ac:dyDescent="0.25">
      <c r="A8873" s="104"/>
      <c r="B8873" s="104"/>
    </row>
    <row r="8874" spans="1:2" x14ac:dyDescent="0.25">
      <c r="A8874" s="104"/>
      <c r="B8874" s="104"/>
    </row>
    <row r="8875" spans="1:2" x14ac:dyDescent="0.25">
      <c r="A8875" s="104"/>
      <c r="B8875" s="104"/>
    </row>
    <row r="8876" spans="1:2" x14ac:dyDescent="0.25">
      <c r="A8876" s="104"/>
      <c r="B8876" s="104"/>
    </row>
    <row r="8877" spans="1:2" x14ac:dyDescent="0.25">
      <c r="A8877" s="104"/>
      <c r="B8877" s="104"/>
    </row>
    <row r="8878" spans="1:2" x14ac:dyDescent="0.25">
      <c r="A8878" s="104"/>
      <c r="B8878" s="104"/>
    </row>
    <row r="8879" spans="1:2" x14ac:dyDescent="0.25">
      <c r="A8879" s="104"/>
      <c r="B8879" s="104"/>
    </row>
    <row r="8880" spans="1:2" x14ac:dyDescent="0.25">
      <c r="A8880" s="104"/>
      <c r="B8880" s="104"/>
    </row>
    <row r="8881" spans="1:2" x14ac:dyDescent="0.25">
      <c r="A8881" s="104"/>
      <c r="B8881" s="104"/>
    </row>
    <row r="8882" spans="1:2" x14ac:dyDescent="0.25">
      <c r="A8882" s="104"/>
      <c r="B8882" s="104"/>
    </row>
    <row r="8883" spans="1:2" x14ac:dyDescent="0.25">
      <c r="A8883" s="104"/>
      <c r="B8883" s="104"/>
    </row>
    <row r="8884" spans="1:2" x14ac:dyDescent="0.25">
      <c r="A8884" s="104"/>
      <c r="B8884" s="104"/>
    </row>
    <row r="8885" spans="1:2" x14ac:dyDescent="0.25">
      <c r="A8885" s="104"/>
      <c r="B8885" s="104"/>
    </row>
    <row r="8886" spans="1:2" x14ac:dyDescent="0.25">
      <c r="A8886" s="104"/>
      <c r="B8886" s="104"/>
    </row>
    <row r="8887" spans="1:2" x14ac:dyDescent="0.25">
      <c r="A8887" s="104"/>
      <c r="B8887" s="104"/>
    </row>
    <row r="8888" spans="1:2" x14ac:dyDescent="0.25">
      <c r="A8888" s="104"/>
      <c r="B8888" s="104"/>
    </row>
    <row r="8889" spans="1:2" x14ac:dyDescent="0.25">
      <c r="A8889" s="104"/>
      <c r="B8889" s="104"/>
    </row>
    <row r="8890" spans="1:2" x14ac:dyDescent="0.25">
      <c r="A8890" s="104"/>
      <c r="B8890" s="104"/>
    </row>
    <row r="8891" spans="1:2" x14ac:dyDescent="0.25">
      <c r="A8891" s="104"/>
      <c r="B8891" s="104"/>
    </row>
    <row r="8892" spans="1:2" x14ac:dyDescent="0.25">
      <c r="A8892" s="104"/>
      <c r="B8892" s="104"/>
    </row>
    <row r="8893" spans="1:2" x14ac:dyDescent="0.25">
      <c r="A8893" s="104"/>
      <c r="B8893" s="104"/>
    </row>
    <row r="8894" spans="1:2" x14ac:dyDescent="0.25">
      <c r="A8894" s="104"/>
      <c r="B8894" s="104"/>
    </row>
    <row r="8895" spans="1:2" x14ac:dyDescent="0.25">
      <c r="A8895" s="104"/>
      <c r="B8895" s="104"/>
    </row>
    <row r="8896" spans="1:2" x14ac:dyDescent="0.25">
      <c r="A8896" s="104"/>
      <c r="B8896" s="104"/>
    </row>
    <row r="8897" spans="1:2" x14ac:dyDescent="0.25">
      <c r="A8897" s="104"/>
      <c r="B8897" s="104"/>
    </row>
    <row r="8898" spans="1:2" x14ac:dyDescent="0.25">
      <c r="A8898" s="104"/>
      <c r="B8898" s="104"/>
    </row>
    <row r="8899" spans="1:2" x14ac:dyDescent="0.25">
      <c r="A8899" s="104"/>
      <c r="B8899" s="104"/>
    </row>
    <row r="8900" spans="1:2" x14ac:dyDescent="0.25">
      <c r="A8900" s="104"/>
      <c r="B8900" s="104"/>
    </row>
    <row r="8901" spans="1:2" x14ac:dyDescent="0.25">
      <c r="A8901" s="104"/>
      <c r="B8901" s="104"/>
    </row>
    <row r="8902" spans="1:2" x14ac:dyDescent="0.25">
      <c r="A8902" s="104"/>
      <c r="B8902" s="104"/>
    </row>
    <row r="8903" spans="1:2" x14ac:dyDescent="0.25">
      <c r="A8903" s="104"/>
      <c r="B8903" s="104"/>
    </row>
    <row r="8904" spans="1:2" x14ac:dyDescent="0.25">
      <c r="A8904" s="104"/>
      <c r="B8904" s="104"/>
    </row>
    <row r="8905" spans="1:2" x14ac:dyDescent="0.25">
      <c r="A8905" s="104"/>
      <c r="B8905" s="104"/>
    </row>
    <row r="8906" spans="1:2" x14ac:dyDescent="0.25">
      <c r="A8906" s="104"/>
      <c r="B8906" s="104"/>
    </row>
    <row r="8907" spans="1:2" x14ac:dyDescent="0.25">
      <c r="A8907" s="104"/>
      <c r="B8907" s="104"/>
    </row>
    <row r="8908" spans="1:2" x14ac:dyDescent="0.25">
      <c r="A8908" s="104"/>
      <c r="B8908" s="104"/>
    </row>
    <row r="8909" spans="1:2" x14ac:dyDescent="0.25">
      <c r="A8909" s="104"/>
      <c r="B8909" s="104"/>
    </row>
    <row r="8910" spans="1:2" x14ac:dyDescent="0.25">
      <c r="A8910" s="104"/>
      <c r="B8910" s="104"/>
    </row>
    <row r="8911" spans="1:2" x14ac:dyDescent="0.25">
      <c r="A8911" s="104"/>
      <c r="B8911" s="104"/>
    </row>
    <row r="8912" spans="1:2" x14ac:dyDescent="0.25">
      <c r="A8912" s="104"/>
      <c r="B8912" s="104"/>
    </row>
    <row r="8913" spans="1:2" x14ac:dyDescent="0.25">
      <c r="A8913" s="104"/>
      <c r="B8913" s="104"/>
    </row>
    <row r="8914" spans="1:2" x14ac:dyDescent="0.25">
      <c r="A8914" s="104"/>
      <c r="B8914" s="104"/>
    </row>
    <row r="8915" spans="1:2" x14ac:dyDescent="0.25">
      <c r="A8915" s="104"/>
      <c r="B8915" s="104"/>
    </row>
    <row r="8916" spans="1:2" x14ac:dyDescent="0.25">
      <c r="A8916" s="104"/>
      <c r="B8916" s="104"/>
    </row>
    <row r="8917" spans="1:2" x14ac:dyDescent="0.25">
      <c r="A8917" s="104"/>
      <c r="B8917" s="104"/>
    </row>
    <row r="8918" spans="1:2" x14ac:dyDescent="0.25">
      <c r="A8918" s="104"/>
      <c r="B8918" s="104"/>
    </row>
    <row r="8919" spans="1:2" x14ac:dyDescent="0.25">
      <c r="A8919" s="104"/>
      <c r="B8919" s="104"/>
    </row>
    <row r="8920" spans="1:2" x14ac:dyDescent="0.25">
      <c r="A8920" s="104"/>
      <c r="B8920" s="104"/>
    </row>
    <row r="8921" spans="1:2" x14ac:dyDescent="0.25">
      <c r="A8921" s="104"/>
      <c r="B8921" s="104"/>
    </row>
    <row r="8922" spans="1:2" x14ac:dyDescent="0.25">
      <c r="A8922" s="104"/>
      <c r="B8922" s="104"/>
    </row>
    <row r="8923" spans="1:2" x14ac:dyDescent="0.25">
      <c r="A8923" s="104"/>
      <c r="B8923" s="104"/>
    </row>
    <row r="8924" spans="1:2" x14ac:dyDescent="0.25">
      <c r="A8924" s="104"/>
      <c r="B8924" s="104"/>
    </row>
    <row r="8925" spans="1:2" x14ac:dyDescent="0.25">
      <c r="A8925" s="104"/>
      <c r="B8925" s="104"/>
    </row>
    <row r="8926" spans="1:2" x14ac:dyDescent="0.25">
      <c r="A8926" s="104"/>
      <c r="B8926" s="104"/>
    </row>
    <row r="8927" spans="1:2" x14ac:dyDescent="0.25">
      <c r="A8927" s="104"/>
      <c r="B8927" s="104"/>
    </row>
    <row r="8928" spans="1:2" x14ac:dyDescent="0.25">
      <c r="A8928" s="104"/>
      <c r="B8928" s="104"/>
    </row>
    <row r="8929" spans="1:2" x14ac:dyDescent="0.25">
      <c r="A8929" s="104"/>
      <c r="B8929" s="104"/>
    </row>
    <row r="8930" spans="1:2" x14ac:dyDescent="0.25">
      <c r="A8930" s="104"/>
      <c r="B8930" s="104"/>
    </row>
    <row r="8931" spans="1:2" x14ac:dyDescent="0.25">
      <c r="A8931" s="104"/>
      <c r="B8931" s="104"/>
    </row>
    <row r="8932" spans="1:2" x14ac:dyDescent="0.25">
      <c r="A8932" s="104"/>
      <c r="B8932" s="104"/>
    </row>
    <row r="8933" spans="1:2" x14ac:dyDescent="0.25">
      <c r="A8933" s="104"/>
      <c r="B8933" s="104"/>
    </row>
    <row r="8934" spans="1:2" x14ac:dyDescent="0.25">
      <c r="A8934" s="104"/>
      <c r="B8934" s="104"/>
    </row>
    <row r="8935" spans="1:2" x14ac:dyDescent="0.25">
      <c r="A8935" s="104"/>
      <c r="B8935" s="104"/>
    </row>
    <row r="8936" spans="1:2" x14ac:dyDescent="0.25">
      <c r="A8936" s="104"/>
      <c r="B8936" s="104"/>
    </row>
    <row r="8937" spans="1:2" x14ac:dyDescent="0.25">
      <c r="A8937" s="104"/>
      <c r="B8937" s="104"/>
    </row>
    <row r="8938" spans="1:2" x14ac:dyDescent="0.25">
      <c r="A8938" s="104"/>
      <c r="B8938" s="104"/>
    </row>
    <row r="8939" spans="1:2" x14ac:dyDescent="0.25">
      <c r="A8939" s="104"/>
      <c r="B8939" s="104"/>
    </row>
    <row r="8940" spans="1:2" x14ac:dyDescent="0.25">
      <c r="A8940" s="104"/>
      <c r="B8940" s="104"/>
    </row>
    <row r="8941" spans="1:2" x14ac:dyDescent="0.25">
      <c r="A8941" s="104"/>
      <c r="B8941" s="104"/>
    </row>
    <row r="8942" spans="1:2" x14ac:dyDescent="0.25">
      <c r="A8942" s="104"/>
      <c r="B8942" s="104"/>
    </row>
    <row r="8943" spans="1:2" x14ac:dyDescent="0.25">
      <c r="A8943" s="104"/>
      <c r="B8943" s="104"/>
    </row>
    <row r="8944" spans="1:2" x14ac:dyDescent="0.25">
      <c r="A8944" s="104"/>
      <c r="B8944" s="104"/>
    </row>
    <row r="8945" spans="1:2" x14ac:dyDescent="0.25">
      <c r="A8945" s="104"/>
      <c r="B8945" s="104"/>
    </row>
    <row r="8946" spans="1:2" x14ac:dyDescent="0.25">
      <c r="A8946" s="104"/>
      <c r="B8946" s="104"/>
    </row>
    <row r="8947" spans="1:2" x14ac:dyDescent="0.25">
      <c r="A8947" s="104"/>
      <c r="B8947" s="104"/>
    </row>
    <row r="8948" spans="1:2" x14ac:dyDescent="0.25">
      <c r="A8948" s="104"/>
      <c r="B8948" s="104"/>
    </row>
    <row r="8949" spans="1:2" x14ac:dyDescent="0.25">
      <c r="A8949" s="104"/>
      <c r="B8949" s="104"/>
    </row>
    <row r="8950" spans="1:2" x14ac:dyDescent="0.25">
      <c r="A8950" s="104"/>
      <c r="B8950" s="104"/>
    </row>
    <row r="8951" spans="1:2" x14ac:dyDescent="0.25">
      <c r="A8951" s="104"/>
      <c r="B8951" s="104"/>
    </row>
    <row r="8952" spans="1:2" x14ac:dyDescent="0.25">
      <c r="A8952" s="104"/>
      <c r="B8952" s="104"/>
    </row>
    <row r="8953" spans="1:2" x14ac:dyDescent="0.25">
      <c r="A8953" s="104"/>
      <c r="B8953" s="104"/>
    </row>
    <row r="8954" spans="1:2" x14ac:dyDescent="0.25">
      <c r="A8954" s="104"/>
      <c r="B8954" s="104"/>
    </row>
    <row r="8955" spans="1:2" x14ac:dyDescent="0.25">
      <c r="A8955" s="104"/>
      <c r="B8955" s="104"/>
    </row>
    <row r="8956" spans="1:2" x14ac:dyDescent="0.25">
      <c r="A8956" s="104"/>
      <c r="B8956" s="104"/>
    </row>
    <row r="8957" spans="1:2" x14ac:dyDescent="0.25">
      <c r="A8957" s="104"/>
      <c r="B8957" s="104"/>
    </row>
    <row r="8958" spans="1:2" x14ac:dyDescent="0.25">
      <c r="A8958" s="104"/>
      <c r="B8958" s="104"/>
    </row>
    <row r="8959" spans="1:2" x14ac:dyDescent="0.25">
      <c r="A8959" s="104"/>
      <c r="B8959" s="104"/>
    </row>
    <row r="8960" spans="1:2" x14ac:dyDescent="0.25">
      <c r="A8960" s="104"/>
      <c r="B8960" s="104"/>
    </row>
    <row r="8961" spans="1:2" x14ac:dyDescent="0.25">
      <c r="A8961" s="104"/>
      <c r="B8961" s="104"/>
    </row>
    <row r="8962" spans="1:2" x14ac:dyDescent="0.25">
      <c r="A8962" s="104"/>
      <c r="B8962" s="104"/>
    </row>
    <row r="8963" spans="1:2" x14ac:dyDescent="0.25">
      <c r="A8963" s="104"/>
      <c r="B8963" s="104"/>
    </row>
    <row r="8964" spans="1:2" x14ac:dyDescent="0.25">
      <c r="A8964" s="104"/>
      <c r="B8964" s="104"/>
    </row>
    <row r="8965" spans="1:2" x14ac:dyDescent="0.25">
      <c r="A8965" s="104"/>
      <c r="B8965" s="104"/>
    </row>
    <row r="8966" spans="1:2" x14ac:dyDescent="0.25">
      <c r="A8966" s="104"/>
      <c r="B8966" s="104"/>
    </row>
    <row r="8967" spans="1:2" x14ac:dyDescent="0.25">
      <c r="A8967" s="104"/>
      <c r="B8967" s="104"/>
    </row>
    <row r="8968" spans="1:2" x14ac:dyDescent="0.25">
      <c r="A8968" s="104"/>
      <c r="B8968" s="104"/>
    </row>
    <row r="8969" spans="1:2" x14ac:dyDescent="0.25">
      <c r="A8969" s="104"/>
      <c r="B8969" s="104"/>
    </row>
    <row r="8970" spans="1:2" x14ac:dyDescent="0.25">
      <c r="A8970" s="104"/>
      <c r="B8970" s="104"/>
    </row>
    <row r="8971" spans="1:2" x14ac:dyDescent="0.25">
      <c r="A8971" s="104"/>
      <c r="B8971" s="104"/>
    </row>
    <row r="8972" spans="1:2" x14ac:dyDescent="0.25">
      <c r="A8972" s="104"/>
      <c r="B8972" s="104"/>
    </row>
    <row r="8973" spans="1:2" x14ac:dyDescent="0.25">
      <c r="A8973" s="104"/>
      <c r="B8973" s="104"/>
    </row>
    <row r="8974" spans="1:2" x14ac:dyDescent="0.25">
      <c r="A8974" s="104"/>
      <c r="B8974" s="104"/>
    </row>
    <row r="8975" spans="1:2" x14ac:dyDescent="0.25">
      <c r="A8975" s="104"/>
      <c r="B8975" s="104"/>
    </row>
    <row r="8976" spans="1:2" x14ac:dyDescent="0.25">
      <c r="A8976" s="104"/>
      <c r="B8976" s="104"/>
    </row>
    <row r="8977" spans="1:2" x14ac:dyDescent="0.25">
      <c r="A8977" s="104"/>
      <c r="B8977" s="104"/>
    </row>
    <row r="8978" spans="1:2" x14ac:dyDescent="0.25">
      <c r="A8978" s="104"/>
      <c r="B8978" s="104"/>
    </row>
    <row r="8979" spans="1:2" x14ac:dyDescent="0.25">
      <c r="A8979" s="104"/>
      <c r="B8979" s="104"/>
    </row>
    <row r="8980" spans="1:2" x14ac:dyDescent="0.25">
      <c r="A8980" s="104"/>
      <c r="B8980" s="104"/>
    </row>
    <row r="8981" spans="1:2" x14ac:dyDescent="0.25">
      <c r="A8981" s="104"/>
      <c r="B8981" s="104"/>
    </row>
    <row r="8982" spans="1:2" x14ac:dyDescent="0.25">
      <c r="A8982" s="104"/>
      <c r="B8982" s="104"/>
    </row>
    <row r="8983" spans="1:2" x14ac:dyDescent="0.25">
      <c r="A8983" s="104"/>
      <c r="B8983" s="104"/>
    </row>
    <row r="8984" spans="1:2" x14ac:dyDescent="0.25">
      <c r="A8984" s="104"/>
      <c r="B8984" s="104"/>
    </row>
    <row r="8985" spans="1:2" x14ac:dyDescent="0.25">
      <c r="A8985" s="104"/>
      <c r="B8985" s="104"/>
    </row>
    <row r="8986" spans="1:2" x14ac:dyDescent="0.25">
      <c r="A8986" s="104"/>
      <c r="B8986" s="104"/>
    </row>
    <row r="8987" spans="1:2" x14ac:dyDescent="0.25">
      <c r="A8987" s="104"/>
      <c r="B8987" s="104"/>
    </row>
    <row r="8988" spans="1:2" x14ac:dyDescent="0.25">
      <c r="A8988" s="104"/>
      <c r="B8988" s="104"/>
    </row>
    <row r="8989" spans="1:2" x14ac:dyDescent="0.25">
      <c r="A8989" s="104"/>
      <c r="B8989" s="104"/>
    </row>
    <row r="8990" spans="1:2" x14ac:dyDescent="0.25">
      <c r="A8990" s="104"/>
      <c r="B8990" s="104"/>
    </row>
    <row r="8991" spans="1:2" x14ac:dyDescent="0.25">
      <c r="A8991" s="104"/>
      <c r="B8991" s="104"/>
    </row>
    <row r="8992" spans="1:2" x14ac:dyDescent="0.25">
      <c r="A8992" s="104"/>
      <c r="B8992" s="104"/>
    </row>
    <row r="8993" spans="1:2" x14ac:dyDescent="0.25">
      <c r="A8993" s="104"/>
      <c r="B8993" s="104"/>
    </row>
    <row r="8994" spans="1:2" x14ac:dyDescent="0.25">
      <c r="A8994" s="104"/>
      <c r="B8994" s="104"/>
    </row>
    <row r="8995" spans="1:2" x14ac:dyDescent="0.25">
      <c r="A8995" s="104"/>
      <c r="B8995" s="104"/>
    </row>
    <row r="8996" spans="1:2" x14ac:dyDescent="0.25">
      <c r="A8996" s="104"/>
      <c r="B8996" s="104"/>
    </row>
    <row r="8997" spans="1:2" x14ac:dyDescent="0.25">
      <c r="A8997" s="104"/>
      <c r="B8997" s="104"/>
    </row>
    <row r="8998" spans="1:2" x14ac:dyDescent="0.25">
      <c r="A8998" s="104"/>
      <c r="B8998" s="104"/>
    </row>
    <row r="8999" spans="1:2" x14ac:dyDescent="0.25">
      <c r="A8999" s="104"/>
      <c r="B8999" s="104"/>
    </row>
    <row r="9000" spans="1:2" x14ac:dyDescent="0.25">
      <c r="A9000" s="104"/>
      <c r="B9000" s="104"/>
    </row>
    <row r="9001" spans="1:2" x14ac:dyDescent="0.25">
      <c r="A9001" s="104"/>
      <c r="B9001" s="104"/>
    </row>
    <row r="9002" spans="1:2" x14ac:dyDescent="0.25">
      <c r="A9002" s="104"/>
      <c r="B9002" s="104"/>
    </row>
    <row r="9003" spans="1:2" x14ac:dyDescent="0.25">
      <c r="A9003" s="104"/>
      <c r="B9003" s="104"/>
    </row>
    <row r="9004" spans="1:2" x14ac:dyDescent="0.25">
      <c r="A9004" s="104"/>
      <c r="B9004" s="104"/>
    </row>
    <row r="9005" spans="1:2" x14ac:dyDescent="0.25">
      <c r="A9005" s="104"/>
      <c r="B9005" s="104"/>
    </row>
    <row r="9006" spans="1:2" x14ac:dyDescent="0.25">
      <c r="A9006" s="104"/>
      <c r="B9006" s="104"/>
    </row>
    <row r="9007" spans="1:2" x14ac:dyDescent="0.25">
      <c r="A9007" s="104"/>
      <c r="B9007" s="104"/>
    </row>
    <row r="9008" spans="1:2" x14ac:dyDescent="0.25">
      <c r="A9008" s="104"/>
      <c r="B9008" s="104"/>
    </row>
    <row r="9009" spans="1:2" x14ac:dyDescent="0.25">
      <c r="A9009" s="104"/>
      <c r="B9009" s="104"/>
    </row>
    <row r="9010" spans="1:2" x14ac:dyDescent="0.25">
      <c r="A9010" s="104"/>
      <c r="B9010" s="104"/>
    </row>
    <row r="9011" spans="1:2" x14ac:dyDescent="0.25">
      <c r="A9011" s="104"/>
      <c r="B9011" s="104"/>
    </row>
    <row r="9012" spans="1:2" x14ac:dyDescent="0.25">
      <c r="A9012" s="104"/>
      <c r="B9012" s="104"/>
    </row>
    <row r="9013" spans="1:2" x14ac:dyDescent="0.25">
      <c r="A9013" s="104"/>
      <c r="B9013" s="104"/>
    </row>
    <row r="9014" spans="1:2" x14ac:dyDescent="0.25">
      <c r="A9014" s="104"/>
      <c r="B9014" s="104"/>
    </row>
    <row r="9015" spans="1:2" x14ac:dyDescent="0.25">
      <c r="A9015" s="104"/>
      <c r="B9015" s="104"/>
    </row>
    <row r="9016" spans="1:2" x14ac:dyDescent="0.25">
      <c r="A9016" s="104"/>
      <c r="B9016" s="104"/>
    </row>
    <row r="9017" spans="1:2" x14ac:dyDescent="0.25">
      <c r="A9017" s="104"/>
      <c r="B9017" s="104"/>
    </row>
    <row r="9018" spans="1:2" x14ac:dyDescent="0.25">
      <c r="A9018" s="104"/>
      <c r="B9018" s="104"/>
    </row>
    <row r="9019" spans="1:2" x14ac:dyDescent="0.25">
      <c r="A9019" s="104"/>
      <c r="B9019" s="104"/>
    </row>
    <row r="9020" spans="1:2" x14ac:dyDescent="0.25">
      <c r="A9020" s="104"/>
      <c r="B9020" s="104"/>
    </row>
    <row r="9021" spans="1:2" x14ac:dyDescent="0.25">
      <c r="A9021" s="104"/>
      <c r="B9021" s="104"/>
    </row>
    <row r="9022" spans="1:2" x14ac:dyDescent="0.25">
      <c r="A9022" s="104"/>
      <c r="B9022" s="104"/>
    </row>
    <row r="9023" spans="1:2" x14ac:dyDescent="0.25">
      <c r="A9023" s="104"/>
      <c r="B9023" s="104"/>
    </row>
    <row r="9024" spans="1:2" x14ac:dyDescent="0.25">
      <c r="A9024" s="104"/>
      <c r="B9024" s="104"/>
    </row>
    <row r="9025" spans="1:2" x14ac:dyDescent="0.25">
      <c r="A9025" s="104"/>
      <c r="B9025" s="104"/>
    </row>
    <row r="9026" spans="1:2" x14ac:dyDescent="0.25">
      <c r="A9026" s="104"/>
      <c r="B9026" s="104"/>
    </row>
    <row r="9027" spans="1:2" x14ac:dyDescent="0.25">
      <c r="A9027" s="104"/>
      <c r="B9027" s="104"/>
    </row>
    <row r="9028" spans="1:2" x14ac:dyDescent="0.25">
      <c r="A9028" s="104"/>
      <c r="B9028" s="104"/>
    </row>
    <row r="9029" spans="1:2" x14ac:dyDescent="0.25">
      <c r="A9029" s="104"/>
      <c r="B9029" s="104"/>
    </row>
    <row r="9030" spans="1:2" x14ac:dyDescent="0.25">
      <c r="A9030" s="104"/>
      <c r="B9030" s="104"/>
    </row>
    <row r="9031" spans="1:2" x14ac:dyDescent="0.25">
      <c r="A9031" s="104"/>
      <c r="B9031" s="104"/>
    </row>
    <row r="9032" spans="1:2" x14ac:dyDescent="0.25">
      <c r="A9032" s="104"/>
      <c r="B9032" s="104"/>
    </row>
    <row r="9033" spans="1:2" x14ac:dyDescent="0.25">
      <c r="A9033" s="104"/>
      <c r="B9033" s="104"/>
    </row>
    <row r="9034" spans="1:2" x14ac:dyDescent="0.25">
      <c r="A9034" s="104"/>
      <c r="B9034" s="104"/>
    </row>
    <row r="9035" spans="1:2" x14ac:dyDescent="0.25">
      <c r="A9035" s="104"/>
      <c r="B9035" s="104"/>
    </row>
    <row r="9036" spans="1:2" x14ac:dyDescent="0.25">
      <c r="A9036" s="104"/>
      <c r="B9036" s="104"/>
    </row>
    <row r="9037" spans="1:2" x14ac:dyDescent="0.25">
      <c r="A9037" s="104"/>
      <c r="B9037" s="104"/>
    </row>
    <row r="9038" spans="1:2" x14ac:dyDescent="0.25">
      <c r="A9038" s="104"/>
      <c r="B9038" s="104"/>
    </row>
    <row r="9039" spans="1:2" x14ac:dyDescent="0.25">
      <c r="A9039" s="104"/>
      <c r="B9039" s="104"/>
    </row>
    <row r="9040" spans="1:2" x14ac:dyDescent="0.25">
      <c r="A9040" s="104"/>
      <c r="B9040" s="104"/>
    </row>
    <row r="9041" spans="1:2" x14ac:dyDescent="0.25">
      <c r="A9041" s="104"/>
      <c r="B9041" s="104"/>
    </row>
    <row r="9042" spans="1:2" x14ac:dyDescent="0.25">
      <c r="A9042" s="104"/>
      <c r="B9042" s="104"/>
    </row>
    <row r="9043" spans="1:2" x14ac:dyDescent="0.25">
      <c r="A9043" s="104"/>
      <c r="B9043" s="104"/>
    </row>
    <row r="9044" spans="1:2" x14ac:dyDescent="0.25">
      <c r="A9044" s="104"/>
      <c r="B9044" s="104"/>
    </row>
    <row r="9045" spans="1:2" x14ac:dyDescent="0.25">
      <c r="A9045" s="104"/>
      <c r="B9045" s="104"/>
    </row>
    <row r="9046" spans="1:2" x14ac:dyDescent="0.25">
      <c r="A9046" s="104"/>
      <c r="B9046" s="104"/>
    </row>
    <row r="9047" spans="1:2" x14ac:dyDescent="0.25">
      <c r="A9047" s="104"/>
      <c r="B9047" s="104"/>
    </row>
    <row r="9048" spans="1:2" x14ac:dyDescent="0.25">
      <c r="A9048" s="104"/>
      <c r="B9048" s="104"/>
    </row>
    <row r="9049" spans="1:2" x14ac:dyDescent="0.25">
      <c r="A9049" s="104"/>
      <c r="B9049" s="104"/>
    </row>
    <row r="9050" spans="1:2" x14ac:dyDescent="0.25">
      <c r="A9050" s="104"/>
      <c r="B9050" s="104"/>
    </row>
    <row r="9051" spans="1:2" x14ac:dyDescent="0.25">
      <c r="A9051" s="104"/>
      <c r="B9051" s="104"/>
    </row>
    <row r="9052" spans="1:2" x14ac:dyDescent="0.25">
      <c r="A9052" s="104"/>
      <c r="B9052" s="104"/>
    </row>
    <row r="9053" spans="1:2" x14ac:dyDescent="0.25">
      <c r="A9053" s="104"/>
      <c r="B9053" s="104"/>
    </row>
    <row r="9054" spans="1:2" x14ac:dyDescent="0.25">
      <c r="A9054" s="104"/>
      <c r="B9054" s="104"/>
    </row>
    <row r="9055" spans="1:2" x14ac:dyDescent="0.25">
      <c r="A9055" s="104"/>
      <c r="B9055" s="104"/>
    </row>
    <row r="9056" spans="1:2" x14ac:dyDescent="0.25">
      <c r="A9056" s="104"/>
      <c r="B9056" s="104"/>
    </row>
    <row r="9057" spans="1:2" x14ac:dyDescent="0.25">
      <c r="A9057" s="104"/>
      <c r="B9057" s="104"/>
    </row>
    <row r="9058" spans="1:2" x14ac:dyDescent="0.25">
      <c r="A9058" s="104"/>
      <c r="B9058" s="104"/>
    </row>
    <row r="9059" spans="1:2" x14ac:dyDescent="0.25">
      <c r="A9059" s="104"/>
      <c r="B9059" s="104"/>
    </row>
    <row r="9060" spans="1:2" x14ac:dyDescent="0.25">
      <c r="A9060" s="104"/>
      <c r="B9060" s="104"/>
    </row>
    <row r="9061" spans="1:2" x14ac:dyDescent="0.25">
      <c r="A9061" s="104"/>
      <c r="B9061" s="104"/>
    </row>
    <row r="9062" spans="1:2" x14ac:dyDescent="0.25">
      <c r="A9062" s="104"/>
      <c r="B9062" s="104"/>
    </row>
    <row r="9063" spans="1:2" x14ac:dyDescent="0.25">
      <c r="A9063" s="104"/>
      <c r="B9063" s="104"/>
    </row>
    <row r="9064" spans="1:2" x14ac:dyDescent="0.25">
      <c r="A9064" s="104"/>
      <c r="B9064" s="104"/>
    </row>
    <row r="9065" spans="1:2" x14ac:dyDescent="0.25">
      <c r="A9065" s="104"/>
      <c r="B9065" s="104"/>
    </row>
    <row r="9066" spans="1:2" x14ac:dyDescent="0.25">
      <c r="A9066" s="104"/>
      <c r="B9066" s="104"/>
    </row>
    <row r="9067" spans="1:2" x14ac:dyDescent="0.25">
      <c r="A9067" s="104"/>
      <c r="B9067" s="104"/>
    </row>
    <row r="9068" spans="1:2" x14ac:dyDescent="0.25">
      <c r="A9068" s="104"/>
      <c r="B9068" s="104"/>
    </row>
    <row r="9069" spans="1:2" x14ac:dyDescent="0.25">
      <c r="A9069" s="104"/>
      <c r="B9069" s="104"/>
    </row>
    <row r="9070" spans="1:2" x14ac:dyDescent="0.25">
      <c r="A9070" s="104"/>
      <c r="B9070" s="104"/>
    </row>
    <row r="9071" spans="1:2" x14ac:dyDescent="0.25">
      <c r="A9071" s="104"/>
      <c r="B9071" s="104"/>
    </row>
    <row r="9072" spans="1:2" x14ac:dyDescent="0.25">
      <c r="A9072" s="104"/>
      <c r="B9072" s="104"/>
    </row>
    <row r="9073" spans="1:2" x14ac:dyDescent="0.25">
      <c r="A9073" s="104"/>
      <c r="B9073" s="104"/>
    </row>
    <row r="9074" spans="1:2" x14ac:dyDescent="0.25">
      <c r="A9074" s="104"/>
      <c r="B9074" s="104"/>
    </row>
    <row r="9075" spans="1:2" x14ac:dyDescent="0.25">
      <c r="A9075" s="104"/>
      <c r="B9075" s="104"/>
    </row>
    <row r="9076" spans="1:2" x14ac:dyDescent="0.25">
      <c r="A9076" s="104"/>
      <c r="B9076" s="104"/>
    </row>
    <row r="9077" spans="1:2" x14ac:dyDescent="0.25">
      <c r="A9077" s="104"/>
      <c r="B9077" s="104"/>
    </row>
    <row r="9078" spans="1:2" x14ac:dyDescent="0.25">
      <c r="A9078" s="104"/>
      <c r="B9078" s="104"/>
    </row>
    <row r="9079" spans="1:2" x14ac:dyDescent="0.25">
      <c r="A9079" s="104"/>
      <c r="B9079" s="104"/>
    </row>
    <row r="9080" spans="1:2" x14ac:dyDescent="0.25">
      <c r="A9080" s="104"/>
      <c r="B9080" s="104"/>
    </row>
    <row r="9081" spans="1:2" x14ac:dyDescent="0.25">
      <c r="A9081" s="104"/>
      <c r="B9081" s="104"/>
    </row>
    <row r="9082" spans="1:2" x14ac:dyDescent="0.25">
      <c r="A9082" s="104"/>
      <c r="B9082" s="104"/>
    </row>
    <row r="9083" spans="1:2" x14ac:dyDescent="0.25">
      <c r="A9083" s="104"/>
      <c r="B9083" s="104"/>
    </row>
    <row r="9084" spans="1:2" x14ac:dyDescent="0.25">
      <c r="A9084" s="104"/>
      <c r="B9084" s="104"/>
    </row>
    <row r="9085" spans="1:2" x14ac:dyDescent="0.25">
      <c r="A9085" s="104"/>
      <c r="B9085" s="104"/>
    </row>
    <row r="9086" spans="1:2" x14ac:dyDescent="0.25">
      <c r="A9086" s="104"/>
      <c r="B9086" s="104"/>
    </row>
    <row r="9087" spans="1:2" x14ac:dyDescent="0.25">
      <c r="A9087" s="104"/>
      <c r="B9087" s="104"/>
    </row>
    <row r="9088" spans="1:2" x14ac:dyDescent="0.25">
      <c r="A9088" s="104"/>
      <c r="B9088" s="104"/>
    </row>
    <row r="9089" spans="1:2" x14ac:dyDescent="0.25">
      <c r="A9089" s="104"/>
      <c r="B9089" s="104"/>
    </row>
    <row r="9090" spans="1:2" x14ac:dyDescent="0.25">
      <c r="A9090" s="104"/>
      <c r="B9090" s="104"/>
    </row>
    <row r="9091" spans="1:2" x14ac:dyDescent="0.25">
      <c r="A9091" s="104"/>
      <c r="B9091" s="104"/>
    </row>
    <row r="9092" spans="1:2" x14ac:dyDescent="0.25">
      <c r="A9092" s="104"/>
      <c r="B9092" s="104"/>
    </row>
    <row r="9093" spans="1:2" x14ac:dyDescent="0.25">
      <c r="A9093" s="104"/>
      <c r="B9093" s="104"/>
    </row>
    <row r="9094" spans="1:2" x14ac:dyDescent="0.25">
      <c r="A9094" s="104"/>
      <c r="B9094" s="104"/>
    </row>
    <row r="9095" spans="1:2" x14ac:dyDescent="0.25">
      <c r="A9095" s="104"/>
      <c r="B9095" s="104"/>
    </row>
    <row r="9096" spans="1:2" x14ac:dyDescent="0.25">
      <c r="A9096" s="104"/>
      <c r="B9096" s="104"/>
    </row>
    <row r="9097" spans="1:2" x14ac:dyDescent="0.25">
      <c r="A9097" s="104"/>
      <c r="B9097" s="104"/>
    </row>
    <row r="9098" spans="1:2" x14ac:dyDescent="0.25">
      <c r="A9098" s="104"/>
      <c r="B9098" s="104"/>
    </row>
    <row r="9099" spans="1:2" x14ac:dyDescent="0.25">
      <c r="A9099" s="104"/>
      <c r="B9099" s="104"/>
    </row>
    <row r="9100" spans="1:2" x14ac:dyDescent="0.25">
      <c r="A9100" s="104"/>
      <c r="B9100" s="104"/>
    </row>
    <row r="9101" spans="1:2" x14ac:dyDescent="0.25">
      <c r="A9101" s="104"/>
      <c r="B9101" s="104"/>
    </row>
    <row r="9102" spans="1:2" x14ac:dyDescent="0.25">
      <c r="A9102" s="104"/>
      <c r="B9102" s="104"/>
    </row>
    <row r="9103" spans="1:2" x14ac:dyDescent="0.25">
      <c r="A9103" s="104"/>
      <c r="B9103" s="104"/>
    </row>
    <row r="9104" spans="1:2" x14ac:dyDescent="0.25">
      <c r="A9104" s="104"/>
      <c r="B9104" s="104"/>
    </row>
    <row r="9105" spans="1:2" x14ac:dyDescent="0.25">
      <c r="A9105" s="104"/>
      <c r="B9105" s="104"/>
    </row>
    <row r="9106" spans="1:2" x14ac:dyDescent="0.25">
      <c r="A9106" s="104"/>
      <c r="B9106" s="104"/>
    </row>
    <row r="9107" spans="1:2" x14ac:dyDescent="0.25">
      <c r="A9107" s="104"/>
      <c r="B9107" s="104"/>
    </row>
    <row r="9108" spans="1:2" x14ac:dyDescent="0.25">
      <c r="A9108" s="104"/>
      <c r="B9108" s="104"/>
    </row>
    <row r="9109" spans="1:2" x14ac:dyDescent="0.25">
      <c r="A9109" s="104"/>
      <c r="B9109" s="104"/>
    </row>
    <row r="9110" spans="1:2" x14ac:dyDescent="0.25">
      <c r="A9110" s="104"/>
      <c r="B9110" s="104"/>
    </row>
    <row r="9111" spans="1:2" x14ac:dyDescent="0.25">
      <c r="A9111" s="104"/>
      <c r="B9111" s="104"/>
    </row>
    <row r="9112" spans="1:2" x14ac:dyDescent="0.25">
      <c r="A9112" s="104"/>
      <c r="B9112" s="104"/>
    </row>
    <row r="9113" spans="1:2" x14ac:dyDescent="0.25">
      <c r="A9113" s="104"/>
      <c r="B9113" s="104"/>
    </row>
    <row r="9114" spans="1:2" x14ac:dyDescent="0.25">
      <c r="A9114" s="104"/>
      <c r="B9114" s="104"/>
    </row>
    <row r="9115" spans="1:2" x14ac:dyDescent="0.25">
      <c r="A9115" s="104"/>
      <c r="B9115" s="104"/>
    </row>
    <row r="9116" spans="1:2" x14ac:dyDescent="0.25">
      <c r="A9116" s="104"/>
      <c r="B9116" s="104"/>
    </row>
    <row r="9117" spans="1:2" x14ac:dyDescent="0.25">
      <c r="A9117" s="104"/>
      <c r="B9117" s="104"/>
    </row>
    <row r="9118" spans="1:2" x14ac:dyDescent="0.25">
      <c r="A9118" s="104"/>
      <c r="B9118" s="104"/>
    </row>
    <row r="9119" spans="1:2" x14ac:dyDescent="0.25">
      <c r="A9119" s="104"/>
      <c r="B9119" s="104"/>
    </row>
    <row r="9120" spans="1:2" x14ac:dyDescent="0.25">
      <c r="A9120" s="104"/>
      <c r="B9120" s="104"/>
    </row>
    <row r="9121" spans="1:2" x14ac:dyDescent="0.25">
      <c r="A9121" s="104"/>
      <c r="B9121" s="104"/>
    </row>
    <row r="9122" spans="1:2" x14ac:dyDescent="0.25">
      <c r="A9122" s="104"/>
      <c r="B9122" s="104"/>
    </row>
    <row r="9123" spans="1:2" x14ac:dyDescent="0.25">
      <c r="A9123" s="104"/>
      <c r="B9123" s="104"/>
    </row>
    <row r="9124" spans="1:2" x14ac:dyDescent="0.25">
      <c r="A9124" s="104"/>
      <c r="B9124" s="104"/>
    </row>
    <row r="9125" spans="1:2" x14ac:dyDescent="0.25">
      <c r="A9125" s="104"/>
      <c r="B9125" s="104"/>
    </row>
    <row r="9126" spans="1:2" x14ac:dyDescent="0.25">
      <c r="A9126" s="104"/>
      <c r="B9126" s="104"/>
    </row>
    <row r="9127" spans="1:2" x14ac:dyDescent="0.25">
      <c r="A9127" s="104"/>
      <c r="B9127" s="104"/>
    </row>
    <row r="9128" spans="1:2" x14ac:dyDescent="0.25">
      <c r="A9128" s="104"/>
      <c r="B9128" s="104"/>
    </row>
    <row r="9129" spans="1:2" x14ac:dyDescent="0.25">
      <c r="A9129" s="104"/>
      <c r="B9129" s="104"/>
    </row>
    <row r="9130" spans="1:2" x14ac:dyDescent="0.25">
      <c r="A9130" s="104"/>
      <c r="B9130" s="104"/>
    </row>
    <row r="9131" spans="1:2" x14ac:dyDescent="0.25">
      <c r="A9131" s="104"/>
      <c r="B9131" s="104"/>
    </row>
    <row r="9132" spans="1:2" x14ac:dyDescent="0.25">
      <c r="A9132" s="104"/>
      <c r="B9132" s="104"/>
    </row>
    <row r="9133" spans="1:2" x14ac:dyDescent="0.25">
      <c r="A9133" s="104"/>
      <c r="B9133" s="104"/>
    </row>
    <row r="9134" spans="1:2" x14ac:dyDescent="0.25">
      <c r="A9134" s="104"/>
      <c r="B9134" s="104"/>
    </row>
    <row r="9135" spans="1:2" x14ac:dyDescent="0.25">
      <c r="A9135" s="104"/>
      <c r="B9135" s="104"/>
    </row>
    <row r="9136" spans="1:2" x14ac:dyDescent="0.25">
      <c r="A9136" s="104"/>
      <c r="B9136" s="104"/>
    </row>
    <row r="9137" spans="1:2" x14ac:dyDescent="0.25">
      <c r="A9137" s="104"/>
      <c r="B9137" s="104"/>
    </row>
    <row r="9138" spans="1:2" x14ac:dyDescent="0.25">
      <c r="A9138" s="104"/>
      <c r="B9138" s="104"/>
    </row>
    <row r="9139" spans="1:2" x14ac:dyDescent="0.25">
      <c r="A9139" s="104"/>
      <c r="B9139" s="104"/>
    </row>
    <row r="9140" spans="1:2" x14ac:dyDescent="0.25">
      <c r="A9140" s="104"/>
      <c r="B9140" s="104"/>
    </row>
    <row r="9141" spans="1:2" x14ac:dyDescent="0.25">
      <c r="A9141" s="104"/>
      <c r="B9141" s="104"/>
    </row>
    <row r="9142" spans="1:2" x14ac:dyDescent="0.25">
      <c r="A9142" s="104"/>
      <c r="B9142" s="104"/>
    </row>
    <row r="9143" spans="1:2" x14ac:dyDescent="0.25">
      <c r="A9143" s="104"/>
      <c r="B9143" s="104"/>
    </row>
    <row r="9144" spans="1:2" x14ac:dyDescent="0.25">
      <c r="A9144" s="104"/>
      <c r="B9144" s="104"/>
    </row>
    <row r="9145" spans="1:2" x14ac:dyDescent="0.25">
      <c r="A9145" s="104"/>
      <c r="B9145" s="104"/>
    </row>
    <row r="9146" spans="1:2" x14ac:dyDescent="0.25">
      <c r="A9146" s="104"/>
      <c r="B9146" s="104"/>
    </row>
    <row r="9147" spans="1:2" x14ac:dyDescent="0.25">
      <c r="A9147" s="104"/>
      <c r="B9147" s="104"/>
    </row>
    <row r="9148" spans="1:2" x14ac:dyDescent="0.25">
      <c r="A9148" s="104"/>
      <c r="B9148" s="104"/>
    </row>
    <row r="9149" spans="1:2" x14ac:dyDescent="0.25">
      <c r="A9149" s="104"/>
      <c r="B9149" s="104"/>
    </row>
    <row r="9150" spans="1:2" x14ac:dyDescent="0.25">
      <c r="A9150" s="104"/>
      <c r="B9150" s="104"/>
    </row>
    <row r="9151" spans="1:2" x14ac:dyDescent="0.25">
      <c r="A9151" s="104"/>
      <c r="B9151" s="104"/>
    </row>
    <row r="9152" spans="1:2" x14ac:dyDescent="0.25">
      <c r="A9152" s="104"/>
      <c r="B9152" s="104"/>
    </row>
    <row r="9153" spans="1:2" x14ac:dyDescent="0.25">
      <c r="A9153" s="104"/>
      <c r="B9153" s="104"/>
    </row>
    <row r="9154" spans="1:2" x14ac:dyDescent="0.25">
      <c r="A9154" s="104"/>
      <c r="B9154" s="104"/>
    </row>
    <row r="9155" spans="1:2" x14ac:dyDescent="0.25">
      <c r="A9155" s="104"/>
      <c r="B9155" s="104"/>
    </row>
    <row r="9156" spans="1:2" x14ac:dyDescent="0.25">
      <c r="A9156" s="104"/>
      <c r="B9156" s="104"/>
    </row>
    <row r="9157" spans="1:2" x14ac:dyDescent="0.25">
      <c r="A9157" s="104"/>
      <c r="B9157" s="104"/>
    </row>
    <row r="9158" spans="1:2" x14ac:dyDescent="0.25">
      <c r="A9158" s="104"/>
      <c r="B9158" s="104"/>
    </row>
    <row r="9159" spans="1:2" x14ac:dyDescent="0.25">
      <c r="A9159" s="104"/>
      <c r="B9159" s="104"/>
    </row>
    <row r="9160" spans="1:2" x14ac:dyDescent="0.25">
      <c r="A9160" s="104"/>
      <c r="B9160" s="104"/>
    </row>
    <row r="9161" spans="1:2" x14ac:dyDescent="0.25">
      <c r="A9161" s="104"/>
      <c r="B9161" s="104"/>
    </row>
    <row r="9162" spans="1:2" x14ac:dyDescent="0.25">
      <c r="A9162" s="104"/>
      <c r="B9162" s="104"/>
    </row>
    <row r="9163" spans="1:2" x14ac:dyDescent="0.25">
      <c r="A9163" s="104"/>
      <c r="B9163" s="104"/>
    </row>
    <row r="9164" spans="1:2" x14ac:dyDescent="0.25">
      <c r="A9164" s="104"/>
      <c r="B9164" s="104"/>
    </row>
    <row r="9165" spans="1:2" x14ac:dyDescent="0.25">
      <c r="A9165" s="104"/>
      <c r="B9165" s="104"/>
    </row>
    <row r="9166" spans="1:2" x14ac:dyDescent="0.25">
      <c r="A9166" s="104"/>
      <c r="B9166" s="104"/>
    </row>
    <row r="9167" spans="1:2" x14ac:dyDescent="0.25">
      <c r="A9167" s="104"/>
      <c r="B9167" s="104"/>
    </row>
    <row r="9168" spans="1:2" x14ac:dyDescent="0.25">
      <c r="A9168" s="104"/>
      <c r="B9168" s="104"/>
    </row>
    <row r="9169" spans="1:2" x14ac:dyDescent="0.25">
      <c r="A9169" s="104"/>
      <c r="B9169" s="104"/>
    </row>
    <row r="9170" spans="1:2" x14ac:dyDescent="0.25">
      <c r="A9170" s="104"/>
      <c r="B9170" s="104"/>
    </row>
    <row r="9171" spans="1:2" x14ac:dyDescent="0.25">
      <c r="A9171" s="104"/>
      <c r="B9171" s="104"/>
    </row>
    <row r="9172" spans="1:2" x14ac:dyDescent="0.25">
      <c r="A9172" s="104"/>
      <c r="B9172" s="104"/>
    </row>
    <row r="9173" spans="1:2" x14ac:dyDescent="0.25">
      <c r="A9173" s="104"/>
      <c r="B9173" s="104"/>
    </row>
    <row r="9174" spans="1:2" x14ac:dyDescent="0.25">
      <c r="A9174" s="104"/>
      <c r="B9174" s="104"/>
    </row>
    <row r="9175" spans="1:2" x14ac:dyDescent="0.25">
      <c r="A9175" s="104"/>
      <c r="B9175" s="104"/>
    </row>
    <row r="9176" spans="1:2" x14ac:dyDescent="0.25">
      <c r="A9176" s="104"/>
      <c r="B9176" s="104"/>
    </row>
    <row r="9177" spans="1:2" x14ac:dyDescent="0.25">
      <c r="A9177" s="104"/>
      <c r="B9177" s="104"/>
    </row>
    <row r="9178" spans="1:2" x14ac:dyDescent="0.25">
      <c r="A9178" s="104"/>
      <c r="B9178" s="104"/>
    </row>
    <row r="9179" spans="1:2" x14ac:dyDescent="0.25">
      <c r="A9179" s="104"/>
      <c r="B9179" s="104"/>
    </row>
    <row r="9180" spans="1:2" x14ac:dyDescent="0.25">
      <c r="A9180" s="104"/>
      <c r="B9180" s="104"/>
    </row>
    <row r="9181" spans="1:2" x14ac:dyDescent="0.25">
      <c r="A9181" s="104"/>
      <c r="B9181" s="104"/>
    </row>
    <row r="9182" spans="1:2" x14ac:dyDescent="0.25">
      <c r="A9182" s="104"/>
      <c r="B9182" s="104"/>
    </row>
    <row r="9183" spans="1:2" x14ac:dyDescent="0.25">
      <c r="A9183" s="104"/>
      <c r="B9183" s="104"/>
    </row>
    <row r="9184" spans="1:2" x14ac:dyDescent="0.25">
      <c r="A9184" s="104"/>
      <c r="B9184" s="104"/>
    </row>
    <row r="9185" spans="1:2" x14ac:dyDescent="0.25">
      <c r="A9185" s="104"/>
      <c r="B9185" s="104"/>
    </row>
    <row r="9186" spans="1:2" x14ac:dyDescent="0.25">
      <c r="A9186" s="104"/>
      <c r="B9186" s="104"/>
    </row>
    <row r="9187" spans="1:2" x14ac:dyDescent="0.25">
      <c r="A9187" s="104"/>
      <c r="B9187" s="104"/>
    </row>
    <row r="9188" spans="1:2" x14ac:dyDescent="0.25">
      <c r="A9188" s="104"/>
      <c r="B9188" s="104"/>
    </row>
    <row r="9189" spans="1:2" x14ac:dyDescent="0.25">
      <c r="A9189" s="104"/>
      <c r="B9189" s="104"/>
    </row>
    <row r="9190" spans="1:2" x14ac:dyDescent="0.25">
      <c r="A9190" s="104"/>
      <c r="B9190" s="104"/>
    </row>
    <row r="9191" spans="1:2" x14ac:dyDescent="0.25">
      <c r="A9191" s="104"/>
      <c r="B9191" s="104"/>
    </row>
    <row r="9192" spans="1:2" x14ac:dyDescent="0.25">
      <c r="A9192" s="104"/>
      <c r="B9192" s="104"/>
    </row>
    <row r="9193" spans="1:2" x14ac:dyDescent="0.25">
      <c r="A9193" s="104"/>
      <c r="B9193" s="104"/>
    </row>
    <row r="9194" spans="1:2" x14ac:dyDescent="0.25">
      <c r="A9194" s="104"/>
      <c r="B9194" s="104"/>
    </row>
    <row r="9195" spans="1:2" x14ac:dyDescent="0.25">
      <c r="A9195" s="104"/>
      <c r="B9195" s="104"/>
    </row>
    <row r="9196" spans="1:2" x14ac:dyDescent="0.25">
      <c r="A9196" s="104"/>
      <c r="B9196" s="104"/>
    </row>
    <row r="9197" spans="1:2" x14ac:dyDescent="0.25">
      <c r="A9197" s="104"/>
      <c r="B9197" s="104"/>
    </row>
    <row r="9198" spans="1:2" x14ac:dyDescent="0.25">
      <c r="A9198" s="104"/>
      <c r="B9198" s="104"/>
    </row>
    <row r="9199" spans="1:2" x14ac:dyDescent="0.25">
      <c r="A9199" s="104"/>
      <c r="B9199" s="104"/>
    </row>
    <row r="9200" spans="1:2" x14ac:dyDescent="0.25">
      <c r="A9200" s="104"/>
      <c r="B9200" s="104"/>
    </row>
    <row r="9201" spans="1:2" x14ac:dyDescent="0.25">
      <c r="A9201" s="104"/>
      <c r="B9201" s="104"/>
    </row>
    <row r="9202" spans="1:2" x14ac:dyDescent="0.25">
      <c r="A9202" s="104"/>
      <c r="B9202" s="104"/>
    </row>
    <row r="9203" spans="1:2" x14ac:dyDescent="0.25">
      <c r="A9203" s="104"/>
      <c r="B9203" s="104"/>
    </row>
    <row r="9204" spans="1:2" x14ac:dyDescent="0.25">
      <c r="A9204" s="104"/>
      <c r="B9204" s="104"/>
    </row>
    <row r="9205" spans="1:2" x14ac:dyDescent="0.25">
      <c r="A9205" s="104"/>
      <c r="B9205" s="104"/>
    </row>
    <row r="9206" spans="1:2" x14ac:dyDescent="0.25">
      <c r="A9206" s="104"/>
      <c r="B9206" s="104"/>
    </row>
    <row r="9207" spans="1:2" x14ac:dyDescent="0.25">
      <c r="A9207" s="104"/>
      <c r="B9207" s="104"/>
    </row>
    <row r="9208" spans="1:2" x14ac:dyDescent="0.25">
      <c r="A9208" s="104"/>
      <c r="B9208" s="104"/>
    </row>
    <row r="9209" spans="1:2" x14ac:dyDescent="0.25">
      <c r="A9209" s="104"/>
      <c r="B9209" s="104"/>
    </row>
    <row r="9210" spans="1:2" x14ac:dyDescent="0.25">
      <c r="A9210" s="104"/>
      <c r="B9210" s="104"/>
    </row>
    <row r="9211" spans="1:2" x14ac:dyDescent="0.25">
      <c r="A9211" s="104"/>
      <c r="B9211" s="104"/>
    </row>
    <row r="9212" spans="1:2" x14ac:dyDescent="0.25">
      <c r="A9212" s="104"/>
      <c r="B9212" s="104"/>
    </row>
    <row r="9213" spans="1:2" x14ac:dyDescent="0.25">
      <c r="A9213" s="104"/>
      <c r="B9213" s="104"/>
    </row>
    <row r="9214" spans="1:2" x14ac:dyDescent="0.25">
      <c r="A9214" s="104"/>
      <c r="B9214" s="104"/>
    </row>
    <row r="9215" spans="1:2" x14ac:dyDescent="0.25">
      <c r="A9215" s="104"/>
      <c r="B9215" s="104"/>
    </row>
    <row r="9216" spans="1:2" x14ac:dyDescent="0.25">
      <c r="A9216" s="104"/>
      <c r="B9216" s="104"/>
    </row>
    <row r="9217" spans="1:2" x14ac:dyDescent="0.25">
      <c r="A9217" s="104"/>
      <c r="B9217" s="104"/>
    </row>
    <row r="9218" spans="1:2" x14ac:dyDescent="0.25">
      <c r="A9218" s="104"/>
      <c r="B9218" s="104"/>
    </row>
    <row r="9219" spans="1:2" x14ac:dyDescent="0.25">
      <c r="A9219" s="104"/>
      <c r="B9219" s="104"/>
    </row>
    <row r="9220" spans="1:2" x14ac:dyDescent="0.25">
      <c r="A9220" s="104"/>
      <c r="B9220" s="104"/>
    </row>
    <row r="9221" spans="1:2" x14ac:dyDescent="0.25">
      <c r="A9221" s="104"/>
      <c r="B9221" s="104"/>
    </row>
    <row r="9222" spans="1:2" x14ac:dyDescent="0.25">
      <c r="A9222" s="104"/>
      <c r="B9222" s="104"/>
    </row>
    <row r="9223" spans="1:2" x14ac:dyDescent="0.25">
      <c r="A9223" s="104"/>
      <c r="B9223" s="104"/>
    </row>
    <row r="9224" spans="1:2" x14ac:dyDescent="0.25">
      <c r="A9224" s="104"/>
      <c r="B9224" s="104"/>
    </row>
    <row r="9225" spans="1:2" x14ac:dyDescent="0.25">
      <c r="A9225" s="104"/>
      <c r="B9225" s="104"/>
    </row>
    <row r="9226" spans="1:2" x14ac:dyDescent="0.25">
      <c r="A9226" s="104"/>
      <c r="B9226" s="104"/>
    </row>
    <row r="9227" spans="1:2" x14ac:dyDescent="0.25">
      <c r="A9227" s="104"/>
      <c r="B9227" s="104"/>
    </row>
    <row r="9228" spans="1:2" x14ac:dyDescent="0.25">
      <c r="A9228" s="104"/>
      <c r="B9228" s="104"/>
    </row>
    <row r="9229" spans="1:2" x14ac:dyDescent="0.25">
      <c r="A9229" s="104"/>
      <c r="B9229" s="104"/>
    </row>
    <row r="9230" spans="1:2" x14ac:dyDescent="0.25">
      <c r="A9230" s="104"/>
      <c r="B9230" s="104"/>
    </row>
    <row r="9231" spans="1:2" x14ac:dyDescent="0.25">
      <c r="A9231" s="104"/>
      <c r="B9231" s="104"/>
    </row>
    <row r="9232" spans="1:2" x14ac:dyDescent="0.25">
      <c r="A9232" s="104"/>
      <c r="B9232" s="104"/>
    </row>
    <row r="9233" spans="1:2" x14ac:dyDescent="0.25">
      <c r="A9233" s="104"/>
      <c r="B9233" s="104"/>
    </row>
    <row r="9234" spans="1:2" x14ac:dyDescent="0.25">
      <c r="A9234" s="104"/>
      <c r="B9234" s="104"/>
    </row>
    <row r="9235" spans="1:2" x14ac:dyDescent="0.25">
      <c r="A9235" s="104"/>
      <c r="B9235" s="104"/>
    </row>
    <row r="9236" spans="1:2" x14ac:dyDescent="0.25">
      <c r="A9236" s="104"/>
      <c r="B9236" s="104"/>
    </row>
    <row r="9237" spans="1:2" x14ac:dyDescent="0.25">
      <c r="A9237" s="104"/>
      <c r="B9237" s="104"/>
    </row>
    <row r="9238" spans="1:2" x14ac:dyDescent="0.25">
      <c r="A9238" s="104"/>
      <c r="B9238" s="104"/>
    </row>
    <row r="9239" spans="1:2" x14ac:dyDescent="0.25">
      <c r="A9239" s="104"/>
      <c r="B9239" s="104"/>
    </row>
    <row r="9240" spans="1:2" x14ac:dyDescent="0.25">
      <c r="A9240" s="104"/>
      <c r="B9240" s="104"/>
    </row>
    <row r="9241" spans="1:2" x14ac:dyDescent="0.25">
      <c r="A9241" s="104"/>
      <c r="B9241" s="104"/>
    </row>
    <row r="9242" spans="1:2" x14ac:dyDescent="0.25">
      <c r="A9242" s="104"/>
      <c r="B9242" s="104"/>
    </row>
    <row r="9243" spans="1:2" x14ac:dyDescent="0.25">
      <c r="A9243" s="104"/>
      <c r="B9243" s="104"/>
    </row>
    <row r="9244" spans="1:2" x14ac:dyDescent="0.25">
      <c r="A9244" s="104"/>
      <c r="B9244" s="104"/>
    </row>
    <row r="9245" spans="1:2" x14ac:dyDescent="0.25">
      <c r="A9245" s="104"/>
      <c r="B9245" s="104"/>
    </row>
    <row r="9246" spans="1:2" x14ac:dyDescent="0.25">
      <c r="A9246" s="104"/>
      <c r="B9246" s="104"/>
    </row>
    <row r="9247" spans="1:2" x14ac:dyDescent="0.25">
      <c r="A9247" s="104"/>
      <c r="B9247" s="104"/>
    </row>
    <row r="9248" spans="1:2" x14ac:dyDescent="0.25">
      <c r="A9248" s="104"/>
      <c r="B9248" s="104"/>
    </row>
    <row r="9249" spans="1:2" x14ac:dyDescent="0.25">
      <c r="A9249" s="104"/>
      <c r="B9249" s="104"/>
    </row>
    <row r="9250" spans="1:2" x14ac:dyDescent="0.25">
      <c r="A9250" s="104"/>
      <c r="B9250" s="104"/>
    </row>
    <row r="9251" spans="1:2" x14ac:dyDescent="0.25">
      <c r="A9251" s="104"/>
      <c r="B9251" s="104"/>
    </row>
    <row r="9252" spans="1:2" x14ac:dyDescent="0.25">
      <c r="A9252" s="104"/>
      <c r="B9252" s="104"/>
    </row>
    <row r="9253" spans="1:2" x14ac:dyDescent="0.25">
      <c r="A9253" s="104"/>
      <c r="B9253" s="104"/>
    </row>
    <row r="9254" spans="1:2" x14ac:dyDescent="0.25">
      <c r="A9254" s="104"/>
      <c r="B9254" s="104"/>
    </row>
    <row r="9255" spans="1:2" x14ac:dyDescent="0.25">
      <c r="A9255" s="104"/>
      <c r="B9255" s="104"/>
    </row>
    <row r="9256" spans="1:2" x14ac:dyDescent="0.25">
      <c r="A9256" s="104"/>
      <c r="B9256" s="104"/>
    </row>
    <row r="9257" spans="1:2" x14ac:dyDescent="0.25">
      <c r="A9257" s="104"/>
      <c r="B9257" s="104"/>
    </row>
    <row r="9258" spans="1:2" x14ac:dyDescent="0.25">
      <c r="A9258" s="104"/>
      <c r="B9258" s="104"/>
    </row>
    <row r="9259" spans="1:2" x14ac:dyDescent="0.25">
      <c r="A9259" s="104"/>
      <c r="B9259" s="104"/>
    </row>
    <row r="9260" spans="1:2" x14ac:dyDescent="0.25">
      <c r="A9260" s="104"/>
      <c r="B9260" s="104"/>
    </row>
    <row r="9261" spans="1:2" x14ac:dyDescent="0.25">
      <c r="A9261" s="104"/>
      <c r="B9261" s="104"/>
    </row>
    <row r="9262" spans="1:2" x14ac:dyDescent="0.25">
      <c r="A9262" s="104"/>
      <c r="B9262" s="104"/>
    </row>
    <row r="9263" spans="1:2" x14ac:dyDescent="0.25">
      <c r="A9263" s="104"/>
      <c r="B9263" s="104"/>
    </row>
    <row r="9264" spans="1:2" x14ac:dyDescent="0.25">
      <c r="A9264" s="104"/>
      <c r="B9264" s="104"/>
    </row>
    <row r="9265" spans="1:2" x14ac:dyDescent="0.25">
      <c r="A9265" s="104"/>
      <c r="B9265" s="104"/>
    </row>
    <row r="9266" spans="1:2" x14ac:dyDescent="0.25">
      <c r="A9266" s="104"/>
      <c r="B9266" s="104"/>
    </row>
    <row r="9267" spans="1:2" x14ac:dyDescent="0.25">
      <c r="A9267" s="104"/>
      <c r="B9267" s="104"/>
    </row>
    <row r="9268" spans="1:2" x14ac:dyDescent="0.25">
      <c r="A9268" s="104"/>
      <c r="B9268" s="104"/>
    </row>
    <row r="9269" spans="1:2" x14ac:dyDescent="0.25">
      <c r="A9269" s="104"/>
      <c r="B9269" s="104"/>
    </row>
    <row r="9270" spans="1:2" x14ac:dyDescent="0.25">
      <c r="A9270" s="104"/>
      <c r="B9270" s="104"/>
    </row>
    <row r="9271" spans="1:2" x14ac:dyDescent="0.25">
      <c r="A9271" s="104"/>
      <c r="B9271" s="104"/>
    </row>
    <row r="9272" spans="1:2" x14ac:dyDescent="0.25">
      <c r="A9272" s="104"/>
      <c r="B9272" s="104"/>
    </row>
    <row r="9273" spans="1:2" x14ac:dyDescent="0.25">
      <c r="A9273" s="104"/>
      <c r="B9273" s="104"/>
    </row>
    <row r="9274" spans="1:2" x14ac:dyDescent="0.25">
      <c r="A9274" s="104"/>
      <c r="B9274" s="104"/>
    </row>
    <row r="9275" spans="1:2" x14ac:dyDescent="0.25">
      <c r="A9275" s="104"/>
      <c r="B9275" s="104"/>
    </row>
    <row r="9276" spans="1:2" x14ac:dyDescent="0.25">
      <c r="A9276" s="104"/>
      <c r="B9276" s="104"/>
    </row>
    <row r="9277" spans="1:2" x14ac:dyDescent="0.25">
      <c r="A9277" s="104"/>
      <c r="B9277" s="104"/>
    </row>
    <row r="9278" spans="1:2" x14ac:dyDescent="0.25">
      <c r="A9278" s="104"/>
      <c r="B9278" s="104"/>
    </row>
    <row r="9279" spans="1:2" x14ac:dyDescent="0.25">
      <c r="A9279" s="104"/>
      <c r="B9279" s="104"/>
    </row>
    <row r="9280" spans="1:2" x14ac:dyDescent="0.25">
      <c r="A9280" s="104"/>
      <c r="B9280" s="104"/>
    </row>
    <row r="9281" spans="1:2" x14ac:dyDescent="0.25">
      <c r="A9281" s="104"/>
      <c r="B9281" s="104"/>
    </row>
    <row r="9282" spans="1:2" x14ac:dyDescent="0.25">
      <c r="A9282" s="104"/>
      <c r="B9282" s="104"/>
    </row>
    <row r="9283" spans="1:2" x14ac:dyDescent="0.25">
      <c r="A9283" s="104"/>
      <c r="B9283" s="104"/>
    </row>
    <row r="9284" spans="1:2" x14ac:dyDescent="0.25">
      <c r="A9284" s="104"/>
      <c r="B9284" s="104"/>
    </row>
    <row r="9285" spans="1:2" x14ac:dyDescent="0.25">
      <c r="A9285" s="104"/>
      <c r="B9285" s="104"/>
    </row>
    <row r="9286" spans="1:2" x14ac:dyDescent="0.25">
      <c r="A9286" s="104"/>
      <c r="B9286" s="104"/>
    </row>
    <row r="9287" spans="1:2" x14ac:dyDescent="0.25">
      <c r="A9287" s="104"/>
      <c r="B9287" s="104"/>
    </row>
    <row r="9288" spans="1:2" x14ac:dyDescent="0.25">
      <c r="A9288" s="104"/>
      <c r="B9288" s="104"/>
    </row>
    <row r="9289" spans="1:2" x14ac:dyDescent="0.25">
      <c r="A9289" s="104"/>
      <c r="B9289" s="104"/>
    </row>
    <row r="9290" spans="1:2" x14ac:dyDescent="0.25">
      <c r="A9290" s="104"/>
      <c r="B9290" s="104"/>
    </row>
    <row r="9291" spans="1:2" x14ac:dyDescent="0.25">
      <c r="A9291" s="104"/>
      <c r="B9291" s="104"/>
    </row>
    <row r="9292" spans="1:2" x14ac:dyDescent="0.25">
      <c r="A9292" s="104"/>
      <c r="B9292" s="104"/>
    </row>
    <row r="9293" spans="1:2" x14ac:dyDescent="0.25">
      <c r="A9293" s="104"/>
      <c r="B9293" s="104"/>
    </row>
    <row r="9294" spans="1:2" x14ac:dyDescent="0.25">
      <c r="A9294" s="104"/>
      <c r="B9294" s="104"/>
    </row>
    <row r="9295" spans="1:2" x14ac:dyDescent="0.25">
      <c r="A9295" s="104"/>
      <c r="B9295" s="104"/>
    </row>
    <row r="9296" spans="1:2" x14ac:dyDescent="0.25">
      <c r="A9296" s="104"/>
      <c r="B9296" s="104"/>
    </row>
    <row r="9297" spans="1:2" x14ac:dyDescent="0.25">
      <c r="A9297" s="104"/>
      <c r="B9297" s="104"/>
    </row>
    <row r="9298" spans="1:2" x14ac:dyDescent="0.25">
      <c r="A9298" s="104"/>
      <c r="B9298" s="104"/>
    </row>
    <row r="9299" spans="1:2" x14ac:dyDescent="0.25">
      <c r="A9299" s="104"/>
      <c r="B9299" s="104"/>
    </row>
    <row r="9300" spans="1:2" x14ac:dyDescent="0.25">
      <c r="A9300" s="104"/>
      <c r="B9300" s="104"/>
    </row>
    <row r="9301" spans="1:2" x14ac:dyDescent="0.25">
      <c r="A9301" s="104"/>
      <c r="B9301" s="104"/>
    </row>
    <row r="9302" spans="1:2" x14ac:dyDescent="0.25">
      <c r="A9302" s="104"/>
      <c r="B9302" s="104"/>
    </row>
    <row r="9303" spans="1:2" x14ac:dyDescent="0.25">
      <c r="A9303" s="104"/>
      <c r="B9303" s="104"/>
    </row>
    <row r="9304" spans="1:2" x14ac:dyDescent="0.25">
      <c r="A9304" s="104"/>
      <c r="B9304" s="104"/>
    </row>
    <row r="9305" spans="1:2" x14ac:dyDescent="0.25">
      <c r="A9305" s="104"/>
      <c r="B9305" s="104"/>
    </row>
    <row r="9306" spans="1:2" x14ac:dyDescent="0.25">
      <c r="A9306" s="104"/>
      <c r="B9306" s="104"/>
    </row>
    <row r="9307" spans="1:2" x14ac:dyDescent="0.25">
      <c r="A9307" s="104"/>
      <c r="B9307" s="104"/>
    </row>
    <row r="9308" spans="1:2" x14ac:dyDescent="0.25">
      <c r="A9308" s="104"/>
      <c r="B9308" s="104"/>
    </row>
    <row r="9309" spans="1:2" x14ac:dyDescent="0.25">
      <c r="A9309" s="104"/>
      <c r="B9309" s="104"/>
    </row>
    <row r="9310" spans="1:2" x14ac:dyDescent="0.25">
      <c r="A9310" s="104"/>
      <c r="B9310" s="104"/>
    </row>
    <row r="9311" spans="1:2" x14ac:dyDescent="0.25">
      <c r="A9311" s="104"/>
      <c r="B9311" s="104"/>
    </row>
    <row r="9312" spans="1:2" x14ac:dyDescent="0.25">
      <c r="A9312" s="104"/>
      <c r="B9312" s="104"/>
    </row>
    <row r="9313" spans="1:2" x14ac:dyDescent="0.25">
      <c r="A9313" s="104"/>
      <c r="B9313" s="104"/>
    </row>
    <row r="9314" spans="1:2" x14ac:dyDescent="0.25">
      <c r="A9314" s="104"/>
      <c r="B9314" s="104"/>
    </row>
    <row r="9315" spans="1:2" x14ac:dyDescent="0.25">
      <c r="A9315" s="104"/>
      <c r="B9315" s="104"/>
    </row>
    <row r="9316" spans="1:2" x14ac:dyDescent="0.25">
      <c r="A9316" s="104"/>
      <c r="B9316" s="104"/>
    </row>
    <row r="9317" spans="1:2" x14ac:dyDescent="0.25">
      <c r="A9317" s="104"/>
      <c r="B9317" s="104"/>
    </row>
    <row r="9318" spans="1:2" x14ac:dyDescent="0.25">
      <c r="A9318" s="104"/>
      <c r="B9318" s="104"/>
    </row>
    <row r="9319" spans="1:2" x14ac:dyDescent="0.25">
      <c r="A9319" s="104"/>
      <c r="B9319" s="104"/>
    </row>
    <row r="9320" spans="1:2" x14ac:dyDescent="0.25">
      <c r="A9320" s="104"/>
      <c r="B9320" s="104"/>
    </row>
    <row r="9321" spans="1:2" x14ac:dyDescent="0.25">
      <c r="A9321" s="104"/>
      <c r="B9321" s="104"/>
    </row>
    <row r="9322" spans="1:2" x14ac:dyDescent="0.25">
      <c r="A9322" s="104"/>
      <c r="B9322" s="104"/>
    </row>
    <row r="9323" spans="1:2" x14ac:dyDescent="0.25">
      <c r="A9323" s="104"/>
      <c r="B9323" s="104"/>
    </row>
    <row r="9324" spans="1:2" x14ac:dyDescent="0.25">
      <c r="A9324" s="104"/>
      <c r="B9324" s="104"/>
    </row>
    <row r="9325" spans="1:2" x14ac:dyDescent="0.25">
      <c r="A9325" s="104"/>
      <c r="B9325" s="104"/>
    </row>
    <row r="9326" spans="1:2" x14ac:dyDescent="0.25">
      <c r="A9326" s="104"/>
      <c r="B9326" s="104"/>
    </row>
    <row r="9327" spans="1:2" x14ac:dyDescent="0.25">
      <c r="A9327" s="104"/>
      <c r="B9327" s="104"/>
    </row>
    <row r="9328" spans="1:2" x14ac:dyDescent="0.25">
      <c r="A9328" s="104"/>
      <c r="B9328" s="104"/>
    </row>
    <row r="9329" spans="1:2" x14ac:dyDescent="0.25">
      <c r="A9329" s="104"/>
      <c r="B9329" s="104"/>
    </row>
    <row r="9330" spans="1:2" x14ac:dyDescent="0.25">
      <c r="A9330" s="104"/>
      <c r="B9330" s="104"/>
    </row>
    <row r="9331" spans="1:2" x14ac:dyDescent="0.25">
      <c r="A9331" s="104"/>
      <c r="B9331" s="104"/>
    </row>
    <row r="9332" spans="1:2" x14ac:dyDescent="0.25">
      <c r="A9332" s="104"/>
      <c r="B9332" s="104"/>
    </row>
    <row r="9333" spans="1:2" x14ac:dyDescent="0.25">
      <c r="A9333" s="104"/>
      <c r="B9333" s="104"/>
    </row>
    <row r="9334" spans="1:2" x14ac:dyDescent="0.25">
      <c r="A9334" s="104"/>
      <c r="B9334" s="104"/>
    </row>
    <row r="9335" spans="1:2" x14ac:dyDescent="0.25">
      <c r="A9335" s="104"/>
      <c r="B9335" s="104"/>
    </row>
    <row r="9336" spans="1:2" x14ac:dyDescent="0.25">
      <c r="A9336" s="104"/>
      <c r="B9336" s="104"/>
    </row>
    <row r="9337" spans="1:2" x14ac:dyDescent="0.25">
      <c r="A9337" s="104"/>
      <c r="B9337" s="104"/>
    </row>
    <row r="9338" spans="1:2" x14ac:dyDescent="0.25">
      <c r="A9338" s="104"/>
      <c r="B9338" s="104"/>
    </row>
    <row r="9339" spans="1:2" x14ac:dyDescent="0.25">
      <c r="A9339" s="104"/>
      <c r="B9339" s="104"/>
    </row>
    <row r="9340" spans="1:2" x14ac:dyDescent="0.25">
      <c r="A9340" s="104"/>
      <c r="B9340" s="104"/>
    </row>
    <row r="9341" spans="1:2" x14ac:dyDescent="0.25">
      <c r="A9341" s="104"/>
      <c r="B9341" s="104"/>
    </row>
    <row r="9342" spans="1:2" x14ac:dyDescent="0.25">
      <c r="A9342" s="104"/>
      <c r="B9342" s="104"/>
    </row>
    <row r="9343" spans="1:2" x14ac:dyDescent="0.25">
      <c r="A9343" s="104"/>
      <c r="B9343" s="104"/>
    </row>
    <row r="9344" spans="1:2" x14ac:dyDescent="0.25">
      <c r="A9344" s="104"/>
      <c r="B9344" s="104"/>
    </row>
    <row r="9345" spans="1:2" x14ac:dyDescent="0.25">
      <c r="A9345" s="104"/>
      <c r="B9345" s="104"/>
    </row>
    <row r="9346" spans="1:2" x14ac:dyDescent="0.25">
      <c r="A9346" s="104"/>
      <c r="B9346" s="104"/>
    </row>
    <row r="9347" spans="1:2" x14ac:dyDescent="0.25">
      <c r="A9347" s="104"/>
      <c r="B9347" s="104"/>
    </row>
    <row r="9348" spans="1:2" x14ac:dyDescent="0.25">
      <c r="A9348" s="104"/>
      <c r="B9348" s="104"/>
    </row>
    <row r="9349" spans="1:2" x14ac:dyDescent="0.25">
      <c r="A9349" s="104"/>
      <c r="B9349" s="104"/>
    </row>
    <row r="9350" spans="1:2" x14ac:dyDescent="0.25">
      <c r="A9350" s="104"/>
      <c r="B9350" s="104"/>
    </row>
    <row r="9351" spans="1:2" x14ac:dyDescent="0.25">
      <c r="A9351" s="104"/>
      <c r="B9351" s="104"/>
    </row>
    <row r="9352" spans="1:2" x14ac:dyDescent="0.25">
      <c r="A9352" s="104"/>
      <c r="B9352" s="104"/>
    </row>
    <row r="9353" spans="1:2" x14ac:dyDescent="0.25">
      <c r="A9353" s="104"/>
      <c r="B9353" s="104"/>
    </row>
    <row r="9354" spans="1:2" x14ac:dyDescent="0.25">
      <c r="A9354" s="104"/>
      <c r="B9354" s="104"/>
    </row>
    <row r="9355" spans="1:2" x14ac:dyDescent="0.25">
      <c r="A9355" s="104"/>
      <c r="B9355" s="104"/>
    </row>
    <row r="9356" spans="1:2" x14ac:dyDescent="0.25">
      <c r="A9356" s="104"/>
      <c r="B9356" s="104"/>
    </row>
    <row r="9357" spans="1:2" x14ac:dyDescent="0.25">
      <c r="A9357" s="104"/>
      <c r="B9357" s="104"/>
    </row>
    <row r="9358" spans="1:2" x14ac:dyDescent="0.25">
      <c r="A9358" s="104"/>
      <c r="B9358" s="104"/>
    </row>
    <row r="9359" spans="1:2" x14ac:dyDescent="0.25">
      <c r="A9359" s="104"/>
      <c r="B9359" s="104"/>
    </row>
    <row r="9360" spans="1:2" x14ac:dyDescent="0.25">
      <c r="A9360" s="104"/>
      <c r="B9360" s="104"/>
    </row>
    <row r="9361" spans="1:2" x14ac:dyDescent="0.25">
      <c r="A9361" s="104"/>
      <c r="B9361" s="104"/>
    </row>
    <row r="9362" spans="1:2" x14ac:dyDescent="0.25">
      <c r="A9362" s="104"/>
      <c r="B9362" s="104"/>
    </row>
    <row r="9363" spans="1:2" x14ac:dyDescent="0.25">
      <c r="A9363" s="104"/>
      <c r="B9363" s="104"/>
    </row>
    <row r="9364" spans="1:2" x14ac:dyDescent="0.25">
      <c r="A9364" s="104"/>
      <c r="B9364" s="104"/>
    </row>
    <row r="9365" spans="1:2" x14ac:dyDescent="0.25">
      <c r="A9365" s="104"/>
      <c r="B9365" s="104"/>
    </row>
    <row r="9366" spans="1:2" x14ac:dyDescent="0.25">
      <c r="A9366" s="104"/>
      <c r="B9366" s="104"/>
    </row>
    <row r="9367" spans="1:2" x14ac:dyDescent="0.25">
      <c r="A9367" s="104"/>
      <c r="B9367" s="104"/>
    </row>
    <row r="9368" spans="1:2" x14ac:dyDescent="0.25">
      <c r="A9368" s="104"/>
      <c r="B9368" s="104"/>
    </row>
    <row r="9369" spans="1:2" x14ac:dyDescent="0.25">
      <c r="A9369" s="104"/>
      <c r="B9369" s="104"/>
    </row>
    <row r="9370" spans="1:2" x14ac:dyDescent="0.25">
      <c r="A9370" s="104"/>
      <c r="B9370" s="104"/>
    </row>
    <row r="9371" spans="1:2" x14ac:dyDescent="0.25">
      <c r="A9371" s="104"/>
      <c r="B9371" s="104"/>
    </row>
    <row r="9372" spans="1:2" x14ac:dyDescent="0.25">
      <c r="A9372" s="104"/>
      <c r="B9372" s="104"/>
    </row>
    <row r="9373" spans="1:2" x14ac:dyDescent="0.25">
      <c r="A9373" s="104"/>
      <c r="B9373" s="104"/>
    </row>
    <row r="9374" spans="1:2" x14ac:dyDescent="0.25">
      <c r="A9374" s="104"/>
      <c r="B9374" s="104"/>
    </row>
    <row r="9375" spans="1:2" x14ac:dyDescent="0.25">
      <c r="A9375" s="104"/>
      <c r="B9375" s="104"/>
    </row>
    <row r="9376" spans="1:2" x14ac:dyDescent="0.25">
      <c r="A9376" s="104"/>
      <c r="B9376" s="104"/>
    </row>
    <row r="9377" spans="1:2" x14ac:dyDescent="0.25">
      <c r="A9377" s="104"/>
      <c r="B9377" s="104"/>
    </row>
    <row r="9378" spans="1:2" x14ac:dyDescent="0.25">
      <c r="A9378" s="104"/>
      <c r="B9378" s="104"/>
    </row>
    <row r="9379" spans="1:2" x14ac:dyDescent="0.25">
      <c r="A9379" s="104"/>
      <c r="B9379" s="104"/>
    </row>
    <row r="9380" spans="1:2" x14ac:dyDescent="0.25">
      <c r="A9380" s="104"/>
      <c r="B9380" s="104"/>
    </row>
    <row r="9381" spans="1:2" x14ac:dyDescent="0.25">
      <c r="A9381" s="104"/>
      <c r="B9381" s="104"/>
    </row>
    <row r="9382" spans="1:2" x14ac:dyDescent="0.25">
      <c r="A9382" s="104"/>
      <c r="B9382" s="104"/>
    </row>
    <row r="9383" spans="1:2" x14ac:dyDescent="0.25">
      <c r="A9383" s="104"/>
      <c r="B9383" s="104"/>
    </row>
    <row r="9384" spans="1:2" x14ac:dyDescent="0.25">
      <c r="A9384" s="104"/>
      <c r="B9384" s="104"/>
    </row>
    <row r="9385" spans="1:2" x14ac:dyDescent="0.25">
      <c r="A9385" s="104"/>
      <c r="B9385" s="104"/>
    </row>
    <row r="9386" spans="1:2" x14ac:dyDescent="0.25">
      <c r="A9386" s="104"/>
      <c r="B9386" s="104"/>
    </row>
    <row r="9387" spans="1:2" x14ac:dyDescent="0.25">
      <c r="A9387" s="104"/>
      <c r="B9387" s="104"/>
    </row>
    <row r="9388" spans="1:2" x14ac:dyDescent="0.25">
      <c r="A9388" s="104"/>
      <c r="B9388" s="104"/>
    </row>
    <row r="9389" spans="1:2" x14ac:dyDescent="0.25">
      <c r="A9389" s="104"/>
      <c r="B9389" s="104"/>
    </row>
    <row r="9390" spans="1:2" x14ac:dyDescent="0.25">
      <c r="A9390" s="104"/>
      <c r="B9390" s="104"/>
    </row>
    <row r="9391" spans="1:2" x14ac:dyDescent="0.25">
      <c r="A9391" s="104"/>
      <c r="B9391" s="104"/>
    </row>
    <row r="9392" spans="1:2" x14ac:dyDescent="0.25">
      <c r="A9392" s="104"/>
      <c r="B9392" s="104"/>
    </row>
    <row r="9393" spans="1:2" x14ac:dyDescent="0.25">
      <c r="A9393" s="104"/>
      <c r="B9393" s="104"/>
    </row>
    <row r="9394" spans="1:2" x14ac:dyDescent="0.25">
      <c r="A9394" s="104"/>
      <c r="B9394" s="104"/>
    </row>
    <row r="9395" spans="1:2" x14ac:dyDescent="0.25">
      <c r="A9395" s="104"/>
      <c r="B9395" s="104"/>
    </row>
    <row r="9396" spans="1:2" x14ac:dyDescent="0.25">
      <c r="A9396" s="104"/>
      <c r="B9396" s="104"/>
    </row>
    <row r="9397" spans="1:2" x14ac:dyDescent="0.25">
      <c r="A9397" s="104"/>
      <c r="B9397" s="104"/>
    </row>
    <row r="9398" spans="1:2" x14ac:dyDescent="0.25">
      <c r="A9398" s="104"/>
      <c r="B9398" s="104"/>
    </row>
    <row r="9399" spans="1:2" x14ac:dyDescent="0.25">
      <c r="A9399" s="104"/>
      <c r="B9399" s="104"/>
    </row>
    <row r="9400" spans="1:2" x14ac:dyDescent="0.25">
      <c r="A9400" s="104"/>
      <c r="B9400" s="104"/>
    </row>
    <row r="9401" spans="1:2" x14ac:dyDescent="0.25">
      <c r="A9401" s="104"/>
      <c r="B9401" s="104"/>
    </row>
    <row r="9402" spans="1:2" x14ac:dyDescent="0.25">
      <c r="A9402" s="104"/>
      <c r="B9402" s="104"/>
    </row>
    <row r="9403" spans="1:2" x14ac:dyDescent="0.25">
      <c r="A9403" s="104"/>
      <c r="B9403" s="104"/>
    </row>
    <row r="9404" spans="1:2" x14ac:dyDescent="0.25">
      <c r="A9404" s="104"/>
      <c r="B9404" s="104"/>
    </row>
    <row r="9405" spans="1:2" x14ac:dyDescent="0.25">
      <c r="A9405" s="104"/>
      <c r="B9405" s="104"/>
    </row>
    <row r="9406" spans="1:2" x14ac:dyDescent="0.25">
      <c r="A9406" s="104"/>
      <c r="B9406" s="104"/>
    </row>
    <row r="9407" spans="1:2" x14ac:dyDescent="0.25">
      <c r="A9407" s="104"/>
      <c r="B9407" s="104"/>
    </row>
    <row r="9408" spans="1:2" x14ac:dyDescent="0.25">
      <c r="A9408" s="104"/>
      <c r="B9408" s="104"/>
    </row>
    <row r="9409" spans="1:2" x14ac:dyDescent="0.25">
      <c r="A9409" s="104"/>
      <c r="B9409" s="104"/>
    </row>
    <row r="9410" spans="1:2" x14ac:dyDescent="0.25">
      <c r="A9410" s="104"/>
      <c r="B9410" s="104"/>
    </row>
    <row r="9411" spans="1:2" x14ac:dyDescent="0.25">
      <c r="A9411" s="104"/>
      <c r="B9411" s="104"/>
    </row>
    <row r="9412" spans="1:2" x14ac:dyDescent="0.25">
      <c r="A9412" s="104"/>
      <c r="B9412" s="104"/>
    </row>
    <row r="9413" spans="1:2" x14ac:dyDescent="0.25">
      <c r="A9413" s="104"/>
      <c r="B9413" s="104"/>
    </row>
    <row r="9414" spans="1:2" x14ac:dyDescent="0.25">
      <c r="A9414" s="104"/>
      <c r="B9414" s="104"/>
    </row>
    <row r="9415" spans="1:2" x14ac:dyDescent="0.25">
      <c r="A9415" s="104"/>
      <c r="B9415" s="104"/>
    </row>
    <row r="9416" spans="1:2" x14ac:dyDescent="0.25">
      <c r="A9416" s="104"/>
      <c r="B9416" s="104"/>
    </row>
    <row r="9417" spans="1:2" x14ac:dyDescent="0.25">
      <c r="A9417" s="104"/>
      <c r="B9417" s="104"/>
    </row>
    <row r="9418" spans="1:2" x14ac:dyDescent="0.25">
      <c r="A9418" s="104"/>
      <c r="B9418" s="104"/>
    </row>
    <row r="9419" spans="1:2" x14ac:dyDescent="0.25">
      <c r="A9419" s="104"/>
      <c r="B9419" s="104"/>
    </row>
    <row r="9420" spans="1:2" x14ac:dyDescent="0.25">
      <c r="A9420" s="104"/>
      <c r="B9420" s="104"/>
    </row>
    <row r="9421" spans="1:2" x14ac:dyDescent="0.25">
      <c r="A9421" s="104"/>
      <c r="B9421" s="104"/>
    </row>
    <row r="9422" spans="1:2" x14ac:dyDescent="0.25">
      <c r="A9422" s="104"/>
      <c r="B9422" s="104"/>
    </row>
    <row r="9423" spans="1:2" x14ac:dyDescent="0.25">
      <c r="A9423" s="104"/>
      <c r="B9423" s="104"/>
    </row>
    <row r="9424" spans="1:2" x14ac:dyDescent="0.25">
      <c r="A9424" s="104"/>
      <c r="B9424" s="104"/>
    </row>
    <row r="9425" spans="1:2" x14ac:dyDescent="0.25">
      <c r="A9425" s="104"/>
      <c r="B9425" s="104"/>
    </row>
    <row r="9426" spans="1:2" x14ac:dyDescent="0.25">
      <c r="A9426" s="104"/>
      <c r="B9426" s="104"/>
    </row>
    <row r="9427" spans="1:2" x14ac:dyDescent="0.25">
      <c r="A9427" s="104"/>
      <c r="B9427" s="104"/>
    </row>
    <row r="9428" spans="1:2" x14ac:dyDescent="0.25">
      <c r="A9428" s="104"/>
      <c r="B9428" s="104"/>
    </row>
    <row r="9429" spans="1:2" x14ac:dyDescent="0.25">
      <c r="A9429" s="104"/>
      <c r="B9429" s="104"/>
    </row>
    <row r="9430" spans="1:2" x14ac:dyDescent="0.25">
      <c r="A9430" s="104"/>
      <c r="B9430" s="104"/>
    </row>
    <row r="9431" spans="1:2" x14ac:dyDescent="0.25">
      <c r="A9431" s="104"/>
      <c r="B9431" s="104"/>
    </row>
    <row r="9432" spans="1:2" x14ac:dyDescent="0.25">
      <c r="A9432" s="104"/>
      <c r="B9432" s="104"/>
    </row>
    <row r="9433" spans="1:2" x14ac:dyDescent="0.25">
      <c r="A9433" s="104"/>
      <c r="B9433" s="104"/>
    </row>
    <row r="9434" spans="1:2" x14ac:dyDescent="0.25">
      <c r="A9434" s="104"/>
      <c r="B9434" s="104"/>
    </row>
    <row r="9435" spans="1:2" x14ac:dyDescent="0.25">
      <c r="A9435" s="104"/>
      <c r="B9435" s="104"/>
    </row>
    <row r="9436" spans="1:2" x14ac:dyDescent="0.25">
      <c r="A9436" s="104"/>
      <c r="B9436" s="104"/>
    </row>
    <row r="9437" spans="1:2" x14ac:dyDescent="0.25">
      <c r="A9437" s="104"/>
      <c r="B9437" s="104"/>
    </row>
    <row r="9438" spans="1:2" x14ac:dyDescent="0.25">
      <c r="A9438" s="104"/>
      <c r="B9438" s="104"/>
    </row>
    <row r="9439" spans="1:2" x14ac:dyDescent="0.25">
      <c r="A9439" s="104"/>
      <c r="B9439" s="104"/>
    </row>
    <row r="9440" spans="1:2" x14ac:dyDescent="0.25">
      <c r="A9440" s="104"/>
      <c r="B9440" s="104"/>
    </row>
    <row r="9441" spans="1:2" x14ac:dyDescent="0.25">
      <c r="A9441" s="104"/>
      <c r="B9441" s="104"/>
    </row>
    <row r="9442" spans="1:2" x14ac:dyDescent="0.25">
      <c r="A9442" s="104"/>
      <c r="B9442" s="104"/>
    </row>
    <row r="9443" spans="1:2" x14ac:dyDescent="0.25">
      <c r="A9443" s="104"/>
      <c r="B9443" s="104"/>
    </row>
    <row r="9444" spans="1:2" x14ac:dyDescent="0.25">
      <c r="A9444" s="104"/>
      <c r="B9444" s="104"/>
    </row>
    <row r="9445" spans="1:2" x14ac:dyDescent="0.25">
      <c r="A9445" s="104"/>
      <c r="B9445" s="104"/>
    </row>
    <row r="9446" spans="1:2" x14ac:dyDescent="0.25">
      <c r="A9446" s="104"/>
      <c r="B9446" s="104"/>
    </row>
    <row r="9447" spans="1:2" x14ac:dyDescent="0.25">
      <c r="A9447" s="104"/>
      <c r="B9447" s="104"/>
    </row>
    <row r="9448" spans="1:2" x14ac:dyDescent="0.25">
      <c r="A9448" s="104"/>
      <c r="B9448" s="104"/>
    </row>
    <row r="9449" spans="1:2" x14ac:dyDescent="0.25">
      <c r="A9449" s="104"/>
      <c r="B9449" s="104"/>
    </row>
    <row r="9450" spans="1:2" x14ac:dyDescent="0.25">
      <c r="A9450" s="104"/>
      <c r="B9450" s="104"/>
    </row>
    <row r="9451" spans="1:2" x14ac:dyDescent="0.25">
      <c r="A9451" s="104"/>
      <c r="B9451" s="104"/>
    </row>
    <row r="9452" spans="1:2" x14ac:dyDescent="0.25">
      <c r="A9452" s="104"/>
      <c r="B9452" s="104"/>
    </row>
    <row r="9453" spans="1:2" x14ac:dyDescent="0.25">
      <c r="A9453" s="104"/>
      <c r="B9453" s="104"/>
    </row>
    <row r="9454" spans="1:2" x14ac:dyDescent="0.25">
      <c r="A9454" s="104"/>
      <c r="B9454" s="104"/>
    </row>
    <row r="9455" spans="1:2" x14ac:dyDescent="0.25">
      <c r="A9455" s="104"/>
      <c r="B9455" s="104"/>
    </row>
    <row r="9456" spans="1:2" x14ac:dyDescent="0.25">
      <c r="A9456" s="104"/>
      <c r="B9456" s="104"/>
    </row>
    <row r="9457" spans="1:2" x14ac:dyDescent="0.25">
      <c r="A9457" s="104"/>
      <c r="B9457" s="104"/>
    </row>
    <row r="9458" spans="1:2" x14ac:dyDescent="0.25">
      <c r="A9458" s="104"/>
      <c r="B9458" s="104"/>
    </row>
    <row r="9459" spans="1:2" x14ac:dyDescent="0.25">
      <c r="A9459" s="104"/>
      <c r="B9459" s="104"/>
    </row>
    <row r="9460" spans="1:2" x14ac:dyDescent="0.25">
      <c r="A9460" s="104"/>
      <c r="B9460" s="104"/>
    </row>
    <row r="9461" spans="1:2" x14ac:dyDescent="0.25">
      <c r="A9461" s="104"/>
      <c r="B9461" s="104"/>
    </row>
    <row r="9462" spans="1:2" x14ac:dyDescent="0.25">
      <c r="A9462" s="104"/>
      <c r="B9462" s="104"/>
    </row>
    <row r="9463" spans="1:2" x14ac:dyDescent="0.25">
      <c r="A9463" s="104"/>
      <c r="B9463" s="104"/>
    </row>
    <row r="9464" spans="1:2" x14ac:dyDescent="0.25">
      <c r="A9464" s="104"/>
      <c r="B9464" s="104"/>
    </row>
    <row r="9465" spans="1:2" x14ac:dyDescent="0.25">
      <c r="A9465" s="104"/>
      <c r="B9465" s="104"/>
    </row>
    <row r="9466" spans="1:2" x14ac:dyDescent="0.25">
      <c r="A9466" s="104"/>
      <c r="B9466" s="104"/>
    </row>
    <row r="9467" spans="1:2" x14ac:dyDescent="0.25">
      <c r="A9467" s="104"/>
      <c r="B9467" s="104"/>
    </row>
    <row r="9468" spans="1:2" x14ac:dyDescent="0.25">
      <c r="A9468" s="104"/>
      <c r="B9468" s="104"/>
    </row>
    <row r="9469" spans="1:2" x14ac:dyDescent="0.25">
      <c r="A9469" s="104"/>
      <c r="B9469" s="104"/>
    </row>
    <row r="9470" spans="1:2" x14ac:dyDescent="0.25">
      <c r="A9470" s="104"/>
      <c r="B9470" s="104"/>
    </row>
    <row r="9471" spans="1:2" x14ac:dyDescent="0.25">
      <c r="A9471" s="104"/>
      <c r="B9471" s="104"/>
    </row>
    <row r="9472" spans="1:2" x14ac:dyDescent="0.25">
      <c r="A9472" s="104"/>
      <c r="B9472" s="104"/>
    </row>
    <row r="9473" spans="1:2" x14ac:dyDescent="0.25">
      <c r="A9473" s="104"/>
      <c r="B9473" s="104"/>
    </row>
    <row r="9474" spans="1:2" x14ac:dyDescent="0.25">
      <c r="A9474" s="104"/>
      <c r="B9474" s="104"/>
    </row>
    <row r="9475" spans="1:2" x14ac:dyDescent="0.25">
      <c r="A9475" s="104"/>
      <c r="B9475" s="104"/>
    </row>
    <row r="9476" spans="1:2" x14ac:dyDescent="0.25">
      <c r="A9476" s="104"/>
      <c r="B9476" s="104"/>
    </row>
    <row r="9477" spans="1:2" x14ac:dyDescent="0.25">
      <c r="A9477" s="104"/>
      <c r="B9477" s="104"/>
    </row>
    <row r="9478" spans="1:2" x14ac:dyDescent="0.25">
      <c r="A9478" s="104"/>
      <c r="B9478" s="104"/>
    </row>
    <row r="9479" spans="1:2" x14ac:dyDescent="0.25">
      <c r="A9479" s="104"/>
      <c r="B9479" s="104"/>
    </row>
    <row r="9480" spans="1:2" x14ac:dyDescent="0.25">
      <c r="A9480" s="104"/>
      <c r="B9480" s="104"/>
    </row>
    <row r="9481" spans="1:2" x14ac:dyDescent="0.25">
      <c r="A9481" s="104"/>
      <c r="B9481" s="104"/>
    </row>
    <row r="9482" spans="1:2" x14ac:dyDescent="0.25">
      <c r="A9482" s="104"/>
      <c r="B9482" s="104"/>
    </row>
    <row r="9483" spans="1:2" x14ac:dyDescent="0.25">
      <c r="A9483" s="104"/>
      <c r="B9483" s="104"/>
    </row>
    <row r="9484" spans="1:2" x14ac:dyDescent="0.25">
      <c r="A9484" s="104"/>
      <c r="B9484" s="104"/>
    </row>
    <row r="9485" spans="1:2" x14ac:dyDescent="0.25">
      <c r="A9485" s="104"/>
      <c r="B9485" s="104"/>
    </row>
    <row r="9486" spans="1:2" x14ac:dyDescent="0.25">
      <c r="A9486" s="104"/>
      <c r="B9486" s="104"/>
    </row>
    <row r="9487" spans="1:2" x14ac:dyDescent="0.25">
      <c r="A9487" s="104"/>
      <c r="B9487" s="104"/>
    </row>
    <row r="9488" spans="1:2" x14ac:dyDescent="0.25">
      <c r="A9488" s="104"/>
      <c r="B9488" s="104"/>
    </row>
    <row r="9489" spans="1:2" x14ac:dyDescent="0.25">
      <c r="A9489" s="104"/>
      <c r="B9489" s="104"/>
    </row>
    <row r="9490" spans="1:2" x14ac:dyDescent="0.25">
      <c r="A9490" s="104"/>
      <c r="B9490" s="104"/>
    </row>
    <row r="9491" spans="1:2" x14ac:dyDescent="0.25">
      <c r="A9491" s="104"/>
      <c r="B9491" s="104"/>
    </row>
    <row r="9492" spans="1:2" x14ac:dyDescent="0.25">
      <c r="A9492" s="104"/>
      <c r="B9492" s="104"/>
    </row>
    <row r="9493" spans="1:2" x14ac:dyDescent="0.25">
      <c r="A9493" s="104"/>
      <c r="B9493" s="104"/>
    </row>
    <row r="9494" spans="1:2" x14ac:dyDescent="0.25">
      <c r="A9494" s="104"/>
      <c r="B9494" s="104"/>
    </row>
    <row r="9495" spans="1:2" x14ac:dyDescent="0.25">
      <c r="A9495" s="104"/>
      <c r="B9495" s="104"/>
    </row>
    <row r="9496" spans="1:2" x14ac:dyDescent="0.25">
      <c r="A9496" s="104"/>
      <c r="B9496" s="104"/>
    </row>
    <row r="9497" spans="1:2" x14ac:dyDescent="0.25">
      <c r="A9497" s="104"/>
      <c r="B9497" s="104"/>
    </row>
    <row r="9498" spans="1:2" x14ac:dyDescent="0.25">
      <c r="A9498" s="104"/>
      <c r="B9498" s="104"/>
    </row>
    <row r="9499" spans="1:2" x14ac:dyDescent="0.25">
      <c r="A9499" s="104"/>
      <c r="B9499" s="104"/>
    </row>
    <row r="9500" spans="1:2" x14ac:dyDescent="0.25">
      <c r="A9500" s="104"/>
      <c r="B9500" s="104"/>
    </row>
    <row r="9501" spans="1:2" x14ac:dyDescent="0.25">
      <c r="A9501" s="104"/>
      <c r="B9501" s="104"/>
    </row>
    <row r="9502" spans="1:2" x14ac:dyDescent="0.25">
      <c r="A9502" s="104"/>
      <c r="B9502" s="104"/>
    </row>
    <row r="9503" spans="1:2" x14ac:dyDescent="0.25">
      <c r="A9503" s="104"/>
      <c r="B9503" s="104"/>
    </row>
    <row r="9504" spans="1:2" x14ac:dyDescent="0.25">
      <c r="A9504" s="104"/>
      <c r="B9504" s="104"/>
    </row>
    <row r="9505" spans="1:2" x14ac:dyDescent="0.25">
      <c r="A9505" s="104"/>
      <c r="B9505" s="104"/>
    </row>
    <row r="9506" spans="1:2" x14ac:dyDescent="0.25">
      <c r="A9506" s="104"/>
      <c r="B9506" s="104"/>
    </row>
    <row r="9507" spans="1:2" x14ac:dyDescent="0.25">
      <c r="A9507" s="104"/>
      <c r="B9507" s="104"/>
    </row>
    <row r="9508" spans="1:2" x14ac:dyDescent="0.25">
      <c r="A9508" s="104"/>
      <c r="B9508" s="104"/>
    </row>
    <row r="9509" spans="1:2" x14ac:dyDescent="0.25">
      <c r="A9509" s="104"/>
      <c r="B9509" s="104"/>
    </row>
    <row r="9510" spans="1:2" x14ac:dyDescent="0.25">
      <c r="A9510" s="104"/>
      <c r="B9510" s="104"/>
    </row>
    <row r="9511" spans="1:2" x14ac:dyDescent="0.25">
      <c r="A9511" s="104"/>
      <c r="B9511" s="104"/>
    </row>
    <row r="9512" spans="1:2" x14ac:dyDescent="0.25">
      <c r="A9512" s="104"/>
      <c r="B9512" s="104"/>
    </row>
    <row r="9513" spans="1:2" x14ac:dyDescent="0.25">
      <c r="A9513" s="104"/>
      <c r="B9513" s="104"/>
    </row>
    <row r="9514" spans="1:2" x14ac:dyDescent="0.25">
      <c r="A9514" s="104"/>
      <c r="B9514" s="104"/>
    </row>
    <row r="9515" spans="1:2" x14ac:dyDescent="0.25">
      <c r="A9515" s="104"/>
      <c r="B9515" s="104"/>
    </row>
    <row r="9516" spans="1:2" x14ac:dyDescent="0.25">
      <c r="A9516" s="104"/>
      <c r="B9516" s="104"/>
    </row>
    <row r="9517" spans="1:2" x14ac:dyDescent="0.25">
      <c r="A9517" s="104"/>
      <c r="B9517" s="104"/>
    </row>
    <row r="9518" spans="1:2" x14ac:dyDescent="0.25">
      <c r="A9518" s="104"/>
      <c r="B9518" s="104"/>
    </row>
    <row r="9519" spans="1:2" x14ac:dyDescent="0.25">
      <c r="A9519" s="104"/>
      <c r="B9519" s="104"/>
    </row>
    <row r="9520" spans="1:2" x14ac:dyDescent="0.25">
      <c r="A9520" s="104"/>
      <c r="B9520" s="104"/>
    </row>
    <row r="9521" spans="1:2" x14ac:dyDescent="0.25">
      <c r="A9521" s="104"/>
      <c r="B9521" s="104"/>
    </row>
    <row r="9522" spans="1:2" x14ac:dyDescent="0.25">
      <c r="A9522" s="104"/>
      <c r="B9522" s="104"/>
    </row>
    <row r="9523" spans="1:2" x14ac:dyDescent="0.25">
      <c r="A9523" s="104"/>
      <c r="B9523" s="104"/>
    </row>
    <row r="9524" spans="1:2" x14ac:dyDescent="0.25">
      <c r="A9524" s="104"/>
      <c r="B9524" s="104"/>
    </row>
    <row r="9525" spans="1:2" x14ac:dyDescent="0.25">
      <c r="A9525" s="104"/>
      <c r="B9525" s="104"/>
    </row>
    <row r="9526" spans="1:2" x14ac:dyDescent="0.25">
      <c r="A9526" s="104"/>
      <c r="B9526" s="104"/>
    </row>
    <row r="9527" spans="1:2" x14ac:dyDescent="0.25">
      <c r="A9527" s="104"/>
      <c r="B9527" s="104"/>
    </row>
    <row r="9528" spans="1:2" x14ac:dyDescent="0.25">
      <c r="A9528" s="104"/>
      <c r="B9528" s="104"/>
    </row>
    <row r="9529" spans="1:2" x14ac:dyDescent="0.25">
      <c r="A9529" s="104"/>
      <c r="B9529" s="104"/>
    </row>
    <row r="9530" spans="1:2" x14ac:dyDescent="0.25">
      <c r="A9530" s="104"/>
      <c r="B9530" s="104"/>
    </row>
    <row r="9531" spans="1:2" x14ac:dyDescent="0.25">
      <c r="A9531" s="104"/>
      <c r="B9531" s="104"/>
    </row>
    <row r="9532" spans="1:2" x14ac:dyDescent="0.25">
      <c r="A9532" s="104"/>
      <c r="B9532" s="104"/>
    </row>
    <row r="9533" spans="1:2" x14ac:dyDescent="0.25">
      <c r="A9533" s="104"/>
      <c r="B9533" s="104"/>
    </row>
    <row r="9534" spans="1:2" x14ac:dyDescent="0.25">
      <c r="A9534" s="104"/>
      <c r="B9534" s="104"/>
    </row>
    <row r="9535" spans="1:2" x14ac:dyDescent="0.25">
      <c r="A9535" s="104"/>
      <c r="B9535" s="104"/>
    </row>
    <row r="9536" spans="1:2" x14ac:dyDescent="0.25">
      <c r="A9536" s="104"/>
      <c r="B9536" s="104"/>
    </row>
    <row r="9537" spans="1:2" x14ac:dyDescent="0.25">
      <c r="A9537" s="104"/>
      <c r="B9537" s="104"/>
    </row>
    <row r="9538" spans="1:2" x14ac:dyDescent="0.25">
      <c r="A9538" s="104"/>
      <c r="B9538" s="104"/>
    </row>
    <row r="9539" spans="1:2" x14ac:dyDescent="0.25">
      <c r="A9539" s="104"/>
      <c r="B9539" s="104"/>
    </row>
    <row r="9540" spans="1:2" x14ac:dyDescent="0.25">
      <c r="A9540" s="104"/>
      <c r="B9540" s="104"/>
    </row>
    <row r="9541" spans="1:2" x14ac:dyDescent="0.25">
      <c r="A9541" s="104"/>
      <c r="B9541" s="104"/>
    </row>
    <row r="9542" spans="1:2" x14ac:dyDescent="0.25">
      <c r="A9542" s="104"/>
      <c r="B9542" s="104"/>
    </row>
    <row r="9543" spans="1:2" x14ac:dyDescent="0.25">
      <c r="A9543" s="104"/>
      <c r="B9543" s="104"/>
    </row>
    <row r="9544" spans="1:2" x14ac:dyDescent="0.25">
      <c r="A9544" s="104"/>
      <c r="B9544" s="104"/>
    </row>
    <row r="9545" spans="1:2" x14ac:dyDescent="0.25">
      <c r="A9545" s="104"/>
      <c r="B9545" s="104"/>
    </row>
    <row r="9546" spans="1:2" x14ac:dyDescent="0.25">
      <c r="A9546" s="104"/>
      <c r="B9546" s="104"/>
    </row>
    <row r="9547" spans="1:2" x14ac:dyDescent="0.25">
      <c r="A9547" s="104"/>
      <c r="B9547" s="104"/>
    </row>
    <row r="9548" spans="1:2" x14ac:dyDescent="0.25">
      <c r="A9548" s="104"/>
      <c r="B9548" s="104"/>
    </row>
    <row r="9549" spans="1:2" x14ac:dyDescent="0.25">
      <c r="A9549" s="104"/>
      <c r="B9549" s="104"/>
    </row>
    <row r="9550" spans="1:2" x14ac:dyDescent="0.25">
      <c r="A9550" s="104"/>
      <c r="B9550" s="104"/>
    </row>
    <row r="9551" spans="1:2" x14ac:dyDescent="0.25">
      <c r="A9551" s="104"/>
      <c r="B9551" s="104"/>
    </row>
    <row r="9552" spans="1:2" x14ac:dyDescent="0.25">
      <c r="A9552" s="104"/>
      <c r="B9552" s="104"/>
    </row>
    <row r="9553" spans="1:2" x14ac:dyDescent="0.25">
      <c r="A9553" s="104"/>
      <c r="B9553" s="104"/>
    </row>
    <row r="9554" spans="1:2" x14ac:dyDescent="0.25">
      <c r="A9554" s="104"/>
      <c r="B9554" s="104"/>
    </row>
    <row r="9555" spans="1:2" x14ac:dyDescent="0.25">
      <c r="A9555" s="104"/>
      <c r="B9555" s="104"/>
    </row>
    <row r="9556" spans="1:2" x14ac:dyDescent="0.25">
      <c r="A9556" s="104"/>
      <c r="B9556" s="104"/>
    </row>
    <row r="9557" spans="1:2" x14ac:dyDescent="0.25">
      <c r="A9557" s="104"/>
      <c r="B9557" s="104"/>
    </row>
    <row r="9558" spans="1:2" x14ac:dyDescent="0.25">
      <c r="A9558" s="104"/>
      <c r="B9558" s="104"/>
    </row>
    <row r="9559" spans="1:2" x14ac:dyDescent="0.25">
      <c r="A9559" s="104"/>
      <c r="B9559" s="104"/>
    </row>
    <row r="9560" spans="1:2" x14ac:dyDescent="0.25">
      <c r="A9560" s="104"/>
      <c r="B9560" s="104"/>
    </row>
    <row r="9561" spans="1:2" x14ac:dyDescent="0.25">
      <c r="A9561" s="104"/>
      <c r="B9561" s="104"/>
    </row>
    <row r="9562" spans="1:2" x14ac:dyDescent="0.25">
      <c r="A9562" s="104"/>
      <c r="B9562" s="104"/>
    </row>
    <row r="9563" spans="1:2" x14ac:dyDescent="0.25">
      <c r="A9563" s="104"/>
      <c r="B9563" s="104"/>
    </row>
    <row r="9564" spans="1:2" x14ac:dyDescent="0.25">
      <c r="A9564" s="104"/>
      <c r="B9564" s="104"/>
    </row>
    <row r="9565" spans="1:2" x14ac:dyDescent="0.25">
      <c r="A9565" s="104"/>
      <c r="B9565" s="104"/>
    </row>
    <row r="9566" spans="1:2" x14ac:dyDescent="0.25">
      <c r="A9566" s="104"/>
      <c r="B9566" s="104"/>
    </row>
    <row r="9567" spans="1:2" x14ac:dyDescent="0.25">
      <c r="A9567" s="104"/>
      <c r="B9567" s="104"/>
    </row>
    <row r="9568" spans="1:2" x14ac:dyDescent="0.25">
      <c r="A9568" s="104"/>
      <c r="B9568" s="104"/>
    </row>
    <row r="9569" spans="1:2" x14ac:dyDescent="0.25">
      <c r="A9569" s="104"/>
      <c r="B9569" s="104"/>
    </row>
    <row r="9570" spans="1:2" x14ac:dyDescent="0.25">
      <c r="A9570" s="104"/>
      <c r="B9570" s="104"/>
    </row>
    <row r="9571" spans="1:2" x14ac:dyDescent="0.25">
      <c r="A9571" s="104"/>
      <c r="B9571" s="104"/>
    </row>
    <row r="9572" spans="1:2" x14ac:dyDescent="0.25">
      <c r="A9572" s="104"/>
      <c r="B9572" s="104"/>
    </row>
    <row r="9573" spans="1:2" x14ac:dyDescent="0.25">
      <c r="A9573" s="104"/>
      <c r="B9573" s="104"/>
    </row>
    <row r="9574" spans="1:2" x14ac:dyDescent="0.25">
      <c r="A9574" s="104"/>
      <c r="B9574" s="104"/>
    </row>
    <row r="9575" spans="1:2" x14ac:dyDescent="0.25">
      <c r="A9575" s="104"/>
      <c r="B9575" s="104"/>
    </row>
    <row r="9576" spans="1:2" x14ac:dyDescent="0.25">
      <c r="A9576" s="104"/>
      <c r="B9576" s="104"/>
    </row>
    <row r="9577" spans="1:2" x14ac:dyDescent="0.25">
      <c r="A9577" s="104"/>
      <c r="B9577" s="104"/>
    </row>
    <row r="9578" spans="1:2" x14ac:dyDescent="0.25">
      <c r="A9578" s="104"/>
      <c r="B9578" s="104"/>
    </row>
    <row r="9579" spans="1:2" x14ac:dyDescent="0.25">
      <c r="A9579" s="104"/>
      <c r="B9579" s="104"/>
    </row>
    <row r="9580" spans="1:2" x14ac:dyDescent="0.25">
      <c r="A9580" s="104"/>
      <c r="B9580" s="104"/>
    </row>
    <row r="9581" spans="1:2" x14ac:dyDescent="0.25">
      <c r="A9581" s="104"/>
      <c r="B9581" s="104"/>
    </row>
    <row r="9582" spans="1:2" x14ac:dyDescent="0.25">
      <c r="A9582" s="104"/>
      <c r="B9582" s="104"/>
    </row>
    <row r="9583" spans="1:2" x14ac:dyDescent="0.25">
      <c r="A9583" s="104"/>
      <c r="B9583" s="104"/>
    </row>
    <row r="9584" spans="1:2" x14ac:dyDescent="0.25">
      <c r="A9584" s="104"/>
      <c r="B9584" s="104"/>
    </row>
    <row r="9585" spans="1:2" x14ac:dyDescent="0.25">
      <c r="A9585" s="104"/>
      <c r="B9585" s="104"/>
    </row>
    <row r="9586" spans="1:2" x14ac:dyDescent="0.25">
      <c r="A9586" s="104"/>
      <c r="B9586" s="104"/>
    </row>
    <row r="9587" spans="1:2" x14ac:dyDescent="0.25">
      <c r="A9587" s="104"/>
      <c r="B9587" s="104"/>
    </row>
    <row r="9588" spans="1:2" x14ac:dyDescent="0.25">
      <c r="A9588" s="104"/>
      <c r="B9588" s="104"/>
    </row>
    <row r="9589" spans="1:2" x14ac:dyDescent="0.25">
      <c r="A9589" s="104"/>
      <c r="B9589" s="104"/>
    </row>
    <row r="9590" spans="1:2" x14ac:dyDescent="0.25">
      <c r="A9590" s="104"/>
      <c r="B9590" s="104"/>
    </row>
    <row r="9591" spans="1:2" x14ac:dyDescent="0.25">
      <c r="A9591" s="104"/>
      <c r="B9591" s="104"/>
    </row>
    <row r="9592" spans="1:2" x14ac:dyDescent="0.25">
      <c r="A9592" s="104"/>
      <c r="B9592" s="104"/>
    </row>
    <row r="9593" spans="1:2" x14ac:dyDescent="0.25">
      <c r="A9593" s="104"/>
      <c r="B9593" s="104"/>
    </row>
    <row r="9594" spans="1:2" x14ac:dyDescent="0.25">
      <c r="A9594" s="104"/>
      <c r="B9594" s="104"/>
    </row>
    <row r="9595" spans="1:2" x14ac:dyDescent="0.25">
      <c r="A9595" s="104"/>
      <c r="B9595" s="104"/>
    </row>
    <row r="9596" spans="1:2" x14ac:dyDescent="0.25">
      <c r="A9596" s="104"/>
      <c r="B9596" s="104"/>
    </row>
    <row r="9597" spans="1:2" x14ac:dyDescent="0.25">
      <c r="A9597" s="104"/>
      <c r="B9597" s="104"/>
    </row>
    <row r="9598" spans="1:2" x14ac:dyDescent="0.25">
      <c r="A9598" s="104"/>
      <c r="B9598" s="104"/>
    </row>
    <row r="9599" spans="1:2" x14ac:dyDescent="0.25">
      <c r="A9599" s="104"/>
      <c r="B9599" s="104"/>
    </row>
    <row r="9600" spans="1:2" x14ac:dyDescent="0.25">
      <c r="A9600" s="104"/>
      <c r="B9600" s="104"/>
    </row>
    <row r="9601" spans="1:2" x14ac:dyDescent="0.25">
      <c r="A9601" s="104"/>
      <c r="B9601" s="104"/>
    </row>
    <row r="9602" spans="1:2" x14ac:dyDescent="0.25">
      <c r="A9602" s="104"/>
      <c r="B9602" s="104"/>
    </row>
    <row r="9603" spans="1:2" x14ac:dyDescent="0.25">
      <c r="A9603" s="104"/>
      <c r="B9603" s="104"/>
    </row>
    <row r="9604" spans="1:2" x14ac:dyDescent="0.25">
      <c r="A9604" s="104"/>
      <c r="B9604" s="104"/>
    </row>
    <row r="9605" spans="1:2" x14ac:dyDescent="0.25">
      <c r="A9605" s="104"/>
      <c r="B9605" s="104"/>
    </row>
    <row r="9606" spans="1:2" x14ac:dyDescent="0.25">
      <c r="A9606" s="104"/>
      <c r="B9606" s="104"/>
    </row>
    <row r="9607" spans="1:2" x14ac:dyDescent="0.25">
      <c r="A9607" s="104"/>
      <c r="B9607" s="104"/>
    </row>
    <row r="9608" spans="1:2" x14ac:dyDescent="0.25">
      <c r="A9608" s="104"/>
      <c r="B9608" s="104"/>
    </row>
    <row r="9609" spans="1:2" x14ac:dyDescent="0.25">
      <c r="A9609" s="104"/>
      <c r="B9609" s="104"/>
    </row>
    <row r="9610" spans="1:2" x14ac:dyDescent="0.25">
      <c r="A9610" s="104"/>
      <c r="B9610" s="104"/>
    </row>
    <row r="9611" spans="1:2" x14ac:dyDescent="0.25">
      <c r="A9611" s="104"/>
      <c r="B9611" s="104"/>
    </row>
    <row r="9612" spans="1:2" x14ac:dyDescent="0.25">
      <c r="A9612" s="104"/>
      <c r="B9612" s="104"/>
    </row>
    <row r="9613" spans="1:2" x14ac:dyDescent="0.25">
      <c r="A9613" s="104"/>
      <c r="B9613" s="104"/>
    </row>
    <row r="9614" spans="1:2" x14ac:dyDescent="0.25">
      <c r="A9614" s="104"/>
      <c r="B9614" s="104"/>
    </row>
    <row r="9615" spans="1:2" x14ac:dyDescent="0.25">
      <c r="A9615" s="104"/>
      <c r="B9615" s="104"/>
    </row>
    <row r="9616" spans="1:2" x14ac:dyDescent="0.25">
      <c r="A9616" s="104"/>
      <c r="B9616" s="104"/>
    </row>
    <row r="9617" spans="1:2" x14ac:dyDescent="0.25">
      <c r="A9617" s="104"/>
      <c r="B9617" s="104"/>
    </row>
    <row r="9618" spans="1:2" x14ac:dyDescent="0.25">
      <c r="A9618" s="104"/>
      <c r="B9618" s="104"/>
    </row>
    <row r="9619" spans="1:2" x14ac:dyDescent="0.25">
      <c r="A9619" s="104"/>
      <c r="B9619" s="104"/>
    </row>
    <row r="9620" spans="1:2" x14ac:dyDescent="0.25">
      <c r="A9620" s="104"/>
      <c r="B9620" s="104"/>
    </row>
    <row r="9621" spans="1:2" x14ac:dyDescent="0.25">
      <c r="A9621" s="104"/>
      <c r="B9621" s="104"/>
    </row>
    <row r="9622" spans="1:2" x14ac:dyDescent="0.25">
      <c r="A9622" s="104"/>
      <c r="B9622" s="104"/>
    </row>
    <row r="9623" spans="1:2" x14ac:dyDescent="0.25">
      <c r="A9623" s="104"/>
      <c r="B9623" s="104"/>
    </row>
    <row r="9624" spans="1:2" x14ac:dyDescent="0.25">
      <c r="A9624" s="104"/>
      <c r="B9624" s="104"/>
    </row>
    <row r="9625" spans="1:2" x14ac:dyDescent="0.25">
      <c r="A9625" s="104"/>
      <c r="B9625" s="104"/>
    </row>
    <row r="9626" spans="1:2" x14ac:dyDescent="0.25">
      <c r="A9626" s="104"/>
      <c r="B9626" s="104"/>
    </row>
    <row r="9627" spans="1:2" x14ac:dyDescent="0.25">
      <c r="A9627" s="104"/>
      <c r="B9627" s="104"/>
    </row>
    <row r="9628" spans="1:2" x14ac:dyDescent="0.25">
      <c r="A9628" s="104"/>
      <c r="B9628" s="104"/>
    </row>
    <row r="9629" spans="1:2" x14ac:dyDescent="0.25">
      <c r="A9629" s="104"/>
      <c r="B9629" s="104"/>
    </row>
    <row r="9630" spans="1:2" x14ac:dyDescent="0.25">
      <c r="A9630" s="104"/>
      <c r="B9630" s="104"/>
    </row>
    <row r="9631" spans="1:2" x14ac:dyDescent="0.25">
      <c r="A9631" s="104"/>
      <c r="B9631" s="104"/>
    </row>
    <row r="9632" spans="1:2" x14ac:dyDescent="0.25">
      <c r="A9632" s="104"/>
      <c r="B9632" s="104"/>
    </row>
    <row r="9633" spans="1:2" x14ac:dyDescent="0.25">
      <c r="A9633" s="104"/>
      <c r="B9633" s="104"/>
    </row>
    <row r="9634" spans="1:2" x14ac:dyDescent="0.25">
      <c r="A9634" s="104"/>
      <c r="B9634" s="104"/>
    </row>
    <row r="9635" spans="1:2" x14ac:dyDescent="0.25">
      <c r="A9635" s="104"/>
      <c r="B9635" s="104"/>
    </row>
    <row r="9636" spans="1:2" x14ac:dyDescent="0.25">
      <c r="A9636" s="104"/>
      <c r="B9636" s="104"/>
    </row>
    <row r="9637" spans="1:2" x14ac:dyDescent="0.25">
      <c r="A9637" s="104"/>
      <c r="B9637" s="104"/>
    </row>
    <row r="9638" spans="1:2" x14ac:dyDescent="0.25">
      <c r="A9638" s="104"/>
      <c r="B9638" s="104"/>
    </row>
    <row r="9639" spans="1:2" x14ac:dyDescent="0.25">
      <c r="A9639" s="104"/>
      <c r="B9639" s="104"/>
    </row>
    <row r="9640" spans="1:2" x14ac:dyDescent="0.25">
      <c r="A9640" s="104"/>
      <c r="B9640" s="104"/>
    </row>
    <row r="9641" spans="1:2" x14ac:dyDescent="0.25">
      <c r="A9641" s="104"/>
      <c r="B9641" s="104"/>
    </row>
    <row r="9642" spans="1:2" x14ac:dyDescent="0.25">
      <c r="A9642" s="104"/>
      <c r="B9642" s="104"/>
    </row>
    <row r="9643" spans="1:2" x14ac:dyDescent="0.25">
      <c r="A9643" s="104"/>
      <c r="B9643" s="104"/>
    </row>
    <row r="9644" spans="1:2" x14ac:dyDescent="0.25">
      <c r="A9644" s="104"/>
      <c r="B9644" s="104"/>
    </row>
    <row r="9645" spans="1:2" x14ac:dyDescent="0.25">
      <c r="A9645" s="104"/>
      <c r="B9645" s="104"/>
    </row>
    <row r="9646" spans="1:2" x14ac:dyDescent="0.25">
      <c r="A9646" s="104"/>
      <c r="B9646" s="104"/>
    </row>
    <row r="9647" spans="1:2" x14ac:dyDescent="0.25">
      <c r="A9647" s="104"/>
      <c r="B9647" s="104"/>
    </row>
    <row r="9648" spans="1:2" x14ac:dyDescent="0.25">
      <c r="A9648" s="104"/>
      <c r="B9648" s="104"/>
    </row>
    <row r="9649" spans="1:2" x14ac:dyDescent="0.25">
      <c r="A9649" s="104"/>
      <c r="B9649" s="104"/>
    </row>
    <row r="9650" spans="1:2" x14ac:dyDescent="0.25">
      <c r="A9650" s="104"/>
      <c r="B9650" s="104"/>
    </row>
    <row r="9651" spans="1:2" x14ac:dyDescent="0.25">
      <c r="A9651" s="104"/>
      <c r="B9651" s="104"/>
    </row>
    <row r="9652" spans="1:2" x14ac:dyDescent="0.25">
      <c r="A9652" s="104"/>
      <c r="B9652" s="104"/>
    </row>
    <row r="9653" spans="1:2" x14ac:dyDescent="0.25">
      <c r="A9653" s="104"/>
      <c r="B9653" s="104"/>
    </row>
    <row r="9654" spans="1:2" x14ac:dyDescent="0.25">
      <c r="A9654" s="104"/>
      <c r="B9654" s="104"/>
    </row>
    <row r="9655" spans="1:2" x14ac:dyDescent="0.25">
      <c r="A9655" s="104"/>
      <c r="B9655" s="104"/>
    </row>
    <row r="9656" spans="1:2" x14ac:dyDescent="0.25">
      <c r="A9656" s="104"/>
      <c r="B9656" s="104"/>
    </row>
    <row r="9657" spans="1:2" x14ac:dyDescent="0.25">
      <c r="A9657" s="104"/>
      <c r="B9657" s="104"/>
    </row>
    <row r="9658" spans="1:2" x14ac:dyDescent="0.25">
      <c r="A9658" s="104"/>
      <c r="B9658" s="104"/>
    </row>
    <row r="9659" spans="1:2" x14ac:dyDescent="0.25">
      <c r="A9659" s="104"/>
      <c r="B9659" s="104"/>
    </row>
    <row r="9660" spans="1:2" x14ac:dyDescent="0.25">
      <c r="A9660" s="104"/>
      <c r="B9660" s="104"/>
    </row>
    <row r="9661" spans="1:2" x14ac:dyDescent="0.25">
      <c r="A9661" s="104"/>
      <c r="B9661" s="104"/>
    </row>
    <row r="9662" spans="1:2" x14ac:dyDescent="0.25">
      <c r="A9662" s="104"/>
      <c r="B9662" s="104"/>
    </row>
    <row r="9663" spans="1:2" x14ac:dyDescent="0.25">
      <c r="A9663" s="104"/>
      <c r="B9663" s="104"/>
    </row>
    <row r="9664" spans="1:2" x14ac:dyDescent="0.25">
      <c r="A9664" s="104"/>
      <c r="B9664" s="104"/>
    </row>
    <row r="9665" spans="1:2" x14ac:dyDescent="0.25">
      <c r="A9665" s="104"/>
      <c r="B9665" s="104"/>
    </row>
    <row r="9666" spans="1:2" x14ac:dyDescent="0.25">
      <c r="A9666" s="104"/>
      <c r="B9666" s="104"/>
    </row>
    <row r="9667" spans="1:2" x14ac:dyDescent="0.25">
      <c r="A9667" s="104"/>
      <c r="B9667" s="104"/>
    </row>
    <row r="9668" spans="1:2" x14ac:dyDescent="0.25">
      <c r="A9668" s="104"/>
      <c r="B9668" s="104"/>
    </row>
    <row r="9669" spans="1:2" x14ac:dyDescent="0.25">
      <c r="A9669" s="104"/>
      <c r="B9669" s="104"/>
    </row>
    <row r="9670" spans="1:2" x14ac:dyDescent="0.25">
      <c r="A9670" s="104"/>
      <c r="B9670" s="104"/>
    </row>
    <row r="9671" spans="1:2" x14ac:dyDescent="0.25">
      <c r="A9671" s="104"/>
      <c r="B9671" s="104"/>
    </row>
    <row r="9672" spans="1:2" x14ac:dyDescent="0.25">
      <c r="A9672" s="104"/>
      <c r="B9672" s="104"/>
    </row>
    <row r="9673" spans="1:2" x14ac:dyDescent="0.25">
      <c r="A9673" s="104"/>
      <c r="B9673" s="104"/>
    </row>
    <row r="9674" spans="1:2" x14ac:dyDescent="0.25">
      <c r="A9674" s="104"/>
      <c r="B9674" s="104"/>
    </row>
    <row r="9675" spans="1:2" x14ac:dyDescent="0.25">
      <c r="A9675" s="104"/>
      <c r="B9675" s="104"/>
    </row>
    <row r="9676" spans="1:2" x14ac:dyDescent="0.25">
      <c r="A9676" s="104"/>
      <c r="B9676" s="104"/>
    </row>
    <row r="9677" spans="1:2" x14ac:dyDescent="0.25">
      <c r="A9677" s="104"/>
      <c r="B9677" s="104"/>
    </row>
    <row r="9678" spans="1:2" x14ac:dyDescent="0.25">
      <c r="A9678" s="104"/>
      <c r="B9678" s="104"/>
    </row>
    <row r="9679" spans="1:2" x14ac:dyDescent="0.25">
      <c r="A9679" s="104"/>
      <c r="B9679" s="104"/>
    </row>
    <row r="9680" spans="1:2" x14ac:dyDescent="0.25">
      <c r="A9680" s="104"/>
      <c r="B9680" s="104"/>
    </row>
    <row r="9681" spans="1:2" x14ac:dyDescent="0.25">
      <c r="A9681" s="104"/>
      <c r="B9681" s="104"/>
    </row>
    <row r="9682" spans="1:2" x14ac:dyDescent="0.25">
      <c r="A9682" s="104"/>
      <c r="B9682" s="104"/>
    </row>
    <row r="9683" spans="1:2" x14ac:dyDescent="0.25">
      <c r="A9683" s="104"/>
      <c r="B9683" s="104"/>
    </row>
    <row r="9684" spans="1:2" x14ac:dyDescent="0.25">
      <c r="A9684" s="104"/>
      <c r="B9684" s="104"/>
    </row>
    <row r="9685" spans="1:2" x14ac:dyDescent="0.25">
      <c r="A9685" s="104"/>
      <c r="B9685" s="104"/>
    </row>
    <row r="9686" spans="1:2" x14ac:dyDescent="0.25">
      <c r="A9686" s="104"/>
      <c r="B9686" s="104"/>
    </row>
    <row r="9687" spans="1:2" x14ac:dyDescent="0.25">
      <c r="A9687" s="104"/>
      <c r="B9687" s="104"/>
    </row>
    <row r="9688" spans="1:2" x14ac:dyDescent="0.25">
      <c r="A9688" s="104"/>
      <c r="B9688" s="104"/>
    </row>
    <row r="9689" spans="1:2" x14ac:dyDescent="0.25">
      <c r="A9689" s="104"/>
      <c r="B9689" s="104"/>
    </row>
    <row r="9690" spans="1:2" x14ac:dyDescent="0.25">
      <c r="A9690" s="104"/>
      <c r="B9690" s="104"/>
    </row>
    <row r="9691" spans="1:2" x14ac:dyDescent="0.25">
      <c r="A9691" s="104"/>
      <c r="B9691" s="104"/>
    </row>
    <row r="9692" spans="1:2" x14ac:dyDescent="0.25">
      <c r="A9692" s="104"/>
      <c r="B9692" s="104"/>
    </row>
    <row r="9693" spans="1:2" x14ac:dyDescent="0.25">
      <c r="A9693" s="104"/>
      <c r="B9693" s="104"/>
    </row>
    <row r="9694" spans="1:2" x14ac:dyDescent="0.25">
      <c r="A9694" s="104"/>
      <c r="B9694" s="104"/>
    </row>
    <row r="9695" spans="1:2" x14ac:dyDescent="0.25">
      <c r="A9695" s="104"/>
      <c r="B9695" s="104"/>
    </row>
    <row r="9696" spans="1:2" x14ac:dyDescent="0.25">
      <c r="A9696" s="104"/>
      <c r="B9696" s="104"/>
    </row>
    <row r="9697" spans="1:2" x14ac:dyDescent="0.25">
      <c r="A9697" s="104"/>
      <c r="B9697" s="104"/>
    </row>
    <row r="9698" spans="1:2" x14ac:dyDescent="0.25">
      <c r="A9698" s="104"/>
      <c r="B9698" s="104"/>
    </row>
    <row r="9699" spans="1:2" x14ac:dyDescent="0.25">
      <c r="A9699" s="104"/>
      <c r="B9699" s="104"/>
    </row>
    <row r="9700" spans="1:2" x14ac:dyDescent="0.25">
      <c r="A9700" s="104"/>
      <c r="B9700" s="104"/>
    </row>
    <row r="9701" spans="1:2" x14ac:dyDescent="0.25">
      <c r="A9701" s="104"/>
      <c r="B9701" s="104"/>
    </row>
    <row r="9702" spans="1:2" x14ac:dyDescent="0.25">
      <c r="A9702" s="104"/>
      <c r="B9702" s="104"/>
    </row>
    <row r="9703" spans="1:2" x14ac:dyDescent="0.25">
      <c r="A9703" s="104"/>
      <c r="B9703" s="104"/>
    </row>
    <row r="9704" spans="1:2" x14ac:dyDescent="0.25">
      <c r="A9704" s="104"/>
      <c r="B9704" s="104"/>
    </row>
    <row r="9705" spans="1:2" x14ac:dyDescent="0.25">
      <c r="A9705" s="104"/>
      <c r="B9705" s="104"/>
    </row>
    <row r="9706" spans="1:2" x14ac:dyDescent="0.25">
      <c r="A9706" s="104"/>
      <c r="B9706" s="104"/>
    </row>
    <row r="9707" spans="1:2" x14ac:dyDescent="0.25">
      <c r="A9707" s="104"/>
      <c r="B9707" s="104"/>
    </row>
    <row r="9708" spans="1:2" x14ac:dyDescent="0.25">
      <c r="A9708" s="104"/>
      <c r="B9708" s="104"/>
    </row>
    <row r="9709" spans="1:2" x14ac:dyDescent="0.25">
      <c r="A9709" s="104"/>
      <c r="B9709" s="104"/>
    </row>
    <row r="9710" spans="1:2" x14ac:dyDescent="0.25">
      <c r="A9710" s="104"/>
      <c r="B9710" s="104"/>
    </row>
    <row r="9711" spans="1:2" x14ac:dyDescent="0.25">
      <c r="A9711" s="104"/>
      <c r="B9711" s="104"/>
    </row>
    <row r="9712" spans="1:2" x14ac:dyDescent="0.25">
      <c r="A9712" s="104"/>
      <c r="B9712" s="104"/>
    </row>
    <row r="9713" spans="1:2" x14ac:dyDescent="0.25">
      <c r="A9713" s="104"/>
      <c r="B9713" s="104"/>
    </row>
    <row r="9714" spans="1:2" x14ac:dyDescent="0.25">
      <c r="A9714" s="104"/>
      <c r="B9714" s="104"/>
    </row>
    <row r="9715" spans="1:2" x14ac:dyDescent="0.25">
      <c r="A9715" s="104"/>
      <c r="B9715" s="104"/>
    </row>
    <row r="9716" spans="1:2" x14ac:dyDescent="0.25">
      <c r="A9716" s="104"/>
      <c r="B9716" s="104"/>
    </row>
    <row r="9717" spans="1:2" x14ac:dyDescent="0.25">
      <c r="A9717" s="104"/>
      <c r="B9717" s="104"/>
    </row>
    <row r="9718" spans="1:2" x14ac:dyDescent="0.25">
      <c r="A9718" s="104"/>
      <c r="B9718" s="104"/>
    </row>
    <row r="9719" spans="1:2" x14ac:dyDescent="0.25">
      <c r="A9719" s="104"/>
      <c r="B9719" s="104"/>
    </row>
    <row r="9720" spans="1:2" x14ac:dyDescent="0.25">
      <c r="A9720" s="104"/>
      <c r="B9720" s="104"/>
    </row>
    <row r="9721" spans="1:2" x14ac:dyDescent="0.25">
      <c r="A9721" s="104"/>
      <c r="B9721" s="104"/>
    </row>
    <row r="9722" spans="1:2" x14ac:dyDescent="0.25">
      <c r="A9722" s="104"/>
      <c r="B9722" s="104"/>
    </row>
    <row r="9723" spans="1:2" x14ac:dyDescent="0.25">
      <c r="A9723" s="104"/>
      <c r="B9723" s="104"/>
    </row>
    <row r="9724" spans="1:2" x14ac:dyDescent="0.25">
      <c r="A9724" s="104"/>
      <c r="B9724" s="104"/>
    </row>
    <row r="9725" spans="1:2" x14ac:dyDescent="0.25">
      <c r="A9725" s="104"/>
      <c r="B9725" s="104"/>
    </row>
    <row r="9726" spans="1:2" x14ac:dyDescent="0.25">
      <c r="A9726" s="104"/>
      <c r="B9726" s="104"/>
    </row>
    <row r="9727" spans="1:2" x14ac:dyDescent="0.25">
      <c r="A9727" s="104"/>
      <c r="B9727" s="104"/>
    </row>
    <row r="9728" spans="1:2" x14ac:dyDescent="0.25">
      <c r="A9728" s="104"/>
      <c r="B9728" s="104"/>
    </row>
    <row r="9729" spans="1:2" x14ac:dyDescent="0.25">
      <c r="A9729" s="104"/>
      <c r="B9729" s="104"/>
    </row>
    <row r="9730" spans="1:2" x14ac:dyDescent="0.25">
      <c r="A9730" s="104"/>
      <c r="B9730" s="104"/>
    </row>
    <row r="9731" spans="1:2" x14ac:dyDescent="0.25">
      <c r="A9731" s="104"/>
      <c r="B9731" s="104"/>
    </row>
    <row r="9732" spans="1:2" x14ac:dyDescent="0.25">
      <c r="A9732" s="104"/>
      <c r="B9732" s="104"/>
    </row>
    <row r="9733" spans="1:2" x14ac:dyDescent="0.25">
      <c r="A9733" s="104"/>
      <c r="B9733" s="104"/>
    </row>
    <row r="9734" spans="1:2" x14ac:dyDescent="0.25">
      <c r="A9734" s="104"/>
      <c r="B9734" s="104"/>
    </row>
    <row r="9735" spans="1:2" x14ac:dyDescent="0.25">
      <c r="A9735" s="104"/>
      <c r="B9735" s="104"/>
    </row>
    <row r="9736" spans="1:2" x14ac:dyDescent="0.25">
      <c r="A9736" s="104"/>
      <c r="B9736" s="104"/>
    </row>
    <row r="9737" spans="1:2" x14ac:dyDescent="0.25">
      <c r="A9737" s="104"/>
      <c r="B9737" s="104"/>
    </row>
    <row r="9738" spans="1:2" x14ac:dyDescent="0.25">
      <c r="A9738" s="104"/>
      <c r="B9738" s="104"/>
    </row>
    <row r="9739" spans="1:2" x14ac:dyDescent="0.25">
      <c r="A9739" s="104"/>
      <c r="B9739" s="104"/>
    </row>
    <row r="9740" spans="1:2" x14ac:dyDescent="0.25">
      <c r="A9740" s="104"/>
      <c r="B9740" s="104"/>
    </row>
    <row r="9741" spans="1:2" x14ac:dyDescent="0.25">
      <c r="A9741" s="104"/>
      <c r="B9741" s="104"/>
    </row>
    <row r="9742" spans="1:2" x14ac:dyDescent="0.25">
      <c r="A9742" s="104"/>
      <c r="B9742" s="104"/>
    </row>
    <row r="9743" spans="1:2" x14ac:dyDescent="0.25">
      <c r="A9743" s="104"/>
      <c r="B9743" s="104"/>
    </row>
    <row r="9744" spans="1:2" x14ac:dyDescent="0.25">
      <c r="A9744" s="104"/>
      <c r="B9744" s="104"/>
    </row>
    <row r="9745" spans="1:2" x14ac:dyDescent="0.25">
      <c r="A9745" s="104"/>
      <c r="B9745" s="104"/>
    </row>
    <row r="9746" spans="1:2" x14ac:dyDescent="0.25">
      <c r="A9746" s="104"/>
      <c r="B9746" s="104"/>
    </row>
    <row r="9747" spans="1:2" x14ac:dyDescent="0.25">
      <c r="A9747" s="104"/>
      <c r="B9747" s="104"/>
    </row>
    <row r="9748" spans="1:2" x14ac:dyDescent="0.25">
      <c r="A9748" s="104"/>
      <c r="B9748" s="104"/>
    </row>
    <row r="9749" spans="1:2" x14ac:dyDescent="0.25">
      <c r="A9749" s="104"/>
      <c r="B9749" s="104"/>
    </row>
    <row r="9750" spans="1:2" x14ac:dyDescent="0.25">
      <c r="A9750" s="104"/>
      <c r="B9750" s="104"/>
    </row>
    <row r="9751" spans="1:2" x14ac:dyDescent="0.25">
      <c r="A9751" s="104"/>
      <c r="B9751" s="104"/>
    </row>
    <row r="9752" spans="1:2" x14ac:dyDescent="0.25">
      <c r="A9752" s="104"/>
      <c r="B9752" s="104"/>
    </row>
    <row r="9753" spans="1:2" x14ac:dyDescent="0.25">
      <c r="A9753" s="104"/>
      <c r="B9753" s="104"/>
    </row>
    <row r="9754" spans="1:2" x14ac:dyDescent="0.25">
      <c r="A9754" s="104"/>
      <c r="B9754" s="104"/>
    </row>
    <row r="9755" spans="1:2" x14ac:dyDescent="0.25">
      <c r="A9755" s="104"/>
      <c r="B9755" s="104"/>
    </row>
    <row r="9756" spans="1:2" x14ac:dyDescent="0.25">
      <c r="A9756" s="104"/>
      <c r="B9756" s="104"/>
    </row>
    <row r="9757" spans="1:2" x14ac:dyDescent="0.25">
      <c r="A9757" s="104"/>
      <c r="B9757" s="104"/>
    </row>
    <row r="9758" spans="1:2" x14ac:dyDescent="0.25">
      <c r="A9758" s="104"/>
      <c r="B9758" s="104"/>
    </row>
    <row r="9759" spans="1:2" x14ac:dyDescent="0.25">
      <c r="A9759" s="104"/>
      <c r="B9759" s="104"/>
    </row>
    <row r="9760" spans="1:2" x14ac:dyDescent="0.25">
      <c r="A9760" s="104"/>
      <c r="B9760" s="104"/>
    </row>
    <row r="9761" spans="1:2" x14ac:dyDescent="0.25">
      <c r="A9761" s="104"/>
      <c r="B9761" s="104"/>
    </row>
    <row r="9762" spans="1:2" x14ac:dyDescent="0.25">
      <c r="A9762" s="104"/>
      <c r="B9762" s="104"/>
    </row>
    <row r="9763" spans="1:2" x14ac:dyDescent="0.25">
      <c r="A9763" s="104"/>
      <c r="B9763" s="104"/>
    </row>
    <row r="9764" spans="1:2" x14ac:dyDescent="0.25">
      <c r="A9764" s="104"/>
      <c r="B9764" s="104"/>
    </row>
    <row r="9765" spans="1:2" x14ac:dyDescent="0.25">
      <c r="A9765" s="104"/>
      <c r="B9765" s="104"/>
    </row>
    <row r="9766" spans="1:2" x14ac:dyDescent="0.25">
      <c r="A9766" s="104"/>
      <c r="B9766" s="104"/>
    </row>
    <row r="9767" spans="1:2" x14ac:dyDescent="0.25">
      <c r="A9767" s="104"/>
      <c r="B9767" s="104"/>
    </row>
    <row r="9768" spans="1:2" x14ac:dyDescent="0.25">
      <c r="A9768" s="104"/>
      <c r="B9768" s="104"/>
    </row>
    <row r="9769" spans="1:2" x14ac:dyDescent="0.25">
      <c r="A9769" s="104"/>
      <c r="B9769" s="104"/>
    </row>
    <row r="9770" spans="1:2" x14ac:dyDescent="0.25">
      <c r="A9770" s="104"/>
      <c r="B9770" s="104"/>
    </row>
    <row r="9771" spans="1:2" x14ac:dyDescent="0.25">
      <c r="A9771" s="104"/>
      <c r="B9771" s="104"/>
    </row>
    <row r="9772" spans="1:2" x14ac:dyDescent="0.25">
      <c r="A9772" s="104"/>
      <c r="B9772" s="104"/>
    </row>
    <row r="9773" spans="1:2" x14ac:dyDescent="0.25">
      <c r="A9773" s="104"/>
      <c r="B9773" s="104"/>
    </row>
    <row r="9774" spans="1:2" x14ac:dyDescent="0.25">
      <c r="A9774" s="104"/>
      <c r="B9774" s="104"/>
    </row>
    <row r="9775" spans="1:2" x14ac:dyDescent="0.25">
      <c r="A9775" s="104"/>
      <c r="B9775" s="104"/>
    </row>
    <row r="9776" spans="1:2" x14ac:dyDescent="0.25">
      <c r="A9776" s="104"/>
      <c r="B9776" s="104"/>
    </row>
    <row r="9777" spans="1:2" x14ac:dyDescent="0.25">
      <c r="A9777" s="104"/>
      <c r="B9777" s="104"/>
    </row>
    <row r="9778" spans="1:2" x14ac:dyDescent="0.25">
      <c r="A9778" s="104"/>
      <c r="B9778" s="104"/>
    </row>
    <row r="9779" spans="1:2" x14ac:dyDescent="0.25">
      <c r="A9779" s="104"/>
      <c r="B9779" s="104"/>
    </row>
    <row r="9780" spans="1:2" x14ac:dyDescent="0.25">
      <c r="A9780" s="104"/>
      <c r="B9780" s="104"/>
    </row>
    <row r="9781" spans="1:2" x14ac:dyDescent="0.25">
      <c r="A9781" s="104"/>
      <c r="B9781" s="104"/>
    </row>
    <row r="9782" spans="1:2" x14ac:dyDescent="0.25">
      <c r="A9782" s="104"/>
      <c r="B9782" s="104"/>
    </row>
    <row r="9783" spans="1:2" x14ac:dyDescent="0.25">
      <c r="A9783" s="104"/>
      <c r="B9783" s="104"/>
    </row>
    <row r="9784" spans="1:2" x14ac:dyDescent="0.25">
      <c r="A9784" s="104"/>
      <c r="B9784" s="104"/>
    </row>
    <row r="9785" spans="1:2" x14ac:dyDescent="0.25">
      <c r="A9785" s="104"/>
      <c r="B9785" s="104"/>
    </row>
    <row r="9786" spans="1:2" x14ac:dyDescent="0.25">
      <c r="A9786" s="104"/>
      <c r="B9786" s="104"/>
    </row>
    <row r="9787" spans="1:2" x14ac:dyDescent="0.25">
      <c r="A9787" s="104"/>
      <c r="B9787" s="104"/>
    </row>
    <row r="9788" spans="1:2" x14ac:dyDescent="0.25">
      <c r="A9788" s="104"/>
      <c r="B9788" s="104"/>
    </row>
    <row r="9789" spans="1:2" x14ac:dyDescent="0.25">
      <c r="A9789" s="104"/>
      <c r="B9789" s="104"/>
    </row>
    <row r="9790" spans="1:2" x14ac:dyDescent="0.25">
      <c r="A9790" s="104"/>
      <c r="B9790" s="104"/>
    </row>
    <row r="9791" spans="1:2" x14ac:dyDescent="0.25">
      <c r="A9791" s="104"/>
      <c r="B9791" s="104"/>
    </row>
    <row r="9792" spans="1:2" x14ac:dyDescent="0.25">
      <c r="A9792" s="104"/>
      <c r="B9792" s="104"/>
    </row>
    <row r="9793" spans="1:2" x14ac:dyDescent="0.25">
      <c r="A9793" s="104"/>
      <c r="B9793" s="104"/>
    </row>
    <row r="9794" spans="1:2" x14ac:dyDescent="0.25">
      <c r="A9794" s="104"/>
      <c r="B9794" s="104"/>
    </row>
    <row r="9795" spans="1:2" x14ac:dyDescent="0.25">
      <c r="A9795" s="104"/>
      <c r="B9795" s="104"/>
    </row>
    <row r="9796" spans="1:2" x14ac:dyDescent="0.25">
      <c r="A9796" s="104"/>
      <c r="B9796" s="104"/>
    </row>
    <row r="9797" spans="1:2" x14ac:dyDescent="0.25">
      <c r="A9797" s="104"/>
      <c r="B9797" s="104"/>
    </row>
    <row r="9798" spans="1:2" x14ac:dyDescent="0.25">
      <c r="A9798" s="104"/>
      <c r="B9798" s="104"/>
    </row>
    <row r="9799" spans="1:2" x14ac:dyDescent="0.25">
      <c r="A9799" s="104"/>
      <c r="B9799" s="104"/>
    </row>
    <row r="9800" spans="1:2" x14ac:dyDescent="0.25">
      <c r="A9800" s="104"/>
      <c r="B9800" s="104"/>
    </row>
    <row r="9801" spans="1:2" x14ac:dyDescent="0.25">
      <c r="A9801" s="104"/>
      <c r="B9801" s="104"/>
    </row>
    <row r="9802" spans="1:2" x14ac:dyDescent="0.25">
      <c r="A9802" s="104"/>
      <c r="B9802" s="104"/>
    </row>
    <row r="9803" spans="1:2" x14ac:dyDescent="0.25">
      <c r="A9803" s="104"/>
      <c r="B9803" s="104"/>
    </row>
    <row r="9804" spans="1:2" x14ac:dyDescent="0.25">
      <c r="A9804" s="104"/>
      <c r="B9804" s="104"/>
    </row>
    <row r="9805" spans="1:2" x14ac:dyDescent="0.25">
      <c r="A9805" s="104"/>
      <c r="B9805" s="104"/>
    </row>
    <row r="9806" spans="1:2" x14ac:dyDescent="0.25">
      <c r="A9806" s="104"/>
      <c r="B9806" s="104"/>
    </row>
    <row r="9807" spans="1:2" x14ac:dyDescent="0.25">
      <c r="A9807" s="104"/>
      <c r="B9807" s="104"/>
    </row>
    <row r="9808" spans="1:2" x14ac:dyDescent="0.25">
      <c r="A9808" s="104"/>
      <c r="B9808" s="104"/>
    </row>
    <row r="9809" spans="1:2" x14ac:dyDescent="0.25">
      <c r="A9809" s="104"/>
      <c r="B9809" s="104"/>
    </row>
    <row r="9810" spans="1:2" x14ac:dyDescent="0.25">
      <c r="A9810" s="104"/>
      <c r="B9810" s="104"/>
    </row>
    <row r="9811" spans="1:2" x14ac:dyDescent="0.25">
      <c r="A9811" s="104"/>
      <c r="B9811" s="104"/>
    </row>
    <row r="9812" spans="1:2" x14ac:dyDescent="0.25">
      <c r="A9812" s="104"/>
      <c r="B9812" s="104"/>
    </row>
    <row r="9813" spans="1:2" x14ac:dyDescent="0.25">
      <c r="A9813" s="104"/>
      <c r="B9813" s="104"/>
    </row>
    <row r="9814" spans="1:2" x14ac:dyDescent="0.25">
      <c r="A9814" s="104"/>
      <c r="B9814" s="104"/>
    </row>
    <row r="9815" spans="1:2" x14ac:dyDescent="0.25">
      <c r="A9815" s="104"/>
      <c r="B9815" s="104"/>
    </row>
    <row r="9816" spans="1:2" x14ac:dyDescent="0.25">
      <c r="A9816" s="104"/>
      <c r="B9816" s="104"/>
    </row>
    <row r="9817" spans="1:2" x14ac:dyDescent="0.25">
      <c r="A9817" s="104"/>
      <c r="B9817" s="104"/>
    </row>
    <row r="9818" spans="1:2" x14ac:dyDescent="0.25">
      <c r="A9818" s="104"/>
      <c r="B9818" s="104"/>
    </row>
    <row r="9819" spans="1:2" x14ac:dyDescent="0.25">
      <c r="A9819" s="104"/>
      <c r="B9819" s="104"/>
    </row>
    <row r="9820" spans="1:2" x14ac:dyDescent="0.25">
      <c r="A9820" s="104"/>
      <c r="B9820" s="104"/>
    </row>
    <row r="9821" spans="1:2" x14ac:dyDescent="0.25">
      <c r="A9821" s="104"/>
      <c r="B9821" s="104"/>
    </row>
    <row r="9822" spans="1:2" x14ac:dyDescent="0.25">
      <c r="A9822" s="104"/>
      <c r="B9822" s="104"/>
    </row>
    <row r="9823" spans="1:2" x14ac:dyDescent="0.25">
      <c r="A9823" s="104"/>
      <c r="B9823" s="104"/>
    </row>
    <row r="9824" spans="1:2" x14ac:dyDescent="0.25">
      <c r="A9824" s="104"/>
      <c r="B9824" s="104"/>
    </row>
    <row r="9825" spans="1:2" x14ac:dyDescent="0.25">
      <c r="A9825" s="104"/>
      <c r="B9825" s="104"/>
    </row>
    <row r="9826" spans="1:2" x14ac:dyDescent="0.25">
      <c r="A9826" s="104"/>
      <c r="B9826" s="104"/>
    </row>
    <row r="9827" spans="1:2" x14ac:dyDescent="0.25">
      <c r="A9827" s="104"/>
      <c r="B9827" s="104"/>
    </row>
    <row r="9828" spans="1:2" x14ac:dyDescent="0.25">
      <c r="A9828" s="104"/>
      <c r="B9828" s="104"/>
    </row>
    <row r="9829" spans="1:2" x14ac:dyDescent="0.25">
      <c r="A9829" s="104"/>
      <c r="B9829" s="104"/>
    </row>
    <row r="9830" spans="1:2" x14ac:dyDescent="0.25">
      <c r="A9830" s="104"/>
      <c r="B9830" s="104"/>
    </row>
    <row r="9831" spans="1:2" x14ac:dyDescent="0.25">
      <c r="A9831" s="104"/>
      <c r="B9831" s="104"/>
    </row>
    <row r="9832" spans="1:2" x14ac:dyDescent="0.25">
      <c r="A9832" s="104"/>
      <c r="B9832" s="104"/>
    </row>
    <row r="9833" spans="1:2" x14ac:dyDescent="0.25">
      <c r="A9833" s="104"/>
      <c r="B9833" s="104"/>
    </row>
    <row r="9834" spans="1:2" x14ac:dyDescent="0.25">
      <c r="A9834" s="104"/>
      <c r="B9834" s="104"/>
    </row>
    <row r="9835" spans="1:2" x14ac:dyDescent="0.25">
      <c r="A9835" s="104"/>
      <c r="B9835" s="104"/>
    </row>
    <row r="9836" spans="1:2" x14ac:dyDescent="0.25">
      <c r="A9836" s="104"/>
      <c r="B9836" s="104"/>
    </row>
    <row r="9837" spans="1:2" x14ac:dyDescent="0.25">
      <c r="A9837" s="104"/>
      <c r="B9837" s="104"/>
    </row>
    <row r="9838" spans="1:2" x14ac:dyDescent="0.25">
      <c r="A9838" s="104"/>
      <c r="B9838" s="104"/>
    </row>
    <row r="9839" spans="1:2" x14ac:dyDescent="0.25">
      <c r="A9839" s="104"/>
      <c r="B9839" s="104"/>
    </row>
    <row r="9840" spans="1:2" x14ac:dyDescent="0.25">
      <c r="A9840" s="104"/>
      <c r="B9840" s="104"/>
    </row>
    <row r="9841" spans="1:2" x14ac:dyDescent="0.25">
      <c r="A9841" s="104"/>
      <c r="B9841" s="104"/>
    </row>
    <row r="9842" spans="1:2" x14ac:dyDescent="0.25">
      <c r="A9842" s="104"/>
      <c r="B9842" s="104"/>
    </row>
    <row r="9843" spans="1:2" x14ac:dyDescent="0.25">
      <c r="A9843" s="104"/>
      <c r="B9843" s="104"/>
    </row>
    <row r="9844" spans="1:2" x14ac:dyDescent="0.25">
      <c r="A9844" s="104"/>
      <c r="B9844" s="104"/>
    </row>
    <row r="9845" spans="1:2" x14ac:dyDescent="0.25">
      <c r="A9845" s="104"/>
      <c r="B9845" s="104"/>
    </row>
    <row r="9846" spans="1:2" x14ac:dyDescent="0.25">
      <c r="A9846" s="104"/>
      <c r="B9846" s="104"/>
    </row>
    <row r="9847" spans="1:2" x14ac:dyDescent="0.25">
      <c r="A9847" s="104"/>
      <c r="B9847" s="104"/>
    </row>
    <row r="9848" spans="1:2" x14ac:dyDescent="0.25">
      <c r="A9848" s="104"/>
      <c r="B9848" s="104"/>
    </row>
    <row r="9849" spans="1:2" x14ac:dyDescent="0.25">
      <c r="A9849" s="104"/>
      <c r="B9849" s="104"/>
    </row>
    <row r="9850" spans="1:2" x14ac:dyDescent="0.25">
      <c r="A9850" s="104"/>
      <c r="B9850" s="104"/>
    </row>
    <row r="9851" spans="1:2" x14ac:dyDescent="0.25">
      <c r="A9851" s="104"/>
      <c r="B9851" s="104"/>
    </row>
    <row r="9852" spans="1:2" x14ac:dyDescent="0.25">
      <c r="A9852" s="104"/>
      <c r="B9852" s="104"/>
    </row>
    <row r="9853" spans="1:2" x14ac:dyDescent="0.25">
      <c r="A9853" s="104"/>
      <c r="B9853" s="104"/>
    </row>
    <row r="9854" spans="1:2" x14ac:dyDescent="0.25">
      <c r="A9854" s="104"/>
      <c r="B9854" s="104"/>
    </row>
    <row r="9855" spans="1:2" x14ac:dyDescent="0.25">
      <c r="A9855" s="104"/>
      <c r="B9855" s="104"/>
    </row>
    <row r="9856" spans="1:2" x14ac:dyDescent="0.25">
      <c r="A9856" s="104"/>
      <c r="B9856" s="104"/>
    </row>
    <row r="9857" spans="1:2" x14ac:dyDescent="0.25">
      <c r="A9857" s="104"/>
      <c r="B9857" s="104"/>
    </row>
    <row r="9858" spans="1:2" x14ac:dyDescent="0.25">
      <c r="A9858" s="104"/>
      <c r="B9858" s="104"/>
    </row>
    <row r="9859" spans="1:2" x14ac:dyDescent="0.25">
      <c r="A9859" s="104"/>
      <c r="B9859" s="104"/>
    </row>
    <row r="9860" spans="1:2" x14ac:dyDescent="0.25">
      <c r="A9860" s="104"/>
      <c r="B9860" s="104"/>
    </row>
    <row r="9861" spans="1:2" x14ac:dyDescent="0.25">
      <c r="A9861" s="104"/>
      <c r="B9861" s="104"/>
    </row>
    <row r="9862" spans="1:2" x14ac:dyDescent="0.25">
      <c r="A9862" s="104"/>
      <c r="B9862" s="104"/>
    </row>
    <row r="9863" spans="1:2" x14ac:dyDescent="0.25">
      <c r="A9863" s="104"/>
      <c r="B9863" s="104"/>
    </row>
    <row r="9864" spans="1:2" x14ac:dyDescent="0.25">
      <c r="A9864" s="104"/>
      <c r="B9864" s="104"/>
    </row>
    <row r="9865" spans="1:2" x14ac:dyDescent="0.25">
      <c r="A9865" s="104"/>
      <c r="B9865" s="104"/>
    </row>
    <row r="9866" spans="1:2" x14ac:dyDescent="0.25">
      <c r="A9866" s="104"/>
      <c r="B9866" s="104"/>
    </row>
    <row r="9867" spans="1:2" x14ac:dyDescent="0.25">
      <c r="A9867" s="104"/>
      <c r="B9867" s="104"/>
    </row>
    <row r="9868" spans="1:2" x14ac:dyDescent="0.25">
      <c r="A9868" s="104"/>
      <c r="B9868" s="104"/>
    </row>
    <row r="9869" spans="1:2" x14ac:dyDescent="0.25">
      <c r="A9869" s="104"/>
      <c r="B9869" s="104"/>
    </row>
    <row r="9870" spans="1:2" x14ac:dyDescent="0.25">
      <c r="A9870" s="104"/>
      <c r="B9870" s="104"/>
    </row>
    <row r="9871" spans="1:2" x14ac:dyDescent="0.25">
      <c r="A9871" s="104"/>
      <c r="B9871" s="104"/>
    </row>
    <row r="9872" spans="1:2" x14ac:dyDescent="0.25">
      <c r="A9872" s="104"/>
      <c r="B9872" s="104"/>
    </row>
    <row r="9873" spans="1:2" x14ac:dyDescent="0.25">
      <c r="A9873" s="104"/>
      <c r="B9873" s="104"/>
    </row>
    <row r="9874" spans="1:2" x14ac:dyDescent="0.25">
      <c r="A9874" s="104"/>
      <c r="B9874" s="104"/>
    </row>
    <row r="9875" spans="1:2" x14ac:dyDescent="0.25">
      <c r="A9875" s="104"/>
      <c r="B9875" s="104"/>
    </row>
    <row r="9876" spans="1:2" x14ac:dyDescent="0.25">
      <c r="A9876" s="104"/>
      <c r="B9876" s="104"/>
    </row>
    <row r="9877" spans="1:2" x14ac:dyDescent="0.25">
      <c r="A9877" s="104"/>
      <c r="B9877" s="104"/>
    </row>
    <row r="9878" spans="1:2" x14ac:dyDescent="0.25">
      <c r="A9878" s="104"/>
      <c r="B9878" s="104"/>
    </row>
    <row r="9879" spans="1:2" x14ac:dyDescent="0.25">
      <c r="A9879" s="104"/>
      <c r="B9879" s="104"/>
    </row>
    <row r="9880" spans="1:2" x14ac:dyDescent="0.25">
      <c r="A9880" s="104"/>
      <c r="B9880" s="104"/>
    </row>
    <row r="9881" spans="1:2" x14ac:dyDescent="0.25">
      <c r="A9881" s="104"/>
      <c r="B9881" s="104"/>
    </row>
    <row r="9882" spans="1:2" x14ac:dyDescent="0.25">
      <c r="A9882" s="104"/>
      <c r="B9882" s="104"/>
    </row>
    <row r="9883" spans="1:2" x14ac:dyDescent="0.25">
      <c r="A9883" s="104"/>
      <c r="B9883" s="104"/>
    </row>
    <row r="9884" spans="1:2" x14ac:dyDescent="0.25">
      <c r="A9884" s="104"/>
      <c r="B9884" s="104"/>
    </row>
    <row r="9885" spans="1:2" x14ac:dyDescent="0.25">
      <c r="A9885" s="104"/>
      <c r="B9885" s="104"/>
    </row>
    <row r="9886" spans="1:2" x14ac:dyDescent="0.25">
      <c r="A9886" s="104"/>
      <c r="B9886" s="104"/>
    </row>
    <row r="9887" spans="1:2" x14ac:dyDescent="0.25">
      <c r="A9887" s="104"/>
      <c r="B9887" s="104"/>
    </row>
    <row r="9888" spans="1:2" x14ac:dyDescent="0.25">
      <c r="A9888" s="104"/>
      <c r="B9888" s="104"/>
    </row>
    <row r="9889" spans="1:2" x14ac:dyDescent="0.25">
      <c r="A9889" s="104"/>
      <c r="B9889" s="104"/>
    </row>
    <row r="9890" spans="1:2" x14ac:dyDescent="0.25">
      <c r="A9890" s="104"/>
      <c r="B9890" s="104"/>
    </row>
    <row r="9891" spans="1:2" x14ac:dyDescent="0.25">
      <c r="A9891" s="104"/>
      <c r="B9891" s="104"/>
    </row>
    <row r="9892" spans="1:2" x14ac:dyDescent="0.25">
      <c r="A9892" s="104"/>
      <c r="B9892" s="104"/>
    </row>
    <row r="9893" spans="1:2" x14ac:dyDescent="0.25">
      <c r="A9893" s="104"/>
      <c r="B9893" s="104"/>
    </row>
    <row r="9894" spans="1:2" x14ac:dyDescent="0.25">
      <c r="A9894" s="104"/>
      <c r="B9894" s="104"/>
    </row>
    <row r="9895" spans="1:2" x14ac:dyDescent="0.25">
      <c r="A9895" s="104"/>
      <c r="B9895" s="104"/>
    </row>
    <row r="9896" spans="1:2" x14ac:dyDescent="0.25">
      <c r="A9896" s="104"/>
      <c r="B9896" s="104"/>
    </row>
    <row r="9897" spans="1:2" x14ac:dyDescent="0.25">
      <c r="A9897" s="104"/>
      <c r="B9897" s="104"/>
    </row>
    <row r="9898" spans="1:2" x14ac:dyDescent="0.25">
      <c r="A9898" s="104"/>
      <c r="B9898" s="104"/>
    </row>
    <row r="9899" spans="1:2" x14ac:dyDescent="0.25">
      <c r="A9899" s="104"/>
      <c r="B9899" s="104"/>
    </row>
    <row r="9900" spans="1:2" x14ac:dyDescent="0.25">
      <c r="A9900" s="104"/>
      <c r="B9900" s="104"/>
    </row>
    <row r="9901" spans="1:2" x14ac:dyDescent="0.25">
      <c r="A9901" s="104"/>
      <c r="B9901" s="104"/>
    </row>
    <row r="9902" spans="1:2" x14ac:dyDescent="0.25">
      <c r="A9902" s="104"/>
      <c r="B9902" s="104"/>
    </row>
    <row r="9903" spans="1:2" x14ac:dyDescent="0.25">
      <c r="A9903" s="104"/>
      <c r="B9903" s="104"/>
    </row>
    <row r="9904" spans="1:2" x14ac:dyDescent="0.25">
      <c r="A9904" s="104"/>
      <c r="B9904" s="104"/>
    </row>
    <row r="9905" spans="1:2" x14ac:dyDescent="0.25">
      <c r="A9905" s="104"/>
      <c r="B9905" s="104"/>
    </row>
    <row r="9906" spans="1:2" x14ac:dyDescent="0.25">
      <c r="A9906" s="104"/>
      <c r="B9906" s="104"/>
    </row>
    <row r="9907" spans="1:2" x14ac:dyDescent="0.25">
      <c r="A9907" s="104"/>
      <c r="B9907" s="104"/>
    </row>
    <row r="9908" spans="1:2" x14ac:dyDescent="0.25">
      <c r="A9908" s="104"/>
      <c r="B9908" s="104"/>
    </row>
    <row r="9909" spans="1:2" x14ac:dyDescent="0.25">
      <c r="A9909" s="104"/>
      <c r="B9909" s="104"/>
    </row>
    <row r="9910" spans="1:2" x14ac:dyDescent="0.25">
      <c r="A9910" s="104"/>
      <c r="B9910" s="104"/>
    </row>
    <row r="9911" spans="1:2" x14ac:dyDescent="0.25">
      <c r="A9911" s="104"/>
      <c r="B9911" s="104"/>
    </row>
    <row r="9912" spans="1:2" x14ac:dyDescent="0.25">
      <c r="A9912" s="104"/>
      <c r="B9912" s="104"/>
    </row>
    <row r="9913" spans="1:2" x14ac:dyDescent="0.25">
      <c r="A9913" s="104"/>
      <c r="B9913" s="104"/>
    </row>
    <row r="9914" spans="1:2" x14ac:dyDescent="0.25">
      <c r="A9914" s="104"/>
      <c r="B9914" s="104"/>
    </row>
    <row r="9915" spans="1:2" x14ac:dyDescent="0.25">
      <c r="A9915" s="104"/>
      <c r="B9915" s="104"/>
    </row>
    <row r="9916" spans="1:2" x14ac:dyDescent="0.25">
      <c r="A9916" s="104"/>
      <c r="B9916" s="104"/>
    </row>
    <row r="9917" spans="1:2" x14ac:dyDescent="0.25">
      <c r="A9917" s="104"/>
      <c r="B9917" s="104"/>
    </row>
    <row r="9918" spans="1:2" x14ac:dyDescent="0.25">
      <c r="A9918" s="104"/>
      <c r="B9918" s="104"/>
    </row>
    <row r="9919" spans="1:2" x14ac:dyDescent="0.25">
      <c r="A9919" s="104"/>
      <c r="B9919" s="104"/>
    </row>
    <row r="9920" spans="1:2" x14ac:dyDescent="0.25">
      <c r="A9920" s="104"/>
      <c r="B9920" s="104"/>
    </row>
    <row r="9921" spans="1:2" x14ac:dyDescent="0.25">
      <c r="A9921" s="104"/>
      <c r="B9921" s="104"/>
    </row>
    <row r="9922" spans="1:2" x14ac:dyDescent="0.25">
      <c r="A9922" s="104"/>
      <c r="B9922" s="104"/>
    </row>
    <row r="9923" spans="1:2" x14ac:dyDescent="0.25">
      <c r="A9923" s="104"/>
      <c r="B9923" s="104"/>
    </row>
    <row r="9924" spans="1:2" x14ac:dyDescent="0.25">
      <c r="A9924" s="104"/>
      <c r="B9924" s="104"/>
    </row>
    <row r="9925" spans="1:2" x14ac:dyDescent="0.25">
      <c r="A9925" s="104"/>
      <c r="B9925" s="104"/>
    </row>
    <row r="9926" spans="1:2" x14ac:dyDescent="0.25">
      <c r="A9926" s="104"/>
      <c r="B9926" s="104"/>
    </row>
    <row r="9927" spans="1:2" x14ac:dyDescent="0.25">
      <c r="A9927" s="104"/>
      <c r="B9927" s="104"/>
    </row>
    <row r="9928" spans="1:2" x14ac:dyDescent="0.25">
      <c r="A9928" s="104"/>
      <c r="B9928" s="104"/>
    </row>
    <row r="9929" spans="1:2" x14ac:dyDescent="0.25">
      <c r="A9929" s="104"/>
      <c r="B9929" s="104"/>
    </row>
    <row r="9930" spans="1:2" x14ac:dyDescent="0.25">
      <c r="A9930" s="104"/>
      <c r="B9930" s="104"/>
    </row>
    <row r="9931" spans="1:2" x14ac:dyDescent="0.25">
      <c r="A9931" s="104"/>
      <c r="B9931" s="104"/>
    </row>
    <row r="9932" spans="1:2" x14ac:dyDescent="0.25">
      <c r="A9932" s="104"/>
      <c r="B9932" s="104"/>
    </row>
    <row r="9933" spans="1:2" x14ac:dyDescent="0.25">
      <c r="A9933" s="104"/>
      <c r="B9933" s="104"/>
    </row>
    <row r="9934" spans="1:2" x14ac:dyDescent="0.25">
      <c r="A9934" s="104"/>
      <c r="B9934" s="104"/>
    </row>
    <row r="9935" spans="1:2" x14ac:dyDescent="0.25">
      <c r="A9935" s="104"/>
      <c r="B9935" s="104"/>
    </row>
    <row r="9936" spans="1:2" x14ac:dyDescent="0.25">
      <c r="A9936" s="104"/>
      <c r="B9936" s="104"/>
    </row>
    <row r="9937" spans="1:2" x14ac:dyDescent="0.25">
      <c r="A9937" s="104"/>
      <c r="B9937" s="104"/>
    </row>
    <row r="9938" spans="1:2" x14ac:dyDescent="0.25">
      <c r="A9938" s="104"/>
      <c r="B9938" s="104"/>
    </row>
    <row r="9939" spans="1:2" x14ac:dyDescent="0.25">
      <c r="A9939" s="104"/>
      <c r="B9939" s="104"/>
    </row>
    <row r="9940" spans="1:2" x14ac:dyDescent="0.25">
      <c r="A9940" s="104"/>
      <c r="B9940" s="104"/>
    </row>
    <row r="9941" spans="1:2" x14ac:dyDescent="0.25">
      <c r="A9941" s="104"/>
      <c r="B9941" s="104"/>
    </row>
    <row r="9942" spans="1:2" x14ac:dyDescent="0.25">
      <c r="A9942" s="104"/>
      <c r="B9942" s="104"/>
    </row>
    <row r="9943" spans="1:2" x14ac:dyDescent="0.25">
      <c r="A9943" s="104"/>
      <c r="B9943" s="104"/>
    </row>
    <row r="9944" spans="1:2" x14ac:dyDescent="0.25">
      <c r="A9944" s="104"/>
      <c r="B9944" s="104"/>
    </row>
    <row r="9945" spans="1:2" x14ac:dyDescent="0.25">
      <c r="A9945" s="104"/>
      <c r="B9945" s="104"/>
    </row>
    <row r="9946" spans="1:2" x14ac:dyDescent="0.25">
      <c r="A9946" s="104"/>
      <c r="B9946" s="104"/>
    </row>
    <row r="9947" spans="1:2" x14ac:dyDescent="0.25">
      <c r="A9947" s="104"/>
      <c r="B9947" s="104"/>
    </row>
    <row r="9948" spans="1:2" x14ac:dyDescent="0.25">
      <c r="A9948" s="104"/>
      <c r="B9948" s="104"/>
    </row>
    <row r="9949" spans="1:2" x14ac:dyDescent="0.25">
      <c r="A9949" s="104"/>
      <c r="B9949" s="104"/>
    </row>
    <row r="9950" spans="1:2" x14ac:dyDescent="0.25">
      <c r="A9950" s="104"/>
      <c r="B9950" s="104"/>
    </row>
    <row r="9951" spans="1:2" x14ac:dyDescent="0.25">
      <c r="A9951" s="104"/>
      <c r="B9951" s="104"/>
    </row>
    <row r="9952" spans="1:2" x14ac:dyDescent="0.25">
      <c r="A9952" s="104"/>
      <c r="B9952" s="104"/>
    </row>
    <row r="9953" spans="1:2" x14ac:dyDescent="0.25">
      <c r="A9953" s="104"/>
      <c r="B9953" s="104"/>
    </row>
    <row r="9954" spans="1:2" x14ac:dyDescent="0.25">
      <c r="A9954" s="104"/>
      <c r="B9954" s="104"/>
    </row>
    <row r="9955" spans="1:2" x14ac:dyDescent="0.25">
      <c r="A9955" s="104"/>
      <c r="B9955" s="104"/>
    </row>
    <row r="9956" spans="1:2" x14ac:dyDescent="0.25">
      <c r="A9956" s="104"/>
      <c r="B9956" s="104"/>
    </row>
    <row r="9957" spans="1:2" x14ac:dyDescent="0.25">
      <c r="A9957" s="104"/>
      <c r="B9957" s="104"/>
    </row>
    <row r="9958" spans="1:2" x14ac:dyDescent="0.25">
      <c r="A9958" s="104"/>
      <c r="B9958" s="104"/>
    </row>
    <row r="9959" spans="1:2" x14ac:dyDescent="0.25">
      <c r="A9959" s="104"/>
      <c r="B9959" s="104"/>
    </row>
    <row r="9960" spans="1:2" x14ac:dyDescent="0.25">
      <c r="A9960" s="104"/>
      <c r="B9960" s="104"/>
    </row>
    <row r="9961" spans="1:2" x14ac:dyDescent="0.25">
      <c r="A9961" s="104"/>
      <c r="B9961" s="104"/>
    </row>
    <row r="9962" spans="1:2" x14ac:dyDescent="0.25">
      <c r="A9962" s="104"/>
      <c r="B9962" s="104"/>
    </row>
    <row r="9963" spans="1:2" x14ac:dyDescent="0.25">
      <c r="A9963" s="104"/>
      <c r="B9963" s="104"/>
    </row>
    <row r="9964" spans="1:2" x14ac:dyDescent="0.25">
      <c r="A9964" s="104"/>
      <c r="B9964" s="104"/>
    </row>
    <row r="9965" spans="1:2" x14ac:dyDescent="0.25">
      <c r="A9965" s="104"/>
      <c r="B9965" s="104"/>
    </row>
    <row r="9966" spans="1:2" x14ac:dyDescent="0.25">
      <c r="A9966" s="104"/>
      <c r="B9966" s="104"/>
    </row>
    <row r="9967" spans="1:2" x14ac:dyDescent="0.25">
      <c r="A9967" s="104"/>
      <c r="B9967" s="104"/>
    </row>
    <row r="9968" spans="1:2" x14ac:dyDescent="0.25">
      <c r="A9968" s="104"/>
      <c r="B9968" s="104"/>
    </row>
    <row r="9969" spans="1:2" x14ac:dyDescent="0.25">
      <c r="A9969" s="104"/>
      <c r="B9969" s="104"/>
    </row>
    <row r="9970" spans="1:2" x14ac:dyDescent="0.25">
      <c r="A9970" s="104"/>
      <c r="B9970" s="104"/>
    </row>
    <row r="9971" spans="1:2" x14ac:dyDescent="0.25">
      <c r="A9971" s="104"/>
      <c r="B9971" s="104"/>
    </row>
    <row r="9972" spans="1:2" x14ac:dyDescent="0.25">
      <c r="A9972" s="104"/>
      <c r="B9972" s="104"/>
    </row>
    <row r="9973" spans="1:2" x14ac:dyDescent="0.25">
      <c r="A9973" s="104"/>
      <c r="B9973" s="104"/>
    </row>
    <row r="9974" spans="1:2" x14ac:dyDescent="0.25">
      <c r="A9974" s="104"/>
      <c r="B9974" s="104"/>
    </row>
    <row r="9975" spans="1:2" x14ac:dyDescent="0.25">
      <c r="A9975" s="104"/>
      <c r="B9975" s="104"/>
    </row>
    <row r="9976" spans="1:2" x14ac:dyDescent="0.25">
      <c r="A9976" s="104"/>
      <c r="B9976" s="104"/>
    </row>
    <row r="9977" spans="1:2" x14ac:dyDescent="0.25">
      <c r="A9977" s="104"/>
      <c r="B9977" s="104"/>
    </row>
    <row r="9978" spans="1:2" x14ac:dyDescent="0.25">
      <c r="A9978" s="104"/>
      <c r="B9978" s="104"/>
    </row>
    <row r="9979" spans="1:2" x14ac:dyDescent="0.25">
      <c r="A9979" s="104"/>
      <c r="B9979" s="104"/>
    </row>
    <row r="9980" spans="1:2" x14ac:dyDescent="0.25">
      <c r="A9980" s="104"/>
      <c r="B9980" s="104"/>
    </row>
    <row r="9981" spans="1:2" x14ac:dyDescent="0.25">
      <c r="A9981" s="104"/>
      <c r="B9981" s="104"/>
    </row>
    <row r="9982" spans="1:2" x14ac:dyDescent="0.25">
      <c r="A9982" s="104"/>
      <c r="B9982" s="104"/>
    </row>
    <row r="9983" spans="1:2" x14ac:dyDescent="0.25">
      <c r="A9983" s="104"/>
      <c r="B9983" s="104"/>
    </row>
    <row r="9984" spans="1:2" x14ac:dyDescent="0.25">
      <c r="A9984" s="104"/>
      <c r="B9984" s="104"/>
    </row>
    <row r="9985" spans="1:2" x14ac:dyDescent="0.25">
      <c r="A9985" s="104"/>
      <c r="B9985" s="104"/>
    </row>
    <row r="9986" spans="1:2" x14ac:dyDescent="0.25">
      <c r="A9986" s="104"/>
      <c r="B9986" s="104"/>
    </row>
    <row r="9987" spans="1:2" x14ac:dyDescent="0.25">
      <c r="A9987" s="104"/>
      <c r="B9987" s="104"/>
    </row>
    <row r="9988" spans="1:2" x14ac:dyDescent="0.25">
      <c r="A9988" s="104"/>
      <c r="B9988" s="104"/>
    </row>
    <row r="9989" spans="1:2" x14ac:dyDescent="0.25">
      <c r="A9989" s="104"/>
      <c r="B9989" s="104"/>
    </row>
    <row r="9990" spans="1:2" x14ac:dyDescent="0.25">
      <c r="A9990" s="104"/>
      <c r="B9990" s="104"/>
    </row>
    <row r="9991" spans="1:2" x14ac:dyDescent="0.25">
      <c r="A9991" s="104"/>
      <c r="B9991" s="104"/>
    </row>
    <row r="9992" spans="1:2" x14ac:dyDescent="0.25">
      <c r="A9992" s="104"/>
      <c r="B9992" s="104"/>
    </row>
    <row r="9993" spans="1:2" x14ac:dyDescent="0.25">
      <c r="A9993" s="104"/>
      <c r="B9993" s="104"/>
    </row>
    <row r="9994" spans="1:2" x14ac:dyDescent="0.25">
      <c r="A9994" s="104"/>
      <c r="B9994" s="104"/>
    </row>
    <row r="9995" spans="1:2" x14ac:dyDescent="0.25">
      <c r="A9995" s="104"/>
      <c r="B9995" s="104"/>
    </row>
    <row r="9996" spans="1:2" x14ac:dyDescent="0.25">
      <c r="A9996" s="104"/>
      <c r="B9996" s="104"/>
    </row>
    <row r="9997" spans="1:2" x14ac:dyDescent="0.25">
      <c r="A9997" s="104"/>
      <c r="B9997" s="104"/>
    </row>
    <row r="9998" spans="1:2" x14ac:dyDescent="0.25">
      <c r="A9998" s="104"/>
      <c r="B9998" s="104"/>
    </row>
    <row r="9999" spans="1:2" x14ac:dyDescent="0.25">
      <c r="A9999" s="104"/>
      <c r="B9999" s="104"/>
    </row>
    <row r="10000" spans="1:2" x14ac:dyDescent="0.25">
      <c r="A10000" s="104"/>
      <c r="B10000" s="104"/>
    </row>
    <row r="10001" spans="1:2" x14ac:dyDescent="0.25">
      <c r="A10001" s="104"/>
      <c r="B10001" s="104"/>
    </row>
    <row r="10002" spans="1:2" x14ac:dyDescent="0.25">
      <c r="A10002" s="104"/>
      <c r="B10002" s="104"/>
    </row>
    <row r="10003" spans="1:2" x14ac:dyDescent="0.25">
      <c r="A10003" s="104"/>
      <c r="B10003" s="104"/>
    </row>
    <row r="10004" spans="1:2" x14ac:dyDescent="0.25">
      <c r="A10004" s="104"/>
      <c r="B10004" s="104"/>
    </row>
    <row r="10005" spans="1:2" x14ac:dyDescent="0.25">
      <c r="A10005" s="104"/>
      <c r="B10005" s="104"/>
    </row>
    <row r="10006" spans="1:2" x14ac:dyDescent="0.25">
      <c r="A10006" s="104"/>
      <c r="B10006" s="104"/>
    </row>
    <row r="10007" spans="1:2" x14ac:dyDescent="0.25">
      <c r="A10007" s="104"/>
      <c r="B10007" s="104"/>
    </row>
    <row r="10008" spans="1:2" x14ac:dyDescent="0.25">
      <c r="A10008" s="104"/>
      <c r="B10008" s="104"/>
    </row>
    <row r="10009" spans="1:2" x14ac:dyDescent="0.25">
      <c r="A10009" s="104"/>
      <c r="B10009" s="104"/>
    </row>
    <row r="10010" spans="1:2" x14ac:dyDescent="0.25">
      <c r="A10010" s="104"/>
      <c r="B10010" s="104"/>
    </row>
    <row r="10011" spans="1:2" x14ac:dyDescent="0.25">
      <c r="A10011" s="104"/>
      <c r="B10011" s="104"/>
    </row>
    <row r="10012" spans="1:2" x14ac:dyDescent="0.25">
      <c r="A10012" s="104"/>
      <c r="B10012" s="104"/>
    </row>
    <row r="10013" spans="1:2" x14ac:dyDescent="0.25">
      <c r="A10013" s="104"/>
      <c r="B10013" s="104"/>
    </row>
    <row r="10014" spans="1:2" x14ac:dyDescent="0.25">
      <c r="A10014" s="104"/>
      <c r="B10014" s="104"/>
    </row>
    <row r="10015" spans="1:2" x14ac:dyDescent="0.25">
      <c r="A10015" s="104"/>
      <c r="B10015" s="104"/>
    </row>
    <row r="10016" spans="1:2" x14ac:dyDescent="0.25">
      <c r="A10016" s="104"/>
      <c r="B10016" s="104"/>
    </row>
    <row r="10017" spans="1:2" x14ac:dyDescent="0.25">
      <c r="A10017" s="104"/>
      <c r="B10017" s="104"/>
    </row>
    <row r="10018" spans="1:2" x14ac:dyDescent="0.25">
      <c r="A10018" s="104"/>
      <c r="B10018" s="104"/>
    </row>
    <row r="10019" spans="1:2" x14ac:dyDescent="0.25">
      <c r="A10019" s="104"/>
      <c r="B10019" s="104"/>
    </row>
    <row r="10020" spans="1:2" x14ac:dyDescent="0.25">
      <c r="A10020" s="104"/>
      <c r="B10020" s="104"/>
    </row>
    <row r="10021" spans="1:2" x14ac:dyDescent="0.25">
      <c r="A10021" s="104"/>
      <c r="B10021" s="104"/>
    </row>
    <row r="10022" spans="1:2" x14ac:dyDescent="0.25">
      <c r="A10022" s="104"/>
      <c r="B10022" s="104"/>
    </row>
    <row r="10023" spans="1:2" x14ac:dyDescent="0.25">
      <c r="A10023" s="104"/>
      <c r="B10023" s="104"/>
    </row>
    <row r="10024" spans="1:2" x14ac:dyDescent="0.25">
      <c r="A10024" s="104"/>
      <c r="B10024" s="104"/>
    </row>
    <row r="10025" spans="1:2" x14ac:dyDescent="0.25">
      <c r="A10025" s="104"/>
      <c r="B10025" s="104"/>
    </row>
    <row r="10026" spans="1:2" x14ac:dyDescent="0.25">
      <c r="A10026" s="104"/>
      <c r="B10026" s="104"/>
    </row>
    <row r="10027" spans="1:2" x14ac:dyDescent="0.25">
      <c r="A10027" s="104"/>
      <c r="B10027" s="104"/>
    </row>
    <row r="10028" spans="1:2" x14ac:dyDescent="0.25">
      <c r="A10028" s="104"/>
      <c r="B10028" s="104"/>
    </row>
    <row r="10029" spans="1:2" x14ac:dyDescent="0.25">
      <c r="A10029" s="104"/>
      <c r="B10029" s="104"/>
    </row>
    <row r="10030" spans="1:2" x14ac:dyDescent="0.25">
      <c r="A10030" s="104"/>
      <c r="B10030" s="104"/>
    </row>
    <row r="10031" spans="1:2" x14ac:dyDescent="0.25">
      <c r="A10031" s="104"/>
      <c r="B10031" s="104"/>
    </row>
    <row r="10032" spans="1:2" x14ac:dyDescent="0.25">
      <c r="A10032" s="104"/>
      <c r="B10032" s="104"/>
    </row>
    <row r="10033" spans="1:2" x14ac:dyDescent="0.25">
      <c r="A10033" s="104"/>
      <c r="B10033" s="104"/>
    </row>
    <row r="10034" spans="1:2" x14ac:dyDescent="0.25">
      <c r="A10034" s="104"/>
      <c r="B10034" s="104"/>
    </row>
    <row r="10035" spans="1:2" x14ac:dyDescent="0.25">
      <c r="A10035" s="104"/>
      <c r="B10035" s="104"/>
    </row>
    <row r="10036" spans="1:2" x14ac:dyDescent="0.25">
      <c r="A10036" s="104"/>
      <c r="B10036" s="104"/>
    </row>
    <row r="10037" spans="1:2" x14ac:dyDescent="0.25">
      <c r="A10037" s="104"/>
      <c r="B10037" s="104"/>
    </row>
    <row r="10038" spans="1:2" x14ac:dyDescent="0.25">
      <c r="A10038" s="104"/>
      <c r="B10038" s="104"/>
    </row>
    <row r="10039" spans="1:2" x14ac:dyDescent="0.25">
      <c r="A10039" s="104"/>
      <c r="B10039" s="104"/>
    </row>
    <row r="10040" spans="1:2" x14ac:dyDescent="0.25">
      <c r="A10040" s="104"/>
      <c r="B10040" s="104"/>
    </row>
    <row r="10041" spans="1:2" x14ac:dyDescent="0.25">
      <c r="A10041" s="104"/>
      <c r="B10041" s="104"/>
    </row>
    <row r="10042" spans="1:2" x14ac:dyDescent="0.25">
      <c r="A10042" s="104"/>
      <c r="B10042" s="104"/>
    </row>
    <row r="10043" spans="1:2" x14ac:dyDescent="0.25">
      <c r="A10043" s="104"/>
      <c r="B10043" s="104"/>
    </row>
    <row r="10044" spans="1:2" x14ac:dyDescent="0.25">
      <c r="A10044" s="104"/>
      <c r="B10044" s="104"/>
    </row>
    <row r="10045" spans="1:2" x14ac:dyDescent="0.25">
      <c r="A10045" s="104"/>
      <c r="B10045" s="104"/>
    </row>
    <row r="10046" spans="1:2" x14ac:dyDescent="0.25">
      <c r="A10046" s="104"/>
      <c r="B10046" s="104"/>
    </row>
    <row r="10047" spans="1:2" x14ac:dyDescent="0.25">
      <c r="A10047" s="104"/>
      <c r="B10047" s="104"/>
    </row>
    <row r="10048" spans="1:2" x14ac:dyDescent="0.25">
      <c r="A10048" s="104"/>
      <c r="B10048" s="104"/>
    </row>
    <row r="10049" spans="1:2" x14ac:dyDescent="0.25">
      <c r="A10049" s="104"/>
      <c r="B10049" s="104"/>
    </row>
    <row r="10050" spans="1:2" x14ac:dyDescent="0.25">
      <c r="A10050" s="104"/>
      <c r="B10050" s="104"/>
    </row>
    <row r="10051" spans="1:2" x14ac:dyDescent="0.25">
      <c r="A10051" s="104"/>
      <c r="B10051" s="104"/>
    </row>
    <row r="10052" spans="1:2" x14ac:dyDescent="0.25">
      <c r="A10052" s="104"/>
      <c r="B10052" s="104"/>
    </row>
    <row r="10053" spans="1:2" x14ac:dyDescent="0.25">
      <c r="A10053" s="104"/>
      <c r="B10053" s="104"/>
    </row>
    <row r="10054" spans="1:2" x14ac:dyDescent="0.25">
      <c r="A10054" s="104"/>
      <c r="B10054" s="104"/>
    </row>
    <row r="10055" spans="1:2" x14ac:dyDescent="0.25">
      <c r="A10055" s="104"/>
      <c r="B10055" s="104"/>
    </row>
    <row r="10056" spans="1:2" x14ac:dyDescent="0.25">
      <c r="A10056" s="104"/>
      <c r="B10056" s="104"/>
    </row>
    <row r="10057" spans="1:2" x14ac:dyDescent="0.25">
      <c r="A10057" s="104"/>
      <c r="B10057" s="104"/>
    </row>
    <row r="10058" spans="1:2" x14ac:dyDescent="0.25">
      <c r="A10058" s="104"/>
      <c r="B10058" s="104"/>
    </row>
    <row r="10059" spans="1:2" x14ac:dyDescent="0.25">
      <c r="A10059" s="104"/>
      <c r="B10059" s="104"/>
    </row>
    <row r="10060" spans="1:2" x14ac:dyDescent="0.25">
      <c r="A10060" s="104"/>
      <c r="B10060" s="104"/>
    </row>
    <row r="10061" spans="1:2" x14ac:dyDescent="0.25">
      <c r="A10061" s="104"/>
      <c r="B10061" s="104"/>
    </row>
    <row r="10062" spans="1:2" x14ac:dyDescent="0.25">
      <c r="A10062" s="104"/>
      <c r="B10062" s="104"/>
    </row>
    <row r="10063" spans="1:2" x14ac:dyDescent="0.25">
      <c r="A10063" s="104"/>
      <c r="B10063" s="104"/>
    </row>
    <row r="10064" spans="1:2" x14ac:dyDescent="0.25">
      <c r="A10064" s="104"/>
      <c r="B10064" s="104"/>
    </row>
    <row r="10065" spans="1:2" x14ac:dyDescent="0.25">
      <c r="A10065" s="104"/>
      <c r="B10065" s="104"/>
    </row>
    <row r="10066" spans="1:2" x14ac:dyDescent="0.25">
      <c r="A10066" s="104"/>
      <c r="B10066" s="104"/>
    </row>
    <row r="10067" spans="1:2" x14ac:dyDescent="0.25">
      <c r="A10067" s="104"/>
      <c r="B10067" s="104"/>
    </row>
    <row r="10068" spans="1:2" x14ac:dyDescent="0.25">
      <c r="A10068" s="104"/>
      <c r="B10068" s="104"/>
    </row>
    <row r="10069" spans="1:2" x14ac:dyDescent="0.25">
      <c r="A10069" s="104"/>
      <c r="B10069" s="104"/>
    </row>
    <row r="10070" spans="1:2" x14ac:dyDescent="0.25">
      <c r="A10070" s="104"/>
      <c r="B10070" s="104"/>
    </row>
    <row r="10071" spans="1:2" x14ac:dyDescent="0.25">
      <c r="A10071" s="104"/>
      <c r="B10071" s="104"/>
    </row>
    <row r="10072" spans="1:2" x14ac:dyDescent="0.25">
      <c r="A10072" s="104"/>
      <c r="B10072" s="104"/>
    </row>
    <row r="10073" spans="1:2" x14ac:dyDescent="0.25">
      <c r="A10073" s="104"/>
      <c r="B10073" s="104"/>
    </row>
    <row r="10074" spans="1:2" x14ac:dyDescent="0.25">
      <c r="A10074" s="104"/>
      <c r="B10074" s="104"/>
    </row>
    <row r="10075" spans="1:2" x14ac:dyDescent="0.25">
      <c r="A10075" s="104"/>
      <c r="B10075" s="104"/>
    </row>
    <row r="10076" spans="1:2" x14ac:dyDescent="0.25">
      <c r="A10076" s="104"/>
      <c r="B10076" s="104"/>
    </row>
    <row r="10077" spans="1:2" x14ac:dyDescent="0.25">
      <c r="A10077" s="104"/>
      <c r="B10077" s="104"/>
    </row>
    <row r="10078" spans="1:2" x14ac:dyDescent="0.25">
      <c r="A10078" s="104"/>
      <c r="B10078" s="104"/>
    </row>
    <row r="10079" spans="1:2" x14ac:dyDescent="0.25">
      <c r="A10079" s="104"/>
      <c r="B10079" s="104"/>
    </row>
    <row r="10080" spans="1:2" x14ac:dyDescent="0.25">
      <c r="A10080" s="104"/>
      <c r="B10080" s="104"/>
    </row>
    <row r="10081" spans="1:2" x14ac:dyDescent="0.25">
      <c r="A10081" s="104"/>
      <c r="B10081" s="104"/>
    </row>
    <row r="10082" spans="1:2" x14ac:dyDescent="0.25">
      <c r="A10082" s="104"/>
      <c r="B10082" s="104"/>
    </row>
    <row r="10083" spans="1:2" x14ac:dyDescent="0.25">
      <c r="A10083" s="104"/>
      <c r="B10083" s="104"/>
    </row>
    <row r="10084" spans="1:2" x14ac:dyDescent="0.25">
      <c r="A10084" s="104"/>
      <c r="B10084" s="104"/>
    </row>
    <row r="10085" spans="1:2" x14ac:dyDescent="0.25">
      <c r="A10085" s="104"/>
      <c r="B10085" s="104"/>
    </row>
    <row r="10086" spans="1:2" x14ac:dyDescent="0.25">
      <c r="A10086" s="104"/>
      <c r="B10086" s="104"/>
    </row>
    <row r="10087" spans="1:2" x14ac:dyDescent="0.25">
      <c r="A10087" s="104"/>
      <c r="B10087" s="104"/>
    </row>
    <row r="10088" spans="1:2" x14ac:dyDescent="0.25">
      <c r="A10088" s="104"/>
      <c r="B10088" s="104"/>
    </row>
    <row r="10089" spans="1:2" x14ac:dyDescent="0.25">
      <c r="A10089" s="104"/>
      <c r="B10089" s="104"/>
    </row>
    <row r="10090" spans="1:2" x14ac:dyDescent="0.25">
      <c r="A10090" s="104"/>
      <c r="B10090" s="104"/>
    </row>
    <row r="10091" spans="1:2" x14ac:dyDescent="0.25">
      <c r="A10091" s="104"/>
      <c r="B10091" s="104"/>
    </row>
    <row r="10092" spans="1:2" x14ac:dyDescent="0.25">
      <c r="A10092" s="104"/>
      <c r="B10092" s="104"/>
    </row>
    <row r="10093" spans="1:2" x14ac:dyDescent="0.25">
      <c r="A10093" s="104"/>
      <c r="B10093" s="104"/>
    </row>
    <row r="10094" spans="1:2" x14ac:dyDescent="0.25">
      <c r="A10094" s="104"/>
      <c r="B10094" s="104"/>
    </row>
    <row r="10095" spans="1:2" x14ac:dyDescent="0.25">
      <c r="A10095" s="104"/>
      <c r="B10095" s="104"/>
    </row>
    <row r="10096" spans="1:2" x14ac:dyDescent="0.25">
      <c r="A10096" s="104"/>
      <c r="B10096" s="104"/>
    </row>
    <row r="10097" spans="1:2" x14ac:dyDescent="0.25">
      <c r="A10097" s="104"/>
      <c r="B10097" s="104"/>
    </row>
    <row r="10098" spans="1:2" x14ac:dyDescent="0.25">
      <c r="A10098" s="104"/>
      <c r="B10098" s="104"/>
    </row>
    <row r="10099" spans="1:2" x14ac:dyDescent="0.25">
      <c r="A10099" s="104"/>
      <c r="B10099" s="104"/>
    </row>
    <row r="10100" spans="1:2" x14ac:dyDescent="0.25">
      <c r="A10100" s="104"/>
      <c r="B10100" s="104"/>
    </row>
    <row r="10101" spans="1:2" x14ac:dyDescent="0.25">
      <c r="A10101" s="104"/>
      <c r="B10101" s="104"/>
    </row>
    <row r="10102" spans="1:2" x14ac:dyDescent="0.25">
      <c r="A10102" s="104"/>
      <c r="B10102" s="104"/>
    </row>
    <row r="10103" spans="1:2" x14ac:dyDescent="0.25">
      <c r="A10103" s="104"/>
      <c r="B10103" s="104"/>
    </row>
    <row r="10104" spans="1:2" x14ac:dyDescent="0.25">
      <c r="A10104" s="104"/>
      <c r="B10104" s="104"/>
    </row>
    <row r="10105" spans="1:2" x14ac:dyDescent="0.25">
      <c r="A10105" s="104"/>
      <c r="B10105" s="104"/>
    </row>
    <row r="10106" spans="1:2" x14ac:dyDescent="0.25">
      <c r="A10106" s="104"/>
      <c r="B10106" s="104"/>
    </row>
    <row r="10107" spans="1:2" x14ac:dyDescent="0.25">
      <c r="A10107" s="104"/>
      <c r="B10107" s="104"/>
    </row>
    <row r="10108" spans="1:2" x14ac:dyDescent="0.25">
      <c r="A10108" s="104"/>
      <c r="B10108" s="104"/>
    </row>
    <row r="10109" spans="1:2" x14ac:dyDescent="0.25">
      <c r="A10109" s="104"/>
      <c r="B10109" s="104"/>
    </row>
    <row r="10110" spans="1:2" x14ac:dyDescent="0.25">
      <c r="A10110" s="104"/>
      <c r="B10110" s="104"/>
    </row>
    <row r="10111" spans="1:2" x14ac:dyDescent="0.25">
      <c r="A10111" s="104"/>
      <c r="B10111" s="104"/>
    </row>
    <row r="10112" spans="1:2" x14ac:dyDescent="0.25">
      <c r="A10112" s="104"/>
      <c r="B10112" s="104"/>
    </row>
    <row r="10113" spans="1:2" x14ac:dyDescent="0.25">
      <c r="A10113" s="104"/>
      <c r="B10113" s="104"/>
    </row>
    <row r="10114" spans="1:2" x14ac:dyDescent="0.25">
      <c r="A10114" s="104"/>
      <c r="B10114" s="104"/>
    </row>
    <row r="10115" spans="1:2" x14ac:dyDescent="0.25">
      <c r="A10115" s="104"/>
      <c r="B10115" s="104"/>
    </row>
    <row r="10116" spans="1:2" x14ac:dyDescent="0.25">
      <c r="A10116" s="104"/>
      <c r="B10116" s="104"/>
    </row>
    <row r="10117" spans="1:2" x14ac:dyDescent="0.25">
      <c r="A10117" s="104"/>
      <c r="B10117" s="104"/>
    </row>
    <row r="10118" spans="1:2" x14ac:dyDescent="0.25">
      <c r="A10118" s="104"/>
      <c r="B10118" s="104"/>
    </row>
    <row r="10119" spans="1:2" x14ac:dyDescent="0.25">
      <c r="A10119" s="104"/>
      <c r="B10119" s="104"/>
    </row>
    <row r="10120" spans="1:2" x14ac:dyDescent="0.25">
      <c r="A10120" s="104"/>
      <c r="B10120" s="104"/>
    </row>
    <row r="10121" spans="1:2" x14ac:dyDescent="0.25">
      <c r="A10121" s="104"/>
      <c r="B10121" s="104"/>
    </row>
    <row r="10122" spans="1:2" x14ac:dyDescent="0.25">
      <c r="A10122" s="104"/>
      <c r="B10122" s="104"/>
    </row>
    <row r="10123" spans="1:2" x14ac:dyDescent="0.25">
      <c r="A10123" s="104"/>
      <c r="B10123" s="104"/>
    </row>
    <row r="10124" spans="1:2" x14ac:dyDescent="0.25">
      <c r="A10124" s="104"/>
      <c r="B10124" s="104"/>
    </row>
    <row r="10125" spans="1:2" x14ac:dyDescent="0.25">
      <c r="A10125" s="104"/>
      <c r="B10125" s="104"/>
    </row>
    <row r="10126" spans="1:2" x14ac:dyDescent="0.25">
      <c r="A10126" s="104"/>
      <c r="B10126" s="104"/>
    </row>
    <row r="10127" spans="1:2" x14ac:dyDescent="0.25">
      <c r="A10127" s="104"/>
      <c r="B10127" s="104"/>
    </row>
    <row r="10128" spans="1:2" x14ac:dyDescent="0.25">
      <c r="A10128" s="104"/>
      <c r="B10128" s="104"/>
    </row>
    <row r="10129" spans="1:2" x14ac:dyDescent="0.25">
      <c r="A10129" s="104"/>
      <c r="B10129" s="104"/>
    </row>
    <row r="10130" spans="1:2" x14ac:dyDescent="0.25">
      <c r="A10130" s="104"/>
      <c r="B10130" s="104"/>
    </row>
    <row r="10131" spans="1:2" x14ac:dyDescent="0.25">
      <c r="A10131" s="104"/>
      <c r="B10131" s="104"/>
    </row>
    <row r="10132" spans="1:2" x14ac:dyDescent="0.25">
      <c r="A10132" s="104"/>
      <c r="B10132" s="104"/>
    </row>
    <row r="10133" spans="1:2" x14ac:dyDescent="0.25">
      <c r="A10133" s="104"/>
      <c r="B10133" s="104"/>
    </row>
    <row r="10134" spans="1:2" x14ac:dyDescent="0.25">
      <c r="A10134" s="104"/>
      <c r="B10134" s="104"/>
    </row>
    <row r="10135" spans="1:2" x14ac:dyDescent="0.25">
      <c r="A10135" s="104"/>
      <c r="B10135" s="104"/>
    </row>
    <row r="10136" spans="1:2" x14ac:dyDescent="0.25">
      <c r="A10136" s="104"/>
      <c r="B10136" s="104"/>
    </row>
    <row r="10137" spans="1:2" x14ac:dyDescent="0.25">
      <c r="A10137" s="104"/>
      <c r="B10137" s="104"/>
    </row>
    <row r="10138" spans="1:2" x14ac:dyDescent="0.25">
      <c r="A10138" s="104"/>
      <c r="B10138" s="104"/>
    </row>
    <row r="10139" spans="1:2" x14ac:dyDescent="0.25">
      <c r="A10139" s="104"/>
      <c r="B10139" s="104"/>
    </row>
    <row r="10140" spans="1:2" x14ac:dyDescent="0.25">
      <c r="A10140" s="104"/>
      <c r="B10140" s="104"/>
    </row>
    <row r="10141" spans="1:2" x14ac:dyDescent="0.25">
      <c r="A10141" s="104"/>
      <c r="B10141" s="104"/>
    </row>
    <row r="10142" spans="1:2" x14ac:dyDescent="0.25">
      <c r="A10142" s="104"/>
      <c r="B10142" s="104"/>
    </row>
    <row r="10143" spans="1:2" x14ac:dyDescent="0.25">
      <c r="A10143" s="104"/>
      <c r="B10143" s="104"/>
    </row>
    <row r="10144" spans="1:2" x14ac:dyDescent="0.25">
      <c r="A10144" s="104"/>
      <c r="B10144" s="104"/>
    </row>
    <row r="10145" spans="1:2" x14ac:dyDescent="0.25">
      <c r="A10145" s="104"/>
      <c r="B10145" s="104"/>
    </row>
    <row r="10146" spans="1:2" x14ac:dyDescent="0.25">
      <c r="A10146" s="104"/>
      <c r="B10146" s="104"/>
    </row>
    <row r="10147" spans="1:2" x14ac:dyDescent="0.25">
      <c r="A10147" s="104"/>
      <c r="B10147" s="104"/>
    </row>
    <row r="10148" spans="1:2" x14ac:dyDescent="0.25">
      <c r="A10148" s="104"/>
      <c r="B10148" s="104"/>
    </row>
    <row r="10149" spans="1:2" x14ac:dyDescent="0.25">
      <c r="A10149" s="104"/>
      <c r="B10149" s="104"/>
    </row>
    <row r="10150" spans="1:2" x14ac:dyDescent="0.25">
      <c r="A10150" s="104"/>
      <c r="B10150" s="104"/>
    </row>
    <row r="10151" spans="1:2" x14ac:dyDescent="0.25">
      <c r="A10151" s="104"/>
      <c r="B10151" s="104"/>
    </row>
    <row r="10152" spans="1:2" x14ac:dyDescent="0.25">
      <c r="A10152" s="104"/>
      <c r="B10152" s="104"/>
    </row>
    <row r="10153" spans="1:2" x14ac:dyDescent="0.25">
      <c r="A10153" s="104"/>
      <c r="B10153" s="104"/>
    </row>
    <row r="10154" spans="1:2" x14ac:dyDescent="0.25">
      <c r="A10154" s="104"/>
      <c r="B10154" s="104"/>
    </row>
    <row r="10155" spans="1:2" x14ac:dyDescent="0.25">
      <c r="A10155" s="104"/>
      <c r="B10155" s="104"/>
    </row>
    <row r="10156" spans="1:2" x14ac:dyDescent="0.25">
      <c r="A10156" s="104"/>
      <c r="B10156" s="104"/>
    </row>
    <row r="10157" spans="1:2" x14ac:dyDescent="0.25">
      <c r="A10157" s="104"/>
      <c r="B10157" s="104"/>
    </row>
    <row r="10158" spans="1:2" x14ac:dyDescent="0.25">
      <c r="A10158" s="104"/>
      <c r="B10158" s="104"/>
    </row>
    <row r="10159" spans="1:2" x14ac:dyDescent="0.25">
      <c r="A10159" s="104"/>
      <c r="B10159" s="104"/>
    </row>
    <row r="10160" spans="1:2" x14ac:dyDescent="0.25">
      <c r="A10160" s="104"/>
      <c r="B10160" s="104"/>
    </row>
    <row r="10161" spans="1:2" x14ac:dyDescent="0.25">
      <c r="A10161" s="104"/>
      <c r="B10161" s="104"/>
    </row>
    <row r="10162" spans="1:2" x14ac:dyDescent="0.25">
      <c r="A10162" s="104"/>
      <c r="B10162" s="104"/>
    </row>
    <row r="10163" spans="1:2" x14ac:dyDescent="0.25">
      <c r="A10163" s="104"/>
      <c r="B10163" s="104"/>
    </row>
    <row r="10164" spans="1:2" x14ac:dyDescent="0.25">
      <c r="A10164" s="104"/>
      <c r="B10164" s="104"/>
    </row>
    <row r="10165" spans="1:2" x14ac:dyDescent="0.25">
      <c r="A10165" s="104"/>
      <c r="B10165" s="104"/>
    </row>
    <row r="10166" spans="1:2" x14ac:dyDescent="0.25">
      <c r="A10166" s="104"/>
      <c r="B10166" s="104"/>
    </row>
    <row r="10167" spans="1:2" x14ac:dyDescent="0.25">
      <c r="A10167" s="104"/>
      <c r="B10167" s="104"/>
    </row>
    <row r="10168" spans="1:2" x14ac:dyDescent="0.25">
      <c r="A10168" s="104"/>
      <c r="B10168" s="104"/>
    </row>
    <row r="10169" spans="1:2" x14ac:dyDescent="0.25">
      <c r="A10169" s="104"/>
      <c r="B10169" s="104"/>
    </row>
    <row r="10170" spans="1:2" x14ac:dyDescent="0.25">
      <c r="A10170" s="104"/>
      <c r="B10170" s="104"/>
    </row>
    <row r="10171" spans="1:2" x14ac:dyDescent="0.25">
      <c r="A10171" s="104"/>
      <c r="B10171" s="104"/>
    </row>
    <row r="10172" spans="1:2" x14ac:dyDescent="0.25">
      <c r="A10172" s="104"/>
      <c r="B10172" s="104"/>
    </row>
    <row r="10173" spans="1:2" x14ac:dyDescent="0.25">
      <c r="A10173" s="104"/>
      <c r="B10173" s="104"/>
    </row>
    <row r="10174" spans="1:2" x14ac:dyDescent="0.25">
      <c r="A10174" s="104"/>
      <c r="B10174" s="104"/>
    </row>
    <row r="10175" spans="1:2" x14ac:dyDescent="0.25">
      <c r="A10175" s="104"/>
      <c r="B10175" s="104"/>
    </row>
    <row r="10176" spans="1:2" x14ac:dyDescent="0.25">
      <c r="A10176" s="104"/>
      <c r="B10176" s="104"/>
    </row>
    <row r="10177" spans="1:2" x14ac:dyDescent="0.25">
      <c r="A10177" s="104"/>
      <c r="B10177" s="104"/>
    </row>
    <row r="10178" spans="1:2" x14ac:dyDescent="0.25">
      <c r="A10178" s="104"/>
      <c r="B10178" s="104"/>
    </row>
    <row r="10179" spans="1:2" x14ac:dyDescent="0.25">
      <c r="A10179" s="104"/>
      <c r="B10179" s="104"/>
    </row>
    <row r="10180" spans="1:2" x14ac:dyDescent="0.25">
      <c r="A10180" s="104"/>
      <c r="B10180" s="104"/>
    </row>
    <row r="10181" spans="1:2" x14ac:dyDescent="0.25">
      <c r="A10181" s="104"/>
      <c r="B10181" s="104"/>
    </row>
    <row r="10182" spans="1:2" x14ac:dyDescent="0.25">
      <c r="A10182" s="104"/>
      <c r="B10182" s="104"/>
    </row>
    <row r="10183" spans="1:2" x14ac:dyDescent="0.25">
      <c r="A10183" s="104"/>
      <c r="B10183" s="104"/>
    </row>
    <row r="10184" spans="1:2" x14ac:dyDescent="0.25">
      <c r="A10184" s="104"/>
      <c r="B10184" s="104"/>
    </row>
    <row r="10185" spans="1:2" x14ac:dyDescent="0.25">
      <c r="A10185" s="104"/>
      <c r="B10185" s="104"/>
    </row>
    <row r="10186" spans="1:2" x14ac:dyDescent="0.25">
      <c r="A10186" s="104"/>
      <c r="B10186" s="104"/>
    </row>
    <row r="10187" spans="1:2" x14ac:dyDescent="0.25">
      <c r="A10187" s="104"/>
      <c r="B10187" s="104"/>
    </row>
    <row r="10188" spans="1:2" x14ac:dyDescent="0.25">
      <c r="A10188" s="104"/>
      <c r="B10188" s="104"/>
    </row>
    <row r="10189" spans="1:2" x14ac:dyDescent="0.25">
      <c r="A10189" s="104"/>
      <c r="B10189" s="104"/>
    </row>
    <row r="10190" spans="1:2" x14ac:dyDescent="0.25">
      <c r="A10190" s="104"/>
      <c r="B10190" s="104"/>
    </row>
    <row r="10191" spans="1:2" x14ac:dyDescent="0.25">
      <c r="A10191" s="104"/>
      <c r="B10191" s="104"/>
    </row>
    <row r="10192" spans="1:2" x14ac:dyDescent="0.25">
      <c r="A10192" s="104"/>
      <c r="B10192" s="104"/>
    </row>
    <row r="10193" spans="1:2" x14ac:dyDescent="0.25">
      <c r="A10193" s="104"/>
      <c r="B10193" s="104"/>
    </row>
    <row r="10194" spans="1:2" x14ac:dyDescent="0.25">
      <c r="A10194" s="104"/>
      <c r="B10194" s="104"/>
    </row>
    <row r="10195" spans="1:2" x14ac:dyDescent="0.25">
      <c r="A10195" s="104"/>
      <c r="B10195" s="104"/>
    </row>
    <row r="10196" spans="1:2" x14ac:dyDescent="0.25">
      <c r="A10196" s="104"/>
      <c r="B10196" s="104"/>
    </row>
    <row r="10197" spans="1:2" x14ac:dyDescent="0.25">
      <c r="A10197" s="104"/>
      <c r="B10197" s="104"/>
    </row>
    <row r="10198" spans="1:2" x14ac:dyDescent="0.25">
      <c r="A10198" s="104"/>
      <c r="B10198" s="104"/>
    </row>
    <row r="10199" spans="1:2" x14ac:dyDescent="0.25">
      <c r="A10199" s="104"/>
      <c r="B10199" s="104"/>
    </row>
    <row r="10200" spans="1:2" x14ac:dyDescent="0.25">
      <c r="A10200" s="104"/>
      <c r="B10200" s="104"/>
    </row>
    <row r="10201" spans="1:2" x14ac:dyDescent="0.25">
      <c r="A10201" s="104"/>
      <c r="B10201" s="104"/>
    </row>
    <row r="10202" spans="1:2" x14ac:dyDescent="0.25">
      <c r="A10202" s="104"/>
      <c r="B10202" s="104"/>
    </row>
    <row r="10203" spans="1:2" x14ac:dyDescent="0.25">
      <c r="A10203" s="104"/>
      <c r="B10203" s="104"/>
    </row>
    <row r="10204" spans="1:2" x14ac:dyDescent="0.25">
      <c r="A10204" s="104"/>
      <c r="B10204" s="104"/>
    </row>
    <row r="10205" spans="1:2" x14ac:dyDescent="0.25">
      <c r="A10205" s="104"/>
      <c r="B10205" s="104"/>
    </row>
    <row r="10206" spans="1:2" x14ac:dyDescent="0.25">
      <c r="A10206" s="104"/>
      <c r="B10206" s="104"/>
    </row>
    <row r="10207" spans="1:2" x14ac:dyDescent="0.25">
      <c r="A10207" s="104"/>
      <c r="B10207" s="104"/>
    </row>
    <row r="10208" spans="1:2" x14ac:dyDescent="0.25">
      <c r="A10208" s="104"/>
      <c r="B10208" s="104"/>
    </row>
    <row r="10209" spans="1:2" x14ac:dyDescent="0.25">
      <c r="A10209" s="104"/>
      <c r="B10209" s="104"/>
    </row>
    <row r="10210" spans="1:2" x14ac:dyDescent="0.25">
      <c r="A10210" s="104"/>
      <c r="B10210" s="104"/>
    </row>
    <row r="10211" spans="1:2" x14ac:dyDescent="0.25">
      <c r="A10211" s="104"/>
      <c r="B10211" s="104"/>
    </row>
    <row r="10212" spans="1:2" x14ac:dyDescent="0.25">
      <c r="A10212" s="104"/>
      <c r="B10212" s="104"/>
    </row>
    <row r="10213" spans="1:2" x14ac:dyDescent="0.25">
      <c r="A10213" s="104"/>
      <c r="B10213" s="104"/>
    </row>
    <row r="10214" spans="1:2" x14ac:dyDescent="0.25">
      <c r="A10214" s="104"/>
      <c r="B10214" s="104"/>
    </row>
    <row r="10215" spans="1:2" x14ac:dyDescent="0.25">
      <c r="A10215" s="104"/>
      <c r="B10215" s="104"/>
    </row>
    <row r="10216" spans="1:2" x14ac:dyDescent="0.25">
      <c r="A10216" s="104"/>
      <c r="B10216" s="104"/>
    </row>
    <row r="10217" spans="1:2" x14ac:dyDescent="0.25">
      <c r="A10217" s="104"/>
      <c r="B10217" s="104"/>
    </row>
    <row r="10218" spans="1:2" x14ac:dyDescent="0.25">
      <c r="A10218" s="104"/>
      <c r="B10218" s="104"/>
    </row>
    <row r="10219" spans="1:2" x14ac:dyDescent="0.25">
      <c r="A10219" s="104"/>
      <c r="B10219" s="104"/>
    </row>
    <row r="10220" spans="1:2" x14ac:dyDescent="0.25">
      <c r="A10220" s="104"/>
      <c r="B10220" s="104"/>
    </row>
    <row r="10221" spans="1:2" x14ac:dyDescent="0.25">
      <c r="A10221" s="104"/>
      <c r="B10221" s="104"/>
    </row>
    <row r="10222" spans="1:2" x14ac:dyDescent="0.25">
      <c r="A10222" s="104"/>
      <c r="B10222" s="104"/>
    </row>
    <row r="10223" spans="1:2" x14ac:dyDescent="0.25">
      <c r="A10223" s="104"/>
      <c r="B10223" s="104"/>
    </row>
    <row r="10224" spans="1:2" x14ac:dyDescent="0.25">
      <c r="A10224" s="104"/>
      <c r="B10224" s="104"/>
    </row>
    <row r="10225" spans="1:2" x14ac:dyDescent="0.25">
      <c r="A10225" s="104"/>
      <c r="B10225" s="104"/>
    </row>
    <row r="10226" spans="1:2" x14ac:dyDescent="0.25">
      <c r="A10226" s="104"/>
      <c r="B10226" s="104"/>
    </row>
    <row r="10227" spans="1:2" x14ac:dyDescent="0.25">
      <c r="A10227" s="104"/>
      <c r="B10227" s="104"/>
    </row>
    <row r="10228" spans="1:2" x14ac:dyDescent="0.25">
      <c r="A10228" s="104"/>
      <c r="B10228" s="104"/>
    </row>
    <row r="10229" spans="1:2" x14ac:dyDescent="0.25">
      <c r="A10229" s="104"/>
      <c r="B10229" s="104"/>
    </row>
    <row r="10230" spans="1:2" x14ac:dyDescent="0.25">
      <c r="A10230" s="104"/>
      <c r="B10230" s="104"/>
    </row>
    <row r="10231" spans="1:2" x14ac:dyDescent="0.25">
      <c r="A10231" s="104"/>
      <c r="B10231" s="104"/>
    </row>
    <row r="10232" spans="1:2" x14ac:dyDescent="0.25">
      <c r="A10232" s="104"/>
      <c r="B10232" s="104"/>
    </row>
    <row r="10233" spans="1:2" x14ac:dyDescent="0.25">
      <c r="A10233" s="104"/>
      <c r="B10233" s="104"/>
    </row>
    <row r="10234" spans="1:2" x14ac:dyDescent="0.25">
      <c r="A10234" s="104"/>
      <c r="B10234" s="104"/>
    </row>
    <row r="10235" spans="1:2" x14ac:dyDescent="0.25">
      <c r="A10235" s="104"/>
      <c r="B10235" s="104"/>
    </row>
    <row r="10236" spans="1:2" x14ac:dyDescent="0.25">
      <c r="A10236" s="104"/>
      <c r="B10236" s="104"/>
    </row>
    <row r="10237" spans="1:2" x14ac:dyDescent="0.25">
      <c r="A10237" s="104"/>
      <c r="B10237" s="104"/>
    </row>
    <row r="10238" spans="1:2" x14ac:dyDescent="0.25">
      <c r="A10238" s="104"/>
      <c r="B10238" s="104"/>
    </row>
    <row r="10239" spans="1:2" x14ac:dyDescent="0.25">
      <c r="A10239" s="104"/>
      <c r="B10239" s="104"/>
    </row>
    <row r="10240" spans="1:2" x14ac:dyDescent="0.25">
      <c r="A10240" s="104"/>
      <c r="B10240" s="104"/>
    </row>
    <row r="10241" spans="1:2" x14ac:dyDescent="0.25">
      <c r="A10241" s="104"/>
      <c r="B10241" s="104"/>
    </row>
    <row r="10242" spans="1:2" x14ac:dyDescent="0.25">
      <c r="A10242" s="104"/>
      <c r="B10242" s="104"/>
    </row>
    <row r="10243" spans="1:2" x14ac:dyDescent="0.25">
      <c r="A10243" s="104"/>
      <c r="B10243" s="104"/>
    </row>
    <row r="10244" spans="1:2" x14ac:dyDescent="0.25">
      <c r="A10244" s="104"/>
      <c r="B10244" s="104"/>
    </row>
    <row r="10245" spans="1:2" x14ac:dyDescent="0.25">
      <c r="A10245" s="104"/>
      <c r="B10245" s="104"/>
    </row>
    <row r="10246" spans="1:2" x14ac:dyDescent="0.25">
      <c r="A10246" s="104"/>
      <c r="B10246" s="104"/>
    </row>
    <row r="10247" spans="1:2" x14ac:dyDescent="0.25">
      <c r="A10247" s="104"/>
      <c r="B10247" s="104"/>
    </row>
    <row r="10248" spans="1:2" x14ac:dyDescent="0.25">
      <c r="A10248" s="104"/>
      <c r="B10248" s="104"/>
    </row>
    <row r="10249" spans="1:2" x14ac:dyDescent="0.25">
      <c r="A10249" s="104"/>
      <c r="B10249" s="104"/>
    </row>
    <row r="10250" spans="1:2" x14ac:dyDescent="0.25">
      <c r="A10250" s="104"/>
      <c r="B10250" s="104"/>
    </row>
    <row r="10251" spans="1:2" x14ac:dyDescent="0.25">
      <c r="A10251" s="104"/>
      <c r="B10251" s="104"/>
    </row>
    <row r="10252" spans="1:2" x14ac:dyDescent="0.25">
      <c r="A10252" s="104"/>
      <c r="B10252" s="104"/>
    </row>
    <row r="10253" spans="1:2" x14ac:dyDescent="0.25">
      <c r="A10253" s="104"/>
      <c r="B10253" s="104"/>
    </row>
    <row r="10254" spans="1:2" x14ac:dyDescent="0.25">
      <c r="A10254" s="104"/>
      <c r="B10254" s="104"/>
    </row>
    <row r="10255" spans="1:2" x14ac:dyDescent="0.25">
      <c r="A10255" s="104"/>
      <c r="B10255" s="104"/>
    </row>
    <row r="10256" spans="1:2" x14ac:dyDescent="0.25">
      <c r="A10256" s="104"/>
      <c r="B10256" s="104"/>
    </row>
    <row r="10257" spans="1:2" x14ac:dyDescent="0.25">
      <c r="A10257" s="104"/>
      <c r="B10257" s="104"/>
    </row>
    <row r="10258" spans="1:2" x14ac:dyDescent="0.25">
      <c r="A10258" s="104"/>
      <c r="B10258" s="104"/>
    </row>
    <row r="10259" spans="1:2" x14ac:dyDescent="0.25">
      <c r="A10259" s="104"/>
      <c r="B10259" s="104"/>
    </row>
    <row r="10260" spans="1:2" x14ac:dyDescent="0.25">
      <c r="A10260" s="104"/>
      <c r="B10260" s="104"/>
    </row>
    <row r="10261" spans="1:2" x14ac:dyDescent="0.25">
      <c r="A10261" s="104"/>
      <c r="B10261" s="104"/>
    </row>
    <row r="10262" spans="1:2" x14ac:dyDescent="0.25">
      <c r="A10262" s="104"/>
      <c r="B10262" s="104"/>
    </row>
    <row r="10263" spans="1:2" x14ac:dyDescent="0.25">
      <c r="A10263" s="104"/>
      <c r="B10263" s="104"/>
    </row>
    <row r="10264" spans="1:2" x14ac:dyDescent="0.25">
      <c r="A10264" s="104"/>
      <c r="B10264" s="104"/>
    </row>
    <row r="10265" spans="1:2" x14ac:dyDescent="0.25">
      <c r="A10265" s="104"/>
      <c r="B10265" s="104"/>
    </row>
    <row r="10266" spans="1:2" x14ac:dyDescent="0.25">
      <c r="A10266" s="104"/>
      <c r="B10266" s="104"/>
    </row>
    <row r="10267" spans="1:2" x14ac:dyDescent="0.25">
      <c r="A10267" s="104"/>
      <c r="B10267" s="104"/>
    </row>
    <row r="10268" spans="1:2" x14ac:dyDescent="0.25">
      <c r="A10268" s="104"/>
      <c r="B10268" s="104"/>
    </row>
    <row r="10269" spans="1:2" x14ac:dyDescent="0.25">
      <c r="A10269" s="104"/>
      <c r="B10269" s="104"/>
    </row>
    <row r="10270" spans="1:2" x14ac:dyDescent="0.25">
      <c r="A10270" s="104"/>
      <c r="B10270" s="104"/>
    </row>
    <row r="10271" spans="1:2" x14ac:dyDescent="0.25">
      <c r="A10271" s="104"/>
      <c r="B10271" s="104"/>
    </row>
    <row r="10272" spans="1:2" x14ac:dyDescent="0.25">
      <c r="A10272" s="104"/>
      <c r="B10272" s="104"/>
    </row>
    <row r="10273" spans="1:2" x14ac:dyDescent="0.25">
      <c r="A10273" s="104"/>
      <c r="B10273" s="104"/>
    </row>
    <row r="10274" spans="1:2" x14ac:dyDescent="0.25">
      <c r="A10274" s="104"/>
      <c r="B10274" s="104"/>
    </row>
    <row r="10275" spans="1:2" x14ac:dyDescent="0.25">
      <c r="A10275" s="104"/>
      <c r="B10275" s="104"/>
    </row>
    <row r="10276" spans="1:2" x14ac:dyDescent="0.25">
      <c r="A10276" s="104"/>
      <c r="B10276" s="104"/>
    </row>
    <row r="10277" spans="1:2" x14ac:dyDescent="0.25">
      <c r="A10277" s="104"/>
      <c r="B10277" s="104"/>
    </row>
    <row r="10278" spans="1:2" x14ac:dyDescent="0.25">
      <c r="A10278" s="104"/>
      <c r="B10278" s="104"/>
    </row>
    <row r="10279" spans="1:2" x14ac:dyDescent="0.25">
      <c r="A10279" s="104"/>
      <c r="B10279" s="104"/>
    </row>
    <row r="10280" spans="1:2" x14ac:dyDescent="0.25">
      <c r="A10280" s="104"/>
      <c r="B10280" s="104"/>
    </row>
    <row r="10281" spans="1:2" x14ac:dyDescent="0.25">
      <c r="A10281" s="104"/>
      <c r="B10281" s="104"/>
    </row>
    <row r="10282" spans="1:2" x14ac:dyDescent="0.25">
      <c r="A10282" s="104"/>
      <c r="B10282" s="104"/>
    </row>
    <row r="10283" spans="1:2" x14ac:dyDescent="0.25">
      <c r="A10283" s="104"/>
      <c r="B10283" s="104"/>
    </row>
    <row r="10284" spans="1:2" x14ac:dyDescent="0.25">
      <c r="A10284" s="104"/>
      <c r="B10284" s="104"/>
    </row>
    <row r="10285" spans="1:2" x14ac:dyDescent="0.25">
      <c r="A10285" s="104"/>
      <c r="B10285" s="104"/>
    </row>
    <row r="10286" spans="1:2" x14ac:dyDescent="0.25">
      <c r="A10286" s="104"/>
      <c r="B10286" s="104"/>
    </row>
    <row r="10287" spans="1:2" x14ac:dyDescent="0.25">
      <c r="A10287" s="104"/>
      <c r="B10287" s="104"/>
    </row>
    <row r="10288" spans="1:2" x14ac:dyDescent="0.25">
      <c r="A10288" s="104"/>
      <c r="B10288" s="104"/>
    </row>
    <row r="10289" spans="1:2" x14ac:dyDescent="0.25">
      <c r="A10289" s="104"/>
      <c r="B10289" s="104"/>
    </row>
    <row r="10290" spans="1:2" x14ac:dyDescent="0.25">
      <c r="A10290" s="104"/>
      <c r="B10290" s="104"/>
    </row>
    <row r="10291" spans="1:2" x14ac:dyDescent="0.25">
      <c r="A10291" s="104"/>
      <c r="B10291" s="104"/>
    </row>
    <row r="10292" spans="1:2" x14ac:dyDescent="0.25">
      <c r="A10292" s="104"/>
      <c r="B10292" s="104"/>
    </row>
    <row r="10293" spans="1:2" x14ac:dyDescent="0.25">
      <c r="A10293" s="104"/>
      <c r="B10293" s="104"/>
    </row>
    <row r="10294" spans="1:2" x14ac:dyDescent="0.25">
      <c r="A10294" s="104"/>
      <c r="B10294" s="104"/>
    </row>
    <row r="10295" spans="1:2" x14ac:dyDescent="0.25">
      <c r="A10295" s="104"/>
      <c r="B10295" s="104"/>
    </row>
    <row r="10296" spans="1:2" x14ac:dyDescent="0.25">
      <c r="A10296" s="104"/>
      <c r="B10296" s="104"/>
    </row>
    <row r="10297" spans="1:2" x14ac:dyDescent="0.25">
      <c r="A10297" s="104"/>
      <c r="B10297" s="104"/>
    </row>
    <row r="10298" spans="1:2" x14ac:dyDescent="0.25">
      <c r="A10298" s="104"/>
      <c r="B10298" s="104"/>
    </row>
    <row r="10299" spans="1:2" x14ac:dyDescent="0.25">
      <c r="A10299" s="104"/>
      <c r="B10299" s="104"/>
    </row>
    <row r="10300" spans="1:2" x14ac:dyDescent="0.25">
      <c r="A10300" s="104"/>
      <c r="B10300" s="104"/>
    </row>
    <row r="10301" spans="1:2" x14ac:dyDescent="0.25">
      <c r="A10301" s="104"/>
      <c r="B10301" s="104"/>
    </row>
    <row r="10302" spans="1:2" x14ac:dyDescent="0.25">
      <c r="A10302" s="104"/>
      <c r="B10302" s="104"/>
    </row>
    <row r="10303" spans="1:2" x14ac:dyDescent="0.25">
      <c r="A10303" s="104"/>
      <c r="B10303" s="104"/>
    </row>
    <row r="10304" spans="1:2" x14ac:dyDescent="0.25">
      <c r="A10304" s="104"/>
      <c r="B10304" s="104"/>
    </row>
    <row r="10305" spans="1:2" x14ac:dyDescent="0.25">
      <c r="A10305" s="104"/>
      <c r="B10305" s="104"/>
    </row>
    <row r="10306" spans="1:2" x14ac:dyDescent="0.25">
      <c r="A10306" s="104"/>
      <c r="B10306" s="104"/>
    </row>
    <row r="10307" spans="1:2" x14ac:dyDescent="0.25">
      <c r="A10307" s="104"/>
      <c r="B10307" s="104"/>
    </row>
    <row r="10308" spans="1:2" x14ac:dyDescent="0.25">
      <c r="A10308" s="104"/>
      <c r="B10308" s="104"/>
    </row>
    <row r="10309" spans="1:2" x14ac:dyDescent="0.25">
      <c r="A10309" s="104"/>
      <c r="B10309" s="104"/>
    </row>
    <row r="10310" spans="1:2" x14ac:dyDescent="0.25">
      <c r="A10310" s="104"/>
      <c r="B10310" s="104"/>
    </row>
    <row r="10311" spans="1:2" x14ac:dyDescent="0.25">
      <c r="A10311" s="104"/>
      <c r="B10311" s="104"/>
    </row>
    <row r="10312" spans="1:2" x14ac:dyDescent="0.25">
      <c r="A10312" s="104"/>
      <c r="B10312" s="104"/>
    </row>
    <row r="10313" spans="1:2" x14ac:dyDescent="0.25">
      <c r="A10313" s="104"/>
      <c r="B10313" s="104"/>
    </row>
    <row r="10314" spans="1:2" x14ac:dyDescent="0.25">
      <c r="A10314" s="104"/>
      <c r="B10314" s="104"/>
    </row>
    <row r="10315" spans="1:2" x14ac:dyDescent="0.25">
      <c r="A10315" s="104"/>
      <c r="B10315" s="104"/>
    </row>
    <row r="10316" spans="1:2" x14ac:dyDescent="0.25">
      <c r="A10316" s="104"/>
      <c r="B10316" s="104"/>
    </row>
    <row r="10317" spans="1:2" x14ac:dyDescent="0.25">
      <c r="A10317" s="104"/>
      <c r="B10317" s="104"/>
    </row>
    <row r="10318" spans="1:2" x14ac:dyDescent="0.25">
      <c r="A10318" s="104"/>
      <c r="B10318" s="104"/>
    </row>
    <row r="10319" spans="1:2" x14ac:dyDescent="0.25">
      <c r="A10319" s="104"/>
      <c r="B10319" s="104"/>
    </row>
    <row r="10320" spans="1:2" x14ac:dyDescent="0.25">
      <c r="A10320" s="104"/>
      <c r="B10320" s="104"/>
    </row>
    <row r="10321" spans="1:2" x14ac:dyDescent="0.25">
      <c r="A10321" s="104"/>
      <c r="B10321" s="104"/>
    </row>
    <row r="10322" spans="1:2" x14ac:dyDescent="0.25">
      <c r="A10322" s="104"/>
      <c r="B10322" s="104"/>
    </row>
    <row r="10323" spans="1:2" x14ac:dyDescent="0.25">
      <c r="A10323" s="104"/>
      <c r="B10323" s="104"/>
    </row>
    <row r="10324" spans="1:2" x14ac:dyDescent="0.25">
      <c r="A10324" s="104"/>
      <c r="B10324" s="104"/>
    </row>
    <row r="10325" spans="1:2" x14ac:dyDescent="0.25">
      <c r="A10325" s="104"/>
      <c r="B10325" s="104"/>
    </row>
    <row r="10326" spans="1:2" x14ac:dyDescent="0.25">
      <c r="A10326" s="104"/>
      <c r="B10326" s="104"/>
    </row>
    <row r="10327" spans="1:2" x14ac:dyDescent="0.25">
      <c r="A10327" s="104"/>
      <c r="B10327" s="104"/>
    </row>
    <row r="10328" spans="1:2" x14ac:dyDescent="0.25">
      <c r="A10328" s="104"/>
      <c r="B10328" s="104"/>
    </row>
    <row r="10329" spans="1:2" x14ac:dyDescent="0.25">
      <c r="A10329" s="104"/>
      <c r="B10329" s="104"/>
    </row>
    <row r="10330" spans="1:2" x14ac:dyDescent="0.25">
      <c r="A10330" s="104"/>
      <c r="B10330" s="104"/>
    </row>
    <row r="10331" spans="1:2" x14ac:dyDescent="0.25">
      <c r="A10331" s="104"/>
      <c r="B10331" s="104"/>
    </row>
    <row r="10332" spans="1:2" x14ac:dyDescent="0.25">
      <c r="A10332" s="104"/>
      <c r="B10332" s="104"/>
    </row>
    <row r="10333" spans="1:2" x14ac:dyDescent="0.25">
      <c r="A10333" s="104"/>
      <c r="B10333" s="104"/>
    </row>
    <row r="10334" spans="1:2" x14ac:dyDescent="0.25">
      <c r="A10334" s="104"/>
      <c r="B10334" s="104"/>
    </row>
    <row r="10335" spans="1:2" x14ac:dyDescent="0.25">
      <c r="A10335" s="104"/>
      <c r="B10335" s="104"/>
    </row>
    <row r="10336" spans="1:2" x14ac:dyDescent="0.25">
      <c r="A10336" s="104"/>
      <c r="B10336" s="104"/>
    </row>
    <row r="10337" spans="1:2" x14ac:dyDescent="0.25">
      <c r="A10337" s="104"/>
      <c r="B10337" s="104"/>
    </row>
    <row r="10338" spans="1:2" x14ac:dyDescent="0.25">
      <c r="A10338" s="104"/>
      <c r="B10338" s="104"/>
    </row>
    <row r="10339" spans="1:2" x14ac:dyDescent="0.25">
      <c r="A10339" s="104"/>
      <c r="B10339" s="104"/>
    </row>
    <row r="10340" spans="1:2" x14ac:dyDescent="0.25">
      <c r="A10340" s="104"/>
      <c r="B10340" s="104"/>
    </row>
    <row r="10341" spans="1:2" x14ac:dyDescent="0.25">
      <c r="A10341" s="104"/>
      <c r="B10341" s="104"/>
    </row>
    <row r="10342" spans="1:2" x14ac:dyDescent="0.25">
      <c r="A10342" s="104"/>
      <c r="B10342" s="104"/>
    </row>
    <row r="10343" spans="1:2" x14ac:dyDescent="0.25">
      <c r="A10343" s="104"/>
      <c r="B10343" s="104"/>
    </row>
    <row r="10344" spans="1:2" x14ac:dyDescent="0.25">
      <c r="A10344" s="104"/>
      <c r="B10344" s="104"/>
    </row>
    <row r="10345" spans="1:2" x14ac:dyDescent="0.25">
      <c r="A10345" s="104"/>
      <c r="B10345" s="104"/>
    </row>
    <row r="10346" spans="1:2" x14ac:dyDescent="0.25">
      <c r="A10346" s="104"/>
      <c r="B10346" s="104"/>
    </row>
    <row r="10347" spans="1:2" x14ac:dyDescent="0.25">
      <c r="A10347" s="104"/>
      <c r="B10347" s="104"/>
    </row>
    <row r="10348" spans="1:2" x14ac:dyDescent="0.25">
      <c r="A10348" s="104"/>
      <c r="B10348" s="104"/>
    </row>
    <row r="10349" spans="1:2" x14ac:dyDescent="0.25">
      <c r="A10349" s="104"/>
      <c r="B10349" s="104"/>
    </row>
    <row r="10350" spans="1:2" x14ac:dyDescent="0.25">
      <c r="A10350" s="104"/>
      <c r="B10350" s="104"/>
    </row>
    <row r="10351" spans="1:2" x14ac:dyDescent="0.25">
      <c r="A10351" s="104"/>
      <c r="B10351" s="104"/>
    </row>
    <row r="10352" spans="1:2" x14ac:dyDescent="0.25">
      <c r="A10352" s="104"/>
      <c r="B10352" s="104"/>
    </row>
    <row r="10353" spans="1:2" x14ac:dyDescent="0.25">
      <c r="A10353" s="104"/>
      <c r="B10353" s="104"/>
    </row>
    <row r="10354" spans="1:2" x14ac:dyDescent="0.25">
      <c r="A10354" s="104"/>
      <c r="B10354" s="104"/>
    </row>
    <row r="10355" spans="1:2" x14ac:dyDescent="0.25">
      <c r="A10355" s="104"/>
      <c r="B10355" s="104"/>
    </row>
    <row r="10356" spans="1:2" x14ac:dyDescent="0.25">
      <c r="A10356" s="104"/>
      <c r="B10356" s="104"/>
    </row>
    <row r="10357" spans="1:2" x14ac:dyDescent="0.25">
      <c r="A10357" s="104"/>
      <c r="B10357" s="104"/>
    </row>
    <row r="10358" spans="1:2" x14ac:dyDescent="0.25">
      <c r="A10358" s="104"/>
      <c r="B10358" s="104"/>
    </row>
    <row r="10359" spans="1:2" x14ac:dyDescent="0.25">
      <c r="A10359" s="104"/>
      <c r="B10359" s="104"/>
    </row>
    <row r="10360" spans="1:2" x14ac:dyDescent="0.25">
      <c r="A10360" s="104"/>
      <c r="B10360" s="104"/>
    </row>
    <row r="10361" spans="1:2" x14ac:dyDescent="0.25">
      <c r="A10361" s="104"/>
      <c r="B10361" s="104"/>
    </row>
    <row r="10362" spans="1:2" x14ac:dyDescent="0.25">
      <c r="A10362" s="104"/>
      <c r="B10362" s="104"/>
    </row>
    <row r="10363" spans="1:2" x14ac:dyDescent="0.25">
      <c r="A10363" s="104"/>
      <c r="B10363" s="104"/>
    </row>
    <row r="10364" spans="1:2" x14ac:dyDescent="0.25">
      <c r="A10364" s="104"/>
      <c r="B10364" s="104"/>
    </row>
    <row r="10365" spans="1:2" x14ac:dyDescent="0.25">
      <c r="A10365" s="104"/>
      <c r="B10365" s="104"/>
    </row>
    <row r="10366" spans="1:2" x14ac:dyDescent="0.25">
      <c r="A10366" s="104"/>
      <c r="B10366" s="104"/>
    </row>
    <row r="10367" spans="1:2" x14ac:dyDescent="0.25">
      <c r="A10367" s="104"/>
      <c r="B10367" s="104"/>
    </row>
    <row r="10368" spans="1:2" x14ac:dyDescent="0.25">
      <c r="A10368" s="104"/>
      <c r="B10368" s="104"/>
    </row>
    <row r="10369" spans="1:2" x14ac:dyDescent="0.25">
      <c r="A10369" s="104"/>
      <c r="B10369" s="104"/>
    </row>
    <row r="10370" spans="1:2" x14ac:dyDescent="0.25">
      <c r="A10370" s="104"/>
      <c r="B10370" s="104"/>
    </row>
    <row r="10371" spans="1:2" x14ac:dyDescent="0.25">
      <c r="A10371" s="104"/>
      <c r="B10371" s="104"/>
    </row>
    <row r="10372" spans="1:2" x14ac:dyDescent="0.25">
      <c r="A10372" s="104"/>
      <c r="B10372" s="104"/>
    </row>
    <row r="10373" spans="1:2" x14ac:dyDescent="0.25">
      <c r="A10373" s="104"/>
      <c r="B10373" s="104"/>
    </row>
    <row r="10374" spans="1:2" x14ac:dyDescent="0.25">
      <c r="A10374" s="104"/>
      <c r="B10374" s="104"/>
    </row>
    <row r="10375" spans="1:2" x14ac:dyDescent="0.25">
      <c r="A10375" s="104"/>
      <c r="B10375" s="104"/>
    </row>
    <row r="10376" spans="1:2" x14ac:dyDescent="0.25">
      <c r="A10376" s="104"/>
      <c r="B10376" s="104"/>
    </row>
    <row r="10377" spans="1:2" x14ac:dyDescent="0.25">
      <c r="A10377" s="104"/>
      <c r="B10377" s="104"/>
    </row>
    <row r="10378" spans="1:2" x14ac:dyDescent="0.25">
      <c r="A10378" s="104"/>
      <c r="B10378" s="104"/>
    </row>
    <row r="10379" spans="1:2" x14ac:dyDescent="0.25">
      <c r="A10379" s="104"/>
      <c r="B10379" s="104"/>
    </row>
    <row r="10380" spans="1:2" x14ac:dyDescent="0.25">
      <c r="A10380" s="104"/>
      <c r="B10380" s="104"/>
    </row>
    <row r="10381" spans="1:2" x14ac:dyDescent="0.25">
      <c r="A10381" s="104"/>
      <c r="B10381" s="104"/>
    </row>
    <row r="10382" spans="1:2" x14ac:dyDescent="0.25">
      <c r="A10382" s="104"/>
      <c r="B10382" s="104"/>
    </row>
    <row r="10383" spans="1:2" x14ac:dyDescent="0.25">
      <c r="A10383" s="104"/>
      <c r="B10383" s="104"/>
    </row>
    <row r="10384" spans="1:2" x14ac:dyDescent="0.25">
      <c r="A10384" s="104"/>
      <c r="B10384" s="104"/>
    </row>
    <row r="10385" spans="1:2" x14ac:dyDescent="0.25">
      <c r="A10385" s="104"/>
      <c r="B10385" s="104"/>
    </row>
    <row r="10386" spans="1:2" x14ac:dyDescent="0.25">
      <c r="A10386" s="104"/>
      <c r="B10386" s="104"/>
    </row>
    <row r="10387" spans="1:2" x14ac:dyDescent="0.25">
      <c r="A10387" s="104"/>
      <c r="B10387" s="104"/>
    </row>
    <row r="10388" spans="1:2" x14ac:dyDescent="0.25">
      <c r="A10388" s="104"/>
      <c r="B10388" s="104"/>
    </row>
    <row r="10389" spans="1:2" x14ac:dyDescent="0.25">
      <c r="A10389" s="104"/>
      <c r="B10389" s="104"/>
    </row>
    <row r="10390" spans="1:2" x14ac:dyDescent="0.25">
      <c r="A10390" s="104"/>
      <c r="B10390" s="104"/>
    </row>
    <row r="10391" spans="1:2" x14ac:dyDescent="0.25">
      <c r="A10391" s="104"/>
      <c r="B10391" s="104"/>
    </row>
    <row r="10392" spans="1:2" x14ac:dyDescent="0.25">
      <c r="A10392" s="104"/>
      <c r="B10392" s="104"/>
    </row>
    <row r="10393" spans="1:2" x14ac:dyDescent="0.25">
      <c r="A10393" s="104"/>
      <c r="B10393" s="104"/>
    </row>
    <row r="10394" spans="1:2" x14ac:dyDescent="0.25">
      <c r="A10394" s="104"/>
      <c r="B10394" s="104"/>
    </row>
    <row r="10395" spans="1:2" x14ac:dyDescent="0.25">
      <c r="A10395" s="104"/>
      <c r="B10395" s="104"/>
    </row>
    <row r="10396" spans="1:2" x14ac:dyDescent="0.25">
      <c r="A10396" s="104"/>
      <c r="B10396" s="104"/>
    </row>
    <row r="10397" spans="1:2" x14ac:dyDescent="0.25">
      <c r="A10397" s="104"/>
      <c r="B10397" s="104"/>
    </row>
    <row r="10398" spans="1:2" x14ac:dyDescent="0.25">
      <c r="A10398" s="104"/>
      <c r="B10398" s="104"/>
    </row>
    <row r="10399" spans="1:2" x14ac:dyDescent="0.25">
      <c r="A10399" s="104"/>
      <c r="B10399" s="104"/>
    </row>
    <row r="10400" spans="1:2" x14ac:dyDescent="0.25">
      <c r="A10400" s="104"/>
      <c r="B10400" s="104"/>
    </row>
    <row r="10401" spans="1:2" x14ac:dyDescent="0.25">
      <c r="A10401" s="104"/>
      <c r="B10401" s="104"/>
    </row>
    <row r="10402" spans="1:2" x14ac:dyDescent="0.25">
      <c r="A10402" s="104"/>
      <c r="B10402" s="104"/>
    </row>
    <row r="10403" spans="1:2" x14ac:dyDescent="0.25">
      <c r="A10403" s="104"/>
      <c r="B10403" s="104"/>
    </row>
    <row r="10404" spans="1:2" x14ac:dyDescent="0.25">
      <c r="A10404" s="104"/>
      <c r="B10404" s="104"/>
    </row>
    <row r="10405" spans="1:2" x14ac:dyDescent="0.25">
      <c r="A10405" s="104"/>
      <c r="B10405" s="104"/>
    </row>
    <row r="10406" spans="1:2" x14ac:dyDescent="0.25">
      <c r="A10406" s="104"/>
      <c r="B10406" s="104"/>
    </row>
    <row r="10407" spans="1:2" x14ac:dyDescent="0.25">
      <c r="A10407" s="104"/>
      <c r="B10407" s="104"/>
    </row>
    <row r="10408" spans="1:2" x14ac:dyDescent="0.25">
      <c r="A10408" s="104"/>
      <c r="B10408" s="104"/>
    </row>
    <row r="10409" spans="1:2" x14ac:dyDescent="0.25">
      <c r="A10409" s="104"/>
      <c r="B10409" s="104"/>
    </row>
    <row r="10410" spans="1:2" x14ac:dyDescent="0.25">
      <c r="A10410" s="104"/>
      <c r="B10410" s="104"/>
    </row>
    <row r="10411" spans="1:2" x14ac:dyDescent="0.25">
      <c r="A10411" s="104"/>
      <c r="B10411" s="104"/>
    </row>
    <row r="10412" spans="1:2" x14ac:dyDescent="0.25">
      <c r="A10412" s="104"/>
      <c r="B10412" s="104"/>
    </row>
    <row r="10413" spans="1:2" x14ac:dyDescent="0.25">
      <c r="A10413" s="104"/>
      <c r="B10413" s="104"/>
    </row>
    <row r="10414" spans="1:2" x14ac:dyDescent="0.25">
      <c r="A10414" s="104"/>
      <c r="B10414" s="104"/>
    </row>
    <row r="10415" spans="1:2" x14ac:dyDescent="0.25">
      <c r="A10415" s="104"/>
      <c r="B10415" s="104"/>
    </row>
    <row r="10416" spans="1:2" x14ac:dyDescent="0.25">
      <c r="A10416" s="104"/>
      <c r="B10416" s="104"/>
    </row>
    <row r="10417" spans="1:2" x14ac:dyDescent="0.25">
      <c r="A10417" s="104"/>
      <c r="B10417" s="104"/>
    </row>
    <row r="10418" spans="1:2" x14ac:dyDescent="0.25">
      <c r="A10418" s="104"/>
      <c r="B10418" s="104"/>
    </row>
    <row r="10419" spans="1:2" x14ac:dyDescent="0.25">
      <c r="A10419" s="104"/>
      <c r="B10419" s="104"/>
    </row>
    <row r="10420" spans="1:2" x14ac:dyDescent="0.25">
      <c r="A10420" s="104"/>
      <c r="B10420" s="104"/>
    </row>
    <row r="10421" spans="1:2" x14ac:dyDescent="0.25">
      <c r="A10421" s="104"/>
      <c r="B10421" s="104"/>
    </row>
    <row r="10422" spans="1:2" x14ac:dyDescent="0.25">
      <c r="A10422" s="104"/>
      <c r="B10422" s="104"/>
    </row>
    <row r="10423" spans="1:2" x14ac:dyDescent="0.25">
      <c r="A10423" s="104"/>
      <c r="B10423" s="104"/>
    </row>
    <row r="10424" spans="1:2" x14ac:dyDescent="0.25">
      <c r="A10424" s="104"/>
      <c r="B10424" s="104"/>
    </row>
    <row r="10425" spans="1:2" x14ac:dyDescent="0.25">
      <c r="A10425" s="104"/>
      <c r="B10425" s="104"/>
    </row>
    <row r="10426" spans="1:2" x14ac:dyDescent="0.25">
      <c r="A10426" s="104"/>
      <c r="B10426" s="104"/>
    </row>
    <row r="10427" spans="1:2" x14ac:dyDescent="0.25">
      <c r="A10427" s="104"/>
      <c r="B10427" s="104"/>
    </row>
    <row r="10428" spans="1:2" x14ac:dyDescent="0.25">
      <c r="A10428" s="104"/>
      <c r="B10428" s="104"/>
    </row>
    <row r="10429" spans="1:2" x14ac:dyDescent="0.25">
      <c r="A10429" s="104"/>
      <c r="B10429" s="104"/>
    </row>
    <row r="10430" spans="1:2" x14ac:dyDescent="0.25">
      <c r="A10430" s="104"/>
      <c r="B10430" s="104"/>
    </row>
    <row r="10431" spans="1:2" x14ac:dyDescent="0.25">
      <c r="A10431" s="104"/>
      <c r="B10431" s="104"/>
    </row>
    <row r="10432" spans="1:2" x14ac:dyDescent="0.25">
      <c r="A10432" s="104"/>
      <c r="B10432" s="104"/>
    </row>
    <row r="10433" spans="1:2" x14ac:dyDescent="0.25">
      <c r="A10433" s="104"/>
      <c r="B10433" s="104"/>
    </row>
    <row r="10434" spans="1:2" x14ac:dyDescent="0.25">
      <c r="A10434" s="104"/>
      <c r="B10434" s="104"/>
    </row>
    <row r="10435" spans="1:2" x14ac:dyDescent="0.25">
      <c r="A10435" s="104"/>
      <c r="B10435" s="104"/>
    </row>
    <row r="10436" spans="1:2" x14ac:dyDescent="0.25">
      <c r="A10436" s="104"/>
      <c r="B10436" s="104"/>
    </row>
    <row r="10437" spans="1:2" x14ac:dyDescent="0.25">
      <c r="A10437" s="104"/>
      <c r="B10437" s="104"/>
    </row>
    <row r="10438" spans="1:2" x14ac:dyDescent="0.25">
      <c r="A10438" s="104"/>
      <c r="B10438" s="104"/>
    </row>
    <row r="10439" spans="1:2" x14ac:dyDescent="0.25">
      <c r="A10439" s="104"/>
      <c r="B10439" s="104"/>
    </row>
    <row r="10440" spans="1:2" x14ac:dyDescent="0.25">
      <c r="A10440" s="104"/>
      <c r="B10440" s="104"/>
    </row>
    <row r="10441" spans="1:2" x14ac:dyDescent="0.25">
      <c r="A10441" s="104"/>
      <c r="B10441" s="104"/>
    </row>
    <row r="10442" spans="1:2" x14ac:dyDescent="0.25">
      <c r="A10442" s="104"/>
      <c r="B10442" s="104"/>
    </row>
    <row r="10443" spans="1:2" x14ac:dyDescent="0.25">
      <c r="A10443" s="104"/>
      <c r="B10443" s="104"/>
    </row>
    <row r="10444" spans="1:2" x14ac:dyDescent="0.25">
      <c r="A10444" s="104"/>
      <c r="B10444" s="104"/>
    </row>
    <row r="10445" spans="1:2" x14ac:dyDescent="0.25">
      <c r="A10445" s="104"/>
      <c r="B10445" s="104"/>
    </row>
    <row r="10446" spans="1:2" x14ac:dyDescent="0.25">
      <c r="A10446" s="104"/>
      <c r="B10446" s="104"/>
    </row>
    <row r="10447" spans="1:2" x14ac:dyDescent="0.25">
      <c r="A10447" s="104"/>
      <c r="B10447" s="104"/>
    </row>
    <row r="10448" spans="1:2" x14ac:dyDescent="0.25">
      <c r="A10448" s="104"/>
      <c r="B10448" s="104"/>
    </row>
    <row r="10449" spans="1:2" x14ac:dyDescent="0.25">
      <c r="A10449" s="104"/>
      <c r="B10449" s="104"/>
    </row>
    <row r="10450" spans="1:2" x14ac:dyDescent="0.25">
      <c r="A10450" s="104"/>
      <c r="B10450" s="104"/>
    </row>
    <row r="10451" spans="1:2" x14ac:dyDescent="0.25">
      <c r="A10451" s="104"/>
      <c r="B10451" s="104"/>
    </row>
    <row r="10452" spans="1:2" x14ac:dyDescent="0.25">
      <c r="A10452" s="104"/>
      <c r="B10452" s="104"/>
    </row>
    <row r="10453" spans="1:2" x14ac:dyDescent="0.25">
      <c r="A10453" s="104"/>
      <c r="B10453" s="104"/>
    </row>
    <row r="10454" spans="1:2" x14ac:dyDescent="0.25">
      <c r="A10454" s="104"/>
      <c r="B10454" s="104"/>
    </row>
    <row r="10455" spans="1:2" x14ac:dyDescent="0.25">
      <c r="A10455" s="104"/>
      <c r="B10455" s="104"/>
    </row>
    <row r="10456" spans="1:2" x14ac:dyDescent="0.25">
      <c r="A10456" s="104"/>
      <c r="B10456" s="104"/>
    </row>
    <row r="10457" spans="1:2" x14ac:dyDescent="0.25">
      <c r="A10457" s="104"/>
      <c r="B10457" s="104"/>
    </row>
    <row r="10458" spans="1:2" x14ac:dyDescent="0.25">
      <c r="A10458" s="104"/>
      <c r="B10458" s="104"/>
    </row>
    <row r="10459" spans="1:2" x14ac:dyDescent="0.25">
      <c r="A10459" s="104"/>
      <c r="B10459" s="104"/>
    </row>
    <row r="10460" spans="1:2" x14ac:dyDescent="0.25">
      <c r="A10460" s="104"/>
      <c r="B10460" s="104"/>
    </row>
    <row r="10461" spans="1:2" x14ac:dyDescent="0.25">
      <c r="A10461" s="104"/>
      <c r="B10461" s="104"/>
    </row>
    <row r="10462" spans="1:2" x14ac:dyDescent="0.25">
      <c r="A10462" s="104"/>
      <c r="B10462" s="104"/>
    </row>
    <row r="10463" spans="1:2" x14ac:dyDescent="0.25">
      <c r="A10463" s="104"/>
      <c r="B10463" s="104"/>
    </row>
    <row r="10464" spans="1:2" x14ac:dyDescent="0.25">
      <c r="A10464" s="104"/>
      <c r="B10464" s="104"/>
    </row>
    <row r="10465" spans="1:2" x14ac:dyDescent="0.25">
      <c r="A10465" s="104"/>
      <c r="B10465" s="104"/>
    </row>
    <row r="10466" spans="1:2" x14ac:dyDescent="0.25">
      <c r="A10466" s="104"/>
      <c r="B10466" s="104"/>
    </row>
    <row r="10467" spans="1:2" x14ac:dyDescent="0.25">
      <c r="A10467" s="104"/>
      <c r="B10467" s="104"/>
    </row>
    <row r="10468" spans="1:2" x14ac:dyDescent="0.25">
      <c r="A10468" s="104"/>
      <c r="B10468" s="104"/>
    </row>
    <row r="10469" spans="1:2" x14ac:dyDescent="0.25">
      <c r="A10469" s="104"/>
      <c r="B10469" s="104"/>
    </row>
    <row r="10470" spans="1:2" x14ac:dyDescent="0.25">
      <c r="A10470" s="104"/>
      <c r="B10470" s="104"/>
    </row>
    <row r="10471" spans="1:2" x14ac:dyDescent="0.25">
      <c r="A10471" s="104"/>
      <c r="B10471" s="104"/>
    </row>
    <row r="10472" spans="1:2" x14ac:dyDescent="0.25">
      <c r="A10472" s="104"/>
      <c r="B10472" s="104"/>
    </row>
    <row r="10473" spans="1:2" x14ac:dyDescent="0.25">
      <c r="A10473" s="104"/>
      <c r="B10473" s="104"/>
    </row>
    <row r="10474" spans="1:2" x14ac:dyDescent="0.25">
      <c r="A10474" s="104"/>
      <c r="B10474" s="104"/>
    </row>
    <row r="10475" spans="1:2" x14ac:dyDescent="0.25">
      <c r="A10475" s="104"/>
      <c r="B10475" s="104"/>
    </row>
    <row r="10476" spans="1:2" x14ac:dyDescent="0.25">
      <c r="A10476" s="104"/>
      <c r="B10476" s="104"/>
    </row>
    <row r="10477" spans="1:2" x14ac:dyDescent="0.25">
      <c r="A10477" s="104"/>
      <c r="B10477" s="104"/>
    </row>
    <row r="10478" spans="1:2" x14ac:dyDescent="0.25">
      <c r="A10478" s="104"/>
      <c r="B10478" s="104"/>
    </row>
    <row r="10479" spans="1:2" x14ac:dyDescent="0.25">
      <c r="A10479" s="104"/>
      <c r="B10479" s="104"/>
    </row>
    <row r="10480" spans="1:2" x14ac:dyDescent="0.25">
      <c r="A10480" s="104"/>
      <c r="B10480" s="104"/>
    </row>
    <row r="10481" spans="1:2" x14ac:dyDescent="0.25">
      <c r="A10481" s="104"/>
      <c r="B10481" s="104"/>
    </row>
    <row r="10482" spans="1:2" x14ac:dyDescent="0.25">
      <c r="A10482" s="104"/>
      <c r="B10482" s="104"/>
    </row>
    <row r="10483" spans="1:2" x14ac:dyDescent="0.25">
      <c r="A10483" s="104"/>
      <c r="B10483" s="104"/>
    </row>
    <row r="10484" spans="1:2" x14ac:dyDescent="0.25">
      <c r="A10484" s="104"/>
      <c r="B10484" s="104"/>
    </row>
    <row r="10485" spans="1:2" x14ac:dyDescent="0.25">
      <c r="A10485" s="104"/>
      <c r="B10485" s="104"/>
    </row>
    <row r="10486" spans="1:2" x14ac:dyDescent="0.25">
      <c r="A10486" s="104"/>
      <c r="B10486" s="104"/>
    </row>
    <row r="10487" spans="1:2" x14ac:dyDescent="0.25">
      <c r="A10487" s="104"/>
      <c r="B10487" s="104"/>
    </row>
    <row r="10488" spans="1:2" x14ac:dyDescent="0.25">
      <c r="A10488" s="104"/>
      <c r="B10488" s="104"/>
    </row>
    <row r="10489" spans="1:2" x14ac:dyDescent="0.25">
      <c r="A10489" s="104"/>
      <c r="B10489" s="104"/>
    </row>
    <row r="10490" spans="1:2" x14ac:dyDescent="0.25">
      <c r="A10490" s="104"/>
      <c r="B10490" s="104"/>
    </row>
    <row r="10491" spans="1:2" x14ac:dyDescent="0.25">
      <c r="A10491" s="104"/>
      <c r="B10491" s="104"/>
    </row>
    <row r="10492" spans="1:2" x14ac:dyDescent="0.25">
      <c r="A10492" s="104"/>
      <c r="B10492" s="104"/>
    </row>
    <row r="10493" spans="1:2" x14ac:dyDescent="0.25">
      <c r="A10493" s="104"/>
      <c r="B10493" s="104"/>
    </row>
    <row r="10494" spans="1:2" x14ac:dyDescent="0.25">
      <c r="A10494" s="104"/>
      <c r="B10494" s="104"/>
    </row>
    <row r="10495" spans="1:2" x14ac:dyDescent="0.25">
      <c r="A10495" s="104"/>
      <c r="B10495" s="104"/>
    </row>
    <row r="10496" spans="1:2" x14ac:dyDescent="0.25">
      <c r="A10496" s="104"/>
      <c r="B10496" s="104"/>
    </row>
    <row r="10497" spans="1:2" x14ac:dyDescent="0.25">
      <c r="A10497" s="104"/>
      <c r="B10497" s="104"/>
    </row>
    <row r="10498" spans="1:2" x14ac:dyDescent="0.25">
      <c r="A10498" s="104"/>
      <c r="B10498" s="104"/>
    </row>
    <row r="10499" spans="1:2" x14ac:dyDescent="0.25">
      <c r="A10499" s="104"/>
      <c r="B10499" s="104"/>
    </row>
    <row r="10500" spans="1:2" x14ac:dyDescent="0.25">
      <c r="A10500" s="104"/>
      <c r="B10500" s="104"/>
    </row>
    <row r="10501" spans="1:2" x14ac:dyDescent="0.25">
      <c r="A10501" s="104"/>
      <c r="B10501" s="104"/>
    </row>
    <row r="10502" spans="1:2" x14ac:dyDescent="0.25">
      <c r="A10502" s="104"/>
      <c r="B10502" s="104"/>
    </row>
    <row r="10503" spans="1:2" x14ac:dyDescent="0.25">
      <c r="A10503" s="104"/>
      <c r="B10503" s="104"/>
    </row>
    <row r="10504" spans="1:2" x14ac:dyDescent="0.25">
      <c r="A10504" s="104"/>
      <c r="B10504" s="104"/>
    </row>
    <row r="10505" spans="1:2" x14ac:dyDescent="0.25">
      <c r="A10505" s="104"/>
      <c r="B10505" s="104"/>
    </row>
    <row r="10506" spans="1:2" x14ac:dyDescent="0.25">
      <c r="A10506" s="104"/>
      <c r="B10506" s="104"/>
    </row>
    <row r="10507" spans="1:2" x14ac:dyDescent="0.25">
      <c r="A10507" s="104"/>
      <c r="B10507" s="104"/>
    </row>
    <row r="10508" spans="1:2" x14ac:dyDescent="0.25">
      <c r="A10508" s="104"/>
      <c r="B10508" s="104"/>
    </row>
    <row r="10509" spans="1:2" x14ac:dyDescent="0.25">
      <c r="A10509" s="104"/>
      <c r="B10509" s="104"/>
    </row>
    <row r="10510" spans="1:2" x14ac:dyDescent="0.25">
      <c r="A10510" s="104"/>
      <c r="B10510" s="104"/>
    </row>
    <row r="10511" spans="1:2" x14ac:dyDescent="0.25">
      <c r="A10511" s="104"/>
      <c r="B10511" s="104"/>
    </row>
    <row r="10512" spans="1:2" x14ac:dyDescent="0.25">
      <c r="A10512" s="104"/>
      <c r="B10512" s="104"/>
    </row>
    <row r="10513" spans="1:2" x14ac:dyDescent="0.25">
      <c r="A10513" s="104"/>
      <c r="B10513" s="104"/>
    </row>
    <row r="10514" spans="1:2" x14ac:dyDescent="0.25">
      <c r="A10514" s="104"/>
      <c r="B10514" s="104"/>
    </row>
    <row r="10515" spans="1:2" x14ac:dyDescent="0.25">
      <c r="A10515" s="104"/>
      <c r="B10515" s="104"/>
    </row>
    <row r="10516" spans="1:2" x14ac:dyDescent="0.25">
      <c r="A10516" s="104"/>
      <c r="B10516" s="104"/>
    </row>
    <row r="10517" spans="1:2" x14ac:dyDescent="0.25">
      <c r="A10517" s="104"/>
      <c r="B10517" s="104"/>
    </row>
    <row r="10518" spans="1:2" x14ac:dyDescent="0.25">
      <c r="A10518" s="104"/>
      <c r="B10518" s="104"/>
    </row>
    <row r="10519" spans="1:2" x14ac:dyDescent="0.25">
      <c r="A10519" s="104"/>
      <c r="B10519" s="104"/>
    </row>
    <row r="10520" spans="1:2" x14ac:dyDescent="0.25">
      <c r="A10520" s="104"/>
      <c r="B10520" s="104"/>
    </row>
    <row r="10521" spans="1:2" x14ac:dyDescent="0.25">
      <c r="A10521" s="104"/>
      <c r="B10521" s="104"/>
    </row>
    <row r="10522" spans="1:2" x14ac:dyDescent="0.25">
      <c r="A10522" s="104"/>
      <c r="B10522" s="104"/>
    </row>
    <row r="10523" spans="1:2" x14ac:dyDescent="0.25">
      <c r="A10523" s="104"/>
      <c r="B10523" s="104"/>
    </row>
    <row r="10524" spans="1:2" x14ac:dyDescent="0.25">
      <c r="A10524" s="104"/>
      <c r="B10524" s="104"/>
    </row>
    <row r="10525" spans="1:2" x14ac:dyDescent="0.25">
      <c r="A10525" s="104"/>
      <c r="B10525" s="104"/>
    </row>
    <row r="10526" spans="1:2" x14ac:dyDescent="0.25">
      <c r="A10526" s="104"/>
      <c r="B10526" s="104"/>
    </row>
    <row r="10527" spans="1:2" x14ac:dyDescent="0.25">
      <c r="A10527" s="104"/>
      <c r="B10527" s="104"/>
    </row>
    <row r="10528" spans="1:2" x14ac:dyDescent="0.25">
      <c r="A10528" s="104"/>
      <c r="B10528" s="104"/>
    </row>
    <row r="10529" spans="1:2" x14ac:dyDescent="0.25">
      <c r="A10529" s="104"/>
      <c r="B10529" s="104"/>
    </row>
    <row r="10530" spans="1:2" x14ac:dyDescent="0.25">
      <c r="A10530" s="104"/>
      <c r="B10530" s="104"/>
    </row>
    <row r="10531" spans="1:2" x14ac:dyDescent="0.25">
      <c r="A10531" s="104"/>
      <c r="B10531" s="104"/>
    </row>
    <row r="10532" spans="1:2" x14ac:dyDescent="0.25">
      <c r="A10532" s="104"/>
      <c r="B10532" s="104"/>
    </row>
    <row r="10533" spans="1:2" x14ac:dyDescent="0.25">
      <c r="A10533" s="104"/>
      <c r="B10533" s="104"/>
    </row>
    <row r="10534" spans="1:2" x14ac:dyDescent="0.25">
      <c r="A10534" s="104"/>
      <c r="B10534" s="104"/>
    </row>
    <row r="10535" spans="1:2" x14ac:dyDescent="0.25">
      <c r="A10535" s="104"/>
      <c r="B10535" s="104"/>
    </row>
    <row r="10536" spans="1:2" x14ac:dyDescent="0.25">
      <c r="A10536" s="104"/>
      <c r="B10536" s="104"/>
    </row>
    <row r="10537" spans="1:2" x14ac:dyDescent="0.25">
      <c r="A10537" s="104"/>
      <c r="B10537" s="104"/>
    </row>
    <row r="10538" spans="1:2" x14ac:dyDescent="0.25">
      <c r="A10538" s="104"/>
      <c r="B10538" s="104"/>
    </row>
    <row r="10539" spans="1:2" x14ac:dyDescent="0.25">
      <c r="A10539" s="104"/>
      <c r="B10539" s="104"/>
    </row>
    <row r="10540" spans="1:2" x14ac:dyDescent="0.25">
      <c r="A10540" s="104"/>
      <c r="B10540" s="104"/>
    </row>
    <row r="10541" spans="1:2" x14ac:dyDescent="0.25">
      <c r="A10541" s="104"/>
      <c r="B10541" s="104"/>
    </row>
    <row r="10542" spans="1:2" x14ac:dyDescent="0.25">
      <c r="A10542" s="104"/>
      <c r="B10542" s="104"/>
    </row>
    <row r="10543" spans="1:2" x14ac:dyDescent="0.25">
      <c r="A10543" s="104"/>
      <c r="B10543" s="104"/>
    </row>
    <row r="10544" spans="1:2" x14ac:dyDescent="0.25">
      <c r="A10544" s="104"/>
      <c r="B10544" s="104"/>
    </row>
    <row r="10545" spans="1:2" x14ac:dyDescent="0.25">
      <c r="A10545" s="104"/>
      <c r="B10545" s="104"/>
    </row>
    <row r="10546" spans="1:2" x14ac:dyDescent="0.25">
      <c r="A10546" s="104"/>
      <c r="B10546" s="104"/>
    </row>
    <row r="10547" spans="1:2" x14ac:dyDescent="0.25">
      <c r="A10547" s="104"/>
      <c r="B10547" s="104"/>
    </row>
    <row r="10548" spans="1:2" x14ac:dyDescent="0.25">
      <c r="A10548" s="104"/>
      <c r="B10548" s="104"/>
    </row>
    <row r="10549" spans="1:2" x14ac:dyDescent="0.25">
      <c r="A10549" s="104"/>
      <c r="B10549" s="104"/>
    </row>
    <row r="10550" spans="1:2" x14ac:dyDescent="0.25">
      <c r="A10550" s="104"/>
      <c r="B10550" s="104"/>
    </row>
    <row r="10551" spans="1:2" x14ac:dyDescent="0.25">
      <c r="A10551" s="104"/>
      <c r="B10551" s="104"/>
    </row>
    <row r="10552" spans="1:2" x14ac:dyDescent="0.25">
      <c r="A10552" s="104"/>
      <c r="B10552" s="104"/>
    </row>
    <row r="10553" spans="1:2" x14ac:dyDescent="0.25">
      <c r="A10553" s="104"/>
      <c r="B10553" s="104"/>
    </row>
    <row r="10554" spans="1:2" x14ac:dyDescent="0.25">
      <c r="A10554" s="104"/>
      <c r="B10554" s="104"/>
    </row>
    <row r="10555" spans="1:2" x14ac:dyDescent="0.25">
      <c r="A10555" s="104"/>
      <c r="B10555" s="104"/>
    </row>
    <row r="10556" spans="1:2" x14ac:dyDescent="0.25">
      <c r="A10556" s="104"/>
      <c r="B10556" s="104"/>
    </row>
    <row r="10557" spans="1:2" x14ac:dyDescent="0.25">
      <c r="A10557" s="104"/>
      <c r="B10557" s="104"/>
    </row>
    <row r="10558" spans="1:2" x14ac:dyDescent="0.25">
      <c r="A10558" s="104"/>
      <c r="B10558" s="104"/>
    </row>
    <row r="10559" spans="1:2" x14ac:dyDescent="0.25">
      <c r="A10559" s="104"/>
      <c r="B10559" s="104"/>
    </row>
    <row r="10560" spans="1:2" x14ac:dyDescent="0.25">
      <c r="A10560" s="104"/>
      <c r="B10560" s="104"/>
    </row>
    <row r="10561" spans="1:2" x14ac:dyDescent="0.25">
      <c r="A10561" s="104"/>
      <c r="B10561" s="104"/>
    </row>
    <row r="10562" spans="1:2" x14ac:dyDescent="0.25">
      <c r="A10562" s="104"/>
      <c r="B10562" s="104"/>
    </row>
    <row r="10563" spans="1:2" x14ac:dyDescent="0.25">
      <c r="A10563" s="104"/>
      <c r="B10563" s="104"/>
    </row>
    <row r="10564" spans="1:2" x14ac:dyDescent="0.25">
      <c r="A10564" s="104"/>
      <c r="B10564" s="104"/>
    </row>
    <row r="10565" spans="1:2" x14ac:dyDescent="0.25">
      <c r="A10565" s="104"/>
      <c r="B10565" s="104"/>
    </row>
    <row r="10566" spans="1:2" x14ac:dyDescent="0.25">
      <c r="A10566" s="104"/>
      <c r="B10566" s="104"/>
    </row>
    <row r="10567" spans="1:2" x14ac:dyDescent="0.25">
      <c r="A10567" s="104"/>
      <c r="B10567" s="104"/>
    </row>
    <row r="10568" spans="1:2" x14ac:dyDescent="0.25">
      <c r="A10568" s="104"/>
      <c r="B10568" s="104"/>
    </row>
    <row r="10569" spans="1:2" x14ac:dyDescent="0.25">
      <c r="A10569" s="104"/>
      <c r="B10569" s="104"/>
    </row>
    <row r="10570" spans="1:2" x14ac:dyDescent="0.25">
      <c r="A10570" s="104"/>
      <c r="B10570" s="104"/>
    </row>
    <row r="10571" spans="1:2" x14ac:dyDescent="0.25">
      <c r="A10571" s="104"/>
      <c r="B10571" s="104"/>
    </row>
    <row r="10572" spans="1:2" x14ac:dyDescent="0.25">
      <c r="A10572" s="104"/>
      <c r="B10572" s="104"/>
    </row>
    <row r="10573" spans="1:2" x14ac:dyDescent="0.25">
      <c r="A10573" s="104"/>
      <c r="B10573" s="104"/>
    </row>
    <row r="10574" spans="1:2" x14ac:dyDescent="0.25">
      <c r="A10574" s="104"/>
      <c r="B10574" s="104"/>
    </row>
    <row r="10575" spans="1:2" x14ac:dyDescent="0.25">
      <c r="A10575" s="104"/>
      <c r="B10575" s="104"/>
    </row>
    <row r="10576" spans="1:2" x14ac:dyDescent="0.25">
      <c r="A10576" s="104"/>
      <c r="B10576" s="104"/>
    </row>
    <row r="10577" spans="1:2" x14ac:dyDescent="0.25">
      <c r="A10577" s="104"/>
      <c r="B10577" s="104"/>
    </row>
    <row r="10578" spans="1:2" x14ac:dyDescent="0.25">
      <c r="A10578" s="104"/>
      <c r="B10578" s="104"/>
    </row>
    <row r="10579" spans="1:2" x14ac:dyDescent="0.25">
      <c r="A10579" s="104"/>
      <c r="B10579" s="104"/>
    </row>
    <row r="10580" spans="1:2" x14ac:dyDescent="0.25">
      <c r="A10580" s="104"/>
      <c r="B10580" s="104"/>
    </row>
    <row r="10581" spans="1:2" x14ac:dyDescent="0.25">
      <c r="A10581" s="104"/>
      <c r="B10581" s="104"/>
    </row>
    <row r="10582" spans="1:2" x14ac:dyDescent="0.25">
      <c r="A10582" s="104"/>
      <c r="B10582" s="104"/>
    </row>
    <row r="10583" spans="1:2" x14ac:dyDescent="0.25">
      <c r="A10583" s="104"/>
      <c r="B10583" s="104"/>
    </row>
    <row r="10584" spans="1:2" x14ac:dyDescent="0.25">
      <c r="A10584" s="104"/>
      <c r="B10584" s="104"/>
    </row>
    <row r="10585" spans="1:2" x14ac:dyDescent="0.25">
      <c r="A10585" s="104"/>
      <c r="B10585" s="104"/>
    </row>
    <row r="10586" spans="1:2" x14ac:dyDescent="0.25">
      <c r="A10586" s="104"/>
      <c r="B10586" s="104"/>
    </row>
    <row r="10587" spans="1:2" x14ac:dyDescent="0.25">
      <c r="A10587" s="104"/>
      <c r="B10587" s="104"/>
    </row>
    <row r="10588" spans="1:2" x14ac:dyDescent="0.25">
      <c r="A10588" s="104"/>
      <c r="B10588" s="104"/>
    </row>
    <row r="10589" spans="1:2" x14ac:dyDescent="0.25">
      <c r="A10589" s="104"/>
      <c r="B10589" s="104"/>
    </row>
    <row r="10590" spans="1:2" x14ac:dyDescent="0.25">
      <c r="A10590" s="104"/>
      <c r="B10590" s="104"/>
    </row>
    <row r="10591" spans="1:2" x14ac:dyDescent="0.25">
      <c r="A10591" s="104"/>
      <c r="B10591" s="104"/>
    </row>
    <row r="10592" spans="1:2" x14ac:dyDescent="0.25">
      <c r="A10592" s="104"/>
      <c r="B10592" s="104"/>
    </row>
    <row r="10593" spans="1:2" x14ac:dyDescent="0.25">
      <c r="A10593" s="104"/>
      <c r="B10593" s="104"/>
    </row>
    <row r="10594" spans="1:2" x14ac:dyDescent="0.25">
      <c r="A10594" s="104"/>
      <c r="B10594" s="104"/>
    </row>
    <row r="10595" spans="1:2" x14ac:dyDescent="0.25">
      <c r="A10595" s="104"/>
      <c r="B10595" s="104"/>
    </row>
    <row r="10596" spans="1:2" x14ac:dyDescent="0.25">
      <c r="A10596" s="104"/>
      <c r="B10596" s="104"/>
    </row>
    <row r="10597" spans="1:2" x14ac:dyDescent="0.25">
      <c r="A10597" s="104"/>
      <c r="B10597" s="104"/>
    </row>
    <row r="10598" spans="1:2" x14ac:dyDescent="0.25">
      <c r="A10598" s="104"/>
      <c r="B10598" s="104"/>
    </row>
    <row r="10599" spans="1:2" x14ac:dyDescent="0.25">
      <c r="A10599" s="104"/>
      <c r="B10599" s="104"/>
    </row>
    <row r="10600" spans="1:2" x14ac:dyDescent="0.25">
      <c r="A10600" s="104"/>
      <c r="B10600" s="104"/>
    </row>
    <row r="10601" spans="1:2" x14ac:dyDescent="0.25">
      <c r="A10601" s="104"/>
      <c r="B10601" s="104"/>
    </row>
    <row r="10602" spans="1:2" x14ac:dyDescent="0.25">
      <c r="A10602" s="104"/>
      <c r="B10602" s="104"/>
    </row>
    <row r="10603" spans="1:2" x14ac:dyDescent="0.25">
      <c r="A10603" s="104"/>
      <c r="B10603" s="104"/>
    </row>
    <row r="10604" spans="1:2" x14ac:dyDescent="0.25">
      <c r="A10604" s="104"/>
      <c r="B10604" s="104"/>
    </row>
    <row r="10605" spans="1:2" x14ac:dyDescent="0.25">
      <c r="A10605" s="104"/>
      <c r="B10605" s="104"/>
    </row>
    <row r="10606" spans="1:2" x14ac:dyDescent="0.25">
      <c r="A10606" s="104"/>
      <c r="B10606" s="104"/>
    </row>
    <row r="10607" spans="1:2" x14ac:dyDescent="0.25">
      <c r="A10607" s="104"/>
      <c r="B10607" s="104"/>
    </row>
    <row r="10608" spans="1:2" x14ac:dyDescent="0.25">
      <c r="A10608" s="104"/>
      <c r="B10608" s="104"/>
    </row>
    <row r="10609" spans="1:2" x14ac:dyDescent="0.25">
      <c r="A10609" s="104"/>
      <c r="B10609" s="104"/>
    </row>
    <row r="10610" spans="1:2" x14ac:dyDescent="0.25">
      <c r="A10610" s="104"/>
      <c r="B10610" s="104"/>
    </row>
    <row r="10611" spans="1:2" x14ac:dyDescent="0.25">
      <c r="A10611" s="104"/>
      <c r="B10611" s="104"/>
    </row>
    <row r="10612" spans="1:2" x14ac:dyDescent="0.25">
      <c r="A10612" s="104"/>
      <c r="B10612" s="104"/>
    </row>
    <row r="10613" spans="1:2" x14ac:dyDescent="0.25">
      <c r="A10613" s="104"/>
      <c r="B10613" s="104"/>
    </row>
    <row r="10614" spans="1:2" x14ac:dyDescent="0.25">
      <c r="A10614" s="104"/>
      <c r="B10614" s="104"/>
    </row>
    <row r="10615" spans="1:2" x14ac:dyDescent="0.25">
      <c r="A10615" s="104"/>
      <c r="B10615" s="104"/>
    </row>
    <row r="10616" spans="1:2" x14ac:dyDescent="0.25">
      <c r="A10616" s="104"/>
      <c r="B10616" s="104"/>
    </row>
    <row r="10617" spans="1:2" x14ac:dyDescent="0.25">
      <c r="A10617" s="104"/>
      <c r="B10617" s="104"/>
    </row>
    <row r="10618" spans="1:2" x14ac:dyDescent="0.25">
      <c r="A10618" s="104"/>
      <c r="B10618" s="104"/>
    </row>
    <row r="10619" spans="1:2" x14ac:dyDescent="0.25">
      <c r="A10619" s="104"/>
      <c r="B10619" s="104"/>
    </row>
    <row r="10620" spans="1:2" x14ac:dyDescent="0.25">
      <c r="A10620" s="104"/>
      <c r="B10620" s="104"/>
    </row>
    <row r="10621" spans="1:2" x14ac:dyDescent="0.25">
      <c r="A10621" s="104"/>
      <c r="B10621" s="104"/>
    </row>
    <row r="10622" spans="1:2" x14ac:dyDescent="0.25">
      <c r="A10622" s="104"/>
      <c r="B10622" s="104"/>
    </row>
    <row r="10623" spans="1:2" x14ac:dyDescent="0.25">
      <c r="A10623" s="104"/>
      <c r="B10623" s="104"/>
    </row>
    <row r="10624" spans="1:2" x14ac:dyDescent="0.25">
      <c r="A10624" s="104"/>
      <c r="B10624" s="104"/>
    </row>
    <row r="10625" spans="1:2" x14ac:dyDescent="0.25">
      <c r="A10625" s="104"/>
      <c r="B10625" s="104"/>
    </row>
    <row r="10626" spans="1:2" x14ac:dyDescent="0.25">
      <c r="A10626" s="104"/>
      <c r="B10626" s="104"/>
    </row>
    <row r="10627" spans="1:2" x14ac:dyDescent="0.25">
      <c r="A10627" s="104"/>
      <c r="B10627" s="104"/>
    </row>
    <row r="10628" spans="1:2" x14ac:dyDescent="0.25">
      <c r="A10628" s="104"/>
      <c r="B10628" s="104"/>
    </row>
    <row r="10629" spans="1:2" x14ac:dyDescent="0.25">
      <c r="A10629" s="104"/>
      <c r="B10629" s="104"/>
    </row>
    <row r="10630" spans="1:2" x14ac:dyDescent="0.25">
      <c r="A10630" s="104"/>
      <c r="B10630" s="104"/>
    </row>
    <row r="10631" spans="1:2" x14ac:dyDescent="0.25">
      <c r="A10631" s="104"/>
      <c r="B10631" s="104"/>
    </row>
    <row r="10632" spans="1:2" x14ac:dyDescent="0.25">
      <c r="A10632" s="104"/>
      <c r="B10632" s="104"/>
    </row>
    <row r="10633" spans="1:2" x14ac:dyDescent="0.25">
      <c r="A10633" s="104"/>
      <c r="B10633" s="104"/>
    </row>
    <row r="10634" spans="1:2" x14ac:dyDescent="0.25">
      <c r="A10634" s="104"/>
      <c r="B10634" s="104"/>
    </row>
    <row r="10635" spans="1:2" x14ac:dyDescent="0.25">
      <c r="A10635" s="104"/>
      <c r="B10635" s="104"/>
    </row>
    <row r="10636" spans="1:2" x14ac:dyDescent="0.25">
      <c r="A10636" s="104"/>
      <c r="B10636" s="104"/>
    </row>
    <row r="10637" spans="1:2" x14ac:dyDescent="0.25">
      <c r="A10637" s="104"/>
      <c r="B10637" s="104"/>
    </row>
    <row r="10638" spans="1:2" x14ac:dyDescent="0.25">
      <c r="A10638" s="104"/>
      <c r="B10638" s="104"/>
    </row>
    <row r="10639" spans="1:2" x14ac:dyDescent="0.25">
      <c r="A10639" s="104"/>
      <c r="B10639" s="104"/>
    </row>
    <row r="10640" spans="1:2" x14ac:dyDescent="0.25">
      <c r="A10640" s="104"/>
      <c r="B10640" s="104"/>
    </row>
    <row r="10641" spans="1:2" x14ac:dyDescent="0.25">
      <c r="A10641" s="104"/>
      <c r="B10641" s="104"/>
    </row>
    <row r="10642" spans="1:2" x14ac:dyDescent="0.25">
      <c r="A10642" s="104"/>
      <c r="B10642" s="104"/>
    </row>
    <row r="10643" spans="1:2" x14ac:dyDescent="0.25">
      <c r="A10643" s="104"/>
      <c r="B10643" s="104"/>
    </row>
    <row r="10644" spans="1:2" x14ac:dyDescent="0.25">
      <c r="A10644" s="104"/>
      <c r="B10644" s="104"/>
    </row>
    <row r="10645" spans="1:2" x14ac:dyDescent="0.25">
      <c r="A10645" s="104"/>
      <c r="B10645" s="104"/>
    </row>
    <row r="10646" spans="1:2" x14ac:dyDescent="0.25">
      <c r="A10646" s="104"/>
      <c r="B10646" s="104"/>
    </row>
    <row r="10647" spans="1:2" x14ac:dyDescent="0.25">
      <c r="A10647" s="104"/>
      <c r="B10647" s="104"/>
    </row>
    <row r="10648" spans="1:2" x14ac:dyDescent="0.25">
      <c r="A10648" s="104"/>
      <c r="B10648" s="104"/>
    </row>
    <row r="10649" spans="1:2" x14ac:dyDescent="0.25">
      <c r="A10649" s="104"/>
      <c r="B10649" s="104"/>
    </row>
    <row r="10650" spans="1:2" x14ac:dyDescent="0.25">
      <c r="A10650" s="104"/>
      <c r="B10650" s="104"/>
    </row>
    <row r="10651" spans="1:2" x14ac:dyDescent="0.25">
      <c r="A10651" s="104"/>
      <c r="B10651" s="104"/>
    </row>
    <row r="10652" spans="1:2" x14ac:dyDescent="0.25">
      <c r="A10652" s="104"/>
      <c r="B10652" s="104"/>
    </row>
    <row r="10653" spans="1:2" x14ac:dyDescent="0.25">
      <c r="A10653" s="104"/>
      <c r="B10653" s="104"/>
    </row>
    <row r="10654" spans="1:2" x14ac:dyDescent="0.25">
      <c r="A10654" s="104"/>
      <c r="B10654" s="104"/>
    </row>
    <row r="10655" spans="1:2" x14ac:dyDescent="0.25">
      <c r="A10655" s="104"/>
      <c r="B10655" s="104"/>
    </row>
    <row r="10656" spans="1:2" x14ac:dyDescent="0.25">
      <c r="A10656" s="104"/>
      <c r="B10656" s="104"/>
    </row>
    <row r="10657" spans="1:2" x14ac:dyDescent="0.25">
      <c r="A10657" s="104"/>
      <c r="B10657" s="104"/>
    </row>
    <row r="10658" spans="1:2" x14ac:dyDescent="0.25">
      <c r="A10658" s="104"/>
      <c r="B10658" s="104"/>
    </row>
    <row r="10659" spans="1:2" x14ac:dyDescent="0.25">
      <c r="A10659" s="104"/>
      <c r="B10659" s="104"/>
    </row>
    <row r="10660" spans="1:2" x14ac:dyDescent="0.25">
      <c r="A10660" s="104"/>
      <c r="B10660" s="104"/>
    </row>
    <row r="10661" spans="1:2" x14ac:dyDescent="0.25">
      <c r="A10661" s="104"/>
      <c r="B10661" s="104"/>
    </row>
    <row r="10662" spans="1:2" x14ac:dyDescent="0.25">
      <c r="A10662" s="104"/>
      <c r="B10662" s="104"/>
    </row>
    <row r="10663" spans="1:2" x14ac:dyDescent="0.25">
      <c r="A10663" s="104"/>
      <c r="B10663" s="104"/>
    </row>
    <row r="10664" spans="1:2" x14ac:dyDescent="0.25">
      <c r="A10664" s="104"/>
      <c r="B10664" s="104"/>
    </row>
    <row r="10665" spans="1:2" x14ac:dyDescent="0.25">
      <c r="A10665" s="104"/>
      <c r="B10665" s="104"/>
    </row>
    <row r="10666" spans="1:2" x14ac:dyDescent="0.25">
      <c r="A10666" s="104"/>
      <c r="B10666" s="104"/>
    </row>
    <row r="10667" spans="1:2" x14ac:dyDescent="0.25">
      <c r="A10667" s="104"/>
      <c r="B10667" s="104"/>
    </row>
    <row r="10668" spans="1:2" x14ac:dyDescent="0.25">
      <c r="A10668" s="104"/>
      <c r="B10668" s="104"/>
    </row>
    <row r="10669" spans="1:2" x14ac:dyDescent="0.25">
      <c r="A10669" s="104"/>
      <c r="B10669" s="104"/>
    </row>
    <row r="10670" spans="1:2" x14ac:dyDescent="0.25">
      <c r="A10670" s="104"/>
      <c r="B10670" s="104"/>
    </row>
    <row r="10671" spans="1:2" x14ac:dyDescent="0.25">
      <c r="A10671" s="104"/>
      <c r="B10671" s="104"/>
    </row>
    <row r="10672" spans="1:2" x14ac:dyDescent="0.25">
      <c r="A10672" s="104"/>
      <c r="B10672" s="104"/>
    </row>
    <row r="10673" spans="1:2" x14ac:dyDescent="0.25">
      <c r="A10673" s="104"/>
      <c r="B10673" s="104"/>
    </row>
    <row r="10674" spans="1:2" x14ac:dyDescent="0.25">
      <c r="A10674" s="104"/>
      <c r="B10674" s="104"/>
    </row>
    <row r="10675" spans="1:2" x14ac:dyDescent="0.25">
      <c r="A10675" s="104"/>
      <c r="B10675" s="104"/>
    </row>
    <row r="10676" spans="1:2" x14ac:dyDescent="0.25">
      <c r="A10676" s="104"/>
      <c r="B10676" s="104"/>
    </row>
    <row r="10677" spans="1:2" x14ac:dyDescent="0.25">
      <c r="A10677" s="104"/>
      <c r="B10677" s="104"/>
    </row>
    <row r="10678" spans="1:2" x14ac:dyDescent="0.25">
      <c r="A10678" s="104"/>
      <c r="B10678" s="104"/>
    </row>
    <row r="10679" spans="1:2" x14ac:dyDescent="0.25">
      <c r="A10679" s="104"/>
      <c r="B10679" s="104"/>
    </row>
    <row r="10680" spans="1:2" x14ac:dyDescent="0.25">
      <c r="A10680" s="104"/>
      <c r="B10680" s="104"/>
    </row>
    <row r="10681" spans="1:2" x14ac:dyDescent="0.25">
      <c r="A10681" s="104"/>
      <c r="B10681" s="104"/>
    </row>
    <row r="10682" spans="1:2" x14ac:dyDescent="0.25">
      <c r="A10682" s="104"/>
      <c r="B10682" s="104"/>
    </row>
    <row r="10683" spans="1:2" x14ac:dyDescent="0.25">
      <c r="A10683" s="104"/>
      <c r="B10683" s="104"/>
    </row>
    <row r="10684" spans="1:2" x14ac:dyDescent="0.25">
      <c r="A10684" s="104"/>
      <c r="B10684" s="104"/>
    </row>
    <row r="10685" spans="1:2" x14ac:dyDescent="0.25">
      <c r="A10685" s="104"/>
      <c r="B10685" s="104"/>
    </row>
    <row r="10686" spans="1:2" x14ac:dyDescent="0.25">
      <c r="A10686" s="104"/>
      <c r="B10686" s="104"/>
    </row>
    <row r="10687" spans="1:2" x14ac:dyDescent="0.25">
      <c r="A10687" s="104"/>
      <c r="B10687" s="104"/>
    </row>
    <row r="10688" spans="1:2" x14ac:dyDescent="0.25">
      <c r="A10688" s="104"/>
      <c r="B10688" s="104"/>
    </row>
    <row r="10689" spans="1:2" x14ac:dyDescent="0.25">
      <c r="A10689" s="104"/>
      <c r="B10689" s="104"/>
    </row>
    <row r="10690" spans="1:2" x14ac:dyDescent="0.25">
      <c r="A10690" s="104"/>
      <c r="B10690" s="104"/>
    </row>
    <row r="10691" spans="1:2" x14ac:dyDescent="0.25">
      <c r="A10691" s="104"/>
      <c r="B10691" s="104"/>
    </row>
    <row r="10692" spans="1:2" x14ac:dyDescent="0.25">
      <c r="A10692" s="104"/>
      <c r="B10692" s="104"/>
    </row>
    <row r="10693" spans="1:2" x14ac:dyDescent="0.25">
      <c r="A10693" s="104"/>
      <c r="B10693" s="104"/>
    </row>
    <row r="10694" spans="1:2" x14ac:dyDescent="0.25">
      <c r="A10694" s="104"/>
      <c r="B10694" s="104"/>
    </row>
    <row r="10695" spans="1:2" x14ac:dyDescent="0.25">
      <c r="A10695" s="104"/>
      <c r="B10695" s="104"/>
    </row>
    <row r="10696" spans="1:2" x14ac:dyDescent="0.25">
      <c r="A10696" s="104"/>
      <c r="B10696" s="104"/>
    </row>
    <row r="10697" spans="1:2" x14ac:dyDescent="0.25">
      <c r="A10697" s="104"/>
      <c r="B10697" s="104"/>
    </row>
    <row r="10698" spans="1:2" x14ac:dyDescent="0.25">
      <c r="A10698" s="104"/>
      <c r="B10698" s="104"/>
    </row>
    <row r="10699" spans="1:2" x14ac:dyDescent="0.25">
      <c r="A10699" s="104"/>
      <c r="B10699" s="104"/>
    </row>
    <row r="10700" spans="1:2" x14ac:dyDescent="0.25">
      <c r="A10700" s="104"/>
      <c r="B10700" s="104"/>
    </row>
    <row r="10701" spans="1:2" x14ac:dyDescent="0.25">
      <c r="A10701" s="104"/>
      <c r="B10701" s="104"/>
    </row>
    <row r="10702" spans="1:2" x14ac:dyDescent="0.25">
      <c r="A10702" s="104"/>
      <c r="B10702" s="104"/>
    </row>
    <row r="10703" spans="1:2" x14ac:dyDescent="0.25">
      <c r="A10703" s="104"/>
      <c r="B10703" s="104"/>
    </row>
    <row r="10704" spans="1:2" x14ac:dyDescent="0.25">
      <c r="A10704" s="104"/>
      <c r="B10704" s="104"/>
    </row>
    <row r="10705" spans="1:2" x14ac:dyDescent="0.25">
      <c r="A10705" s="104"/>
      <c r="B10705" s="104"/>
    </row>
    <row r="10706" spans="1:2" x14ac:dyDescent="0.25">
      <c r="A10706" s="104"/>
      <c r="B10706" s="104"/>
    </row>
    <row r="10707" spans="1:2" x14ac:dyDescent="0.25">
      <c r="A10707" s="104"/>
      <c r="B10707" s="104"/>
    </row>
    <row r="10708" spans="1:2" x14ac:dyDescent="0.25">
      <c r="A10708" s="104"/>
      <c r="B10708" s="104"/>
    </row>
    <row r="10709" spans="1:2" x14ac:dyDescent="0.25">
      <c r="A10709" s="104"/>
      <c r="B10709" s="104"/>
    </row>
    <row r="10710" spans="1:2" x14ac:dyDescent="0.25">
      <c r="A10710" s="104"/>
      <c r="B10710" s="104"/>
    </row>
    <row r="10711" spans="1:2" x14ac:dyDescent="0.25">
      <c r="A10711" s="104"/>
      <c r="B10711" s="104"/>
    </row>
    <row r="10712" spans="1:2" x14ac:dyDescent="0.25">
      <c r="A10712" s="104"/>
      <c r="B10712" s="104"/>
    </row>
    <row r="10713" spans="1:2" x14ac:dyDescent="0.25">
      <c r="A10713" s="104"/>
      <c r="B10713" s="104"/>
    </row>
    <row r="10714" spans="1:2" x14ac:dyDescent="0.25">
      <c r="A10714" s="104"/>
      <c r="B10714" s="104"/>
    </row>
    <row r="10715" spans="1:2" x14ac:dyDescent="0.25">
      <c r="A10715" s="104"/>
      <c r="B10715" s="104"/>
    </row>
    <row r="10716" spans="1:2" x14ac:dyDescent="0.25">
      <c r="A10716" s="104"/>
      <c r="B10716" s="104"/>
    </row>
    <row r="10717" spans="1:2" x14ac:dyDescent="0.25">
      <c r="A10717" s="104"/>
      <c r="B10717" s="104"/>
    </row>
    <row r="10718" spans="1:2" x14ac:dyDescent="0.25">
      <c r="A10718" s="104"/>
      <c r="B10718" s="104"/>
    </row>
    <row r="10719" spans="1:2" x14ac:dyDescent="0.25">
      <c r="A10719" s="104"/>
      <c r="B10719" s="104"/>
    </row>
    <row r="10720" spans="1:2" x14ac:dyDescent="0.25">
      <c r="A10720" s="104"/>
      <c r="B10720" s="104"/>
    </row>
    <row r="10721" spans="1:2" x14ac:dyDescent="0.25">
      <c r="A10721" s="104"/>
      <c r="B10721" s="104"/>
    </row>
    <row r="10722" spans="1:2" x14ac:dyDescent="0.25">
      <c r="A10722" s="104"/>
      <c r="B10722" s="104"/>
    </row>
    <row r="10723" spans="1:2" x14ac:dyDescent="0.25">
      <c r="A10723" s="104"/>
      <c r="B10723" s="104"/>
    </row>
    <row r="10724" spans="1:2" x14ac:dyDescent="0.25">
      <c r="A10724" s="104"/>
      <c r="B10724" s="104"/>
    </row>
    <row r="10725" spans="1:2" x14ac:dyDescent="0.25">
      <c r="A10725" s="104"/>
      <c r="B10725" s="104"/>
    </row>
    <row r="10726" spans="1:2" x14ac:dyDescent="0.25">
      <c r="A10726" s="104"/>
      <c r="B10726" s="104"/>
    </row>
    <row r="10727" spans="1:2" x14ac:dyDescent="0.25">
      <c r="A10727" s="104"/>
      <c r="B10727" s="104"/>
    </row>
    <row r="10728" spans="1:2" x14ac:dyDescent="0.25">
      <c r="A10728" s="104"/>
      <c r="B10728" s="104"/>
    </row>
    <row r="10729" spans="1:2" x14ac:dyDescent="0.25">
      <c r="A10729" s="104"/>
      <c r="B10729" s="104"/>
    </row>
    <row r="10730" spans="1:2" x14ac:dyDescent="0.25">
      <c r="A10730" s="104"/>
      <c r="B10730" s="104"/>
    </row>
    <row r="10731" spans="1:2" x14ac:dyDescent="0.25">
      <c r="A10731" s="104"/>
      <c r="B10731" s="104"/>
    </row>
    <row r="10732" spans="1:2" x14ac:dyDescent="0.25">
      <c r="A10732" s="104"/>
      <c r="B10732" s="104"/>
    </row>
    <row r="10733" spans="1:2" x14ac:dyDescent="0.25">
      <c r="A10733" s="104"/>
      <c r="B10733" s="104"/>
    </row>
    <row r="10734" spans="1:2" x14ac:dyDescent="0.25">
      <c r="A10734" s="104"/>
      <c r="B10734" s="104"/>
    </row>
    <row r="10735" spans="1:2" x14ac:dyDescent="0.25">
      <c r="A10735" s="104"/>
      <c r="B10735" s="104"/>
    </row>
    <row r="10736" spans="1:2" x14ac:dyDescent="0.25">
      <c r="A10736" s="104"/>
      <c r="B10736" s="104"/>
    </row>
    <row r="10737" spans="1:2" x14ac:dyDescent="0.25">
      <c r="A10737" s="104"/>
      <c r="B10737" s="104"/>
    </row>
    <row r="10738" spans="1:2" x14ac:dyDescent="0.25">
      <c r="A10738" s="104"/>
      <c r="B10738" s="104"/>
    </row>
    <row r="10739" spans="1:2" x14ac:dyDescent="0.25">
      <c r="A10739" s="104"/>
      <c r="B10739" s="104"/>
    </row>
    <row r="10740" spans="1:2" x14ac:dyDescent="0.25">
      <c r="A10740" s="104"/>
      <c r="B10740" s="104"/>
    </row>
    <row r="10741" spans="1:2" x14ac:dyDescent="0.25">
      <c r="A10741" s="104"/>
      <c r="B10741" s="104"/>
    </row>
    <row r="10742" spans="1:2" x14ac:dyDescent="0.25">
      <c r="A10742" s="104"/>
      <c r="B10742" s="104"/>
    </row>
    <row r="10743" spans="1:2" x14ac:dyDescent="0.25">
      <c r="A10743" s="104"/>
      <c r="B10743" s="104"/>
    </row>
    <row r="10744" spans="1:2" x14ac:dyDescent="0.25">
      <c r="A10744" s="104"/>
      <c r="B10744" s="104"/>
    </row>
    <row r="10745" spans="1:2" x14ac:dyDescent="0.25">
      <c r="A10745" s="104"/>
      <c r="B10745" s="104"/>
    </row>
    <row r="10746" spans="1:2" x14ac:dyDescent="0.25">
      <c r="A10746" s="104"/>
      <c r="B10746" s="104"/>
    </row>
    <row r="10747" spans="1:2" x14ac:dyDescent="0.25">
      <c r="A10747" s="104"/>
      <c r="B10747" s="104"/>
    </row>
    <row r="10748" spans="1:2" x14ac:dyDescent="0.25">
      <c r="A10748" s="104"/>
      <c r="B10748" s="104"/>
    </row>
    <row r="10749" spans="1:2" x14ac:dyDescent="0.25">
      <c r="A10749" s="104"/>
      <c r="B10749" s="104"/>
    </row>
    <row r="10750" spans="1:2" x14ac:dyDescent="0.25">
      <c r="A10750" s="104"/>
      <c r="B10750" s="104"/>
    </row>
    <row r="10751" spans="1:2" x14ac:dyDescent="0.25">
      <c r="A10751" s="104"/>
      <c r="B10751" s="104"/>
    </row>
    <row r="10752" spans="1:2" x14ac:dyDescent="0.25">
      <c r="A10752" s="104"/>
      <c r="B10752" s="104"/>
    </row>
    <row r="10753" spans="1:2" x14ac:dyDescent="0.25">
      <c r="A10753" s="104"/>
      <c r="B10753" s="104"/>
    </row>
    <row r="10754" spans="1:2" x14ac:dyDescent="0.25">
      <c r="A10754" s="104"/>
      <c r="B10754" s="104"/>
    </row>
    <row r="10755" spans="1:2" x14ac:dyDescent="0.25">
      <c r="A10755" s="104"/>
      <c r="B10755" s="104"/>
    </row>
    <row r="10756" spans="1:2" x14ac:dyDescent="0.25">
      <c r="A10756" s="104"/>
      <c r="B10756" s="104"/>
    </row>
    <row r="10757" spans="1:2" x14ac:dyDescent="0.25">
      <c r="A10757" s="104"/>
      <c r="B10757" s="104"/>
    </row>
    <row r="10758" spans="1:2" x14ac:dyDescent="0.25">
      <c r="A10758" s="104"/>
      <c r="B10758" s="104"/>
    </row>
    <row r="10759" spans="1:2" x14ac:dyDescent="0.25">
      <c r="A10759" s="104"/>
      <c r="B10759" s="104"/>
    </row>
    <row r="10760" spans="1:2" x14ac:dyDescent="0.25">
      <c r="A10760" s="104"/>
      <c r="B10760" s="104"/>
    </row>
    <row r="10761" spans="1:2" x14ac:dyDescent="0.25">
      <c r="A10761" s="104"/>
      <c r="B10761" s="104"/>
    </row>
    <row r="10762" spans="1:2" x14ac:dyDescent="0.25">
      <c r="A10762" s="104"/>
      <c r="B10762" s="104"/>
    </row>
    <row r="10763" spans="1:2" x14ac:dyDescent="0.25">
      <c r="A10763" s="104"/>
      <c r="B10763" s="104"/>
    </row>
    <row r="10764" spans="1:2" x14ac:dyDescent="0.25">
      <c r="A10764" s="104"/>
      <c r="B10764" s="104"/>
    </row>
    <row r="10765" spans="1:2" x14ac:dyDescent="0.25">
      <c r="A10765" s="104"/>
      <c r="B10765" s="104"/>
    </row>
    <row r="10766" spans="1:2" x14ac:dyDescent="0.25">
      <c r="A10766" s="104"/>
      <c r="B10766" s="104"/>
    </row>
    <row r="10767" spans="1:2" x14ac:dyDescent="0.25">
      <c r="A10767" s="104"/>
      <c r="B10767" s="104"/>
    </row>
    <row r="10768" spans="1:2" x14ac:dyDescent="0.25">
      <c r="A10768" s="104"/>
      <c r="B10768" s="104"/>
    </row>
    <row r="10769" spans="1:2" x14ac:dyDescent="0.25">
      <c r="A10769" s="104"/>
      <c r="B10769" s="104"/>
    </row>
    <row r="10770" spans="1:2" x14ac:dyDescent="0.25">
      <c r="A10770" s="104"/>
      <c r="B10770" s="104"/>
    </row>
    <row r="10771" spans="1:2" x14ac:dyDescent="0.25">
      <c r="A10771" s="104"/>
      <c r="B10771" s="104"/>
    </row>
    <row r="10772" spans="1:2" x14ac:dyDescent="0.25">
      <c r="A10772" s="104"/>
      <c r="B10772" s="104"/>
    </row>
    <row r="10773" spans="1:2" x14ac:dyDescent="0.25">
      <c r="A10773" s="104"/>
      <c r="B10773" s="104"/>
    </row>
    <row r="10774" spans="1:2" x14ac:dyDescent="0.25">
      <c r="A10774" s="104"/>
      <c r="B10774" s="104"/>
    </row>
    <row r="10775" spans="1:2" x14ac:dyDescent="0.25">
      <c r="A10775" s="104"/>
      <c r="B10775" s="104"/>
    </row>
    <row r="10776" spans="1:2" x14ac:dyDescent="0.25">
      <c r="A10776" s="104"/>
      <c r="B10776" s="104"/>
    </row>
    <row r="10777" spans="1:2" x14ac:dyDescent="0.25">
      <c r="A10777" s="104"/>
      <c r="B10777" s="104"/>
    </row>
    <row r="10778" spans="1:2" x14ac:dyDescent="0.25">
      <c r="A10778" s="104"/>
      <c r="B10778" s="104"/>
    </row>
    <row r="10779" spans="1:2" x14ac:dyDescent="0.25">
      <c r="A10779" s="104"/>
      <c r="B10779" s="104"/>
    </row>
    <row r="10780" spans="1:2" x14ac:dyDescent="0.25">
      <c r="A10780" s="104"/>
      <c r="B10780" s="104"/>
    </row>
    <row r="10781" spans="1:2" x14ac:dyDescent="0.25">
      <c r="A10781" s="104"/>
      <c r="B10781" s="104"/>
    </row>
    <row r="10782" spans="1:2" x14ac:dyDescent="0.25">
      <c r="A10782" s="104"/>
      <c r="B10782" s="104"/>
    </row>
    <row r="10783" spans="1:2" x14ac:dyDescent="0.25">
      <c r="A10783" s="104"/>
      <c r="B10783" s="104"/>
    </row>
    <row r="10784" spans="1:2" x14ac:dyDescent="0.25">
      <c r="A10784" s="104"/>
      <c r="B10784" s="104"/>
    </row>
    <row r="10785" spans="1:2" x14ac:dyDescent="0.25">
      <c r="A10785" s="104"/>
      <c r="B10785" s="104"/>
    </row>
    <row r="10786" spans="1:2" x14ac:dyDescent="0.25">
      <c r="A10786" s="104"/>
      <c r="B10786" s="104"/>
    </row>
    <row r="10787" spans="1:2" x14ac:dyDescent="0.25">
      <c r="A10787" s="104"/>
      <c r="B10787" s="104"/>
    </row>
    <row r="10788" spans="1:2" x14ac:dyDescent="0.25">
      <c r="A10788" s="104"/>
      <c r="B10788" s="104"/>
    </row>
    <row r="10789" spans="1:2" x14ac:dyDescent="0.25">
      <c r="A10789" s="104"/>
      <c r="B10789" s="104"/>
    </row>
    <row r="10790" spans="1:2" x14ac:dyDescent="0.25">
      <c r="A10790" s="104"/>
      <c r="B10790" s="104"/>
    </row>
    <row r="10791" spans="1:2" x14ac:dyDescent="0.25">
      <c r="A10791" s="104"/>
      <c r="B10791" s="104"/>
    </row>
    <row r="10792" spans="1:2" x14ac:dyDescent="0.25">
      <c r="A10792" s="104"/>
      <c r="B10792" s="104"/>
    </row>
    <row r="10793" spans="1:2" x14ac:dyDescent="0.25">
      <c r="A10793" s="104"/>
      <c r="B10793" s="104"/>
    </row>
    <row r="10794" spans="1:2" x14ac:dyDescent="0.25">
      <c r="A10794" s="104"/>
      <c r="B10794" s="104"/>
    </row>
    <row r="10795" spans="1:2" x14ac:dyDescent="0.25">
      <c r="A10795" s="104"/>
      <c r="B10795" s="104"/>
    </row>
    <row r="10796" spans="1:2" x14ac:dyDescent="0.25">
      <c r="A10796" s="104"/>
      <c r="B10796" s="104"/>
    </row>
    <row r="10797" spans="1:2" x14ac:dyDescent="0.25">
      <c r="A10797" s="104"/>
      <c r="B10797" s="104"/>
    </row>
    <row r="10798" spans="1:2" x14ac:dyDescent="0.25">
      <c r="A10798" s="104"/>
      <c r="B10798" s="104"/>
    </row>
    <row r="10799" spans="1:2" x14ac:dyDescent="0.25">
      <c r="A10799" s="104"/>
      <c r="B10799" s="104"/>
    </row>
    <row r="10800" spans="1:2" x14ac:dyDescent="0.25">
      <c r="A10800" s="104"/>
      <c r="B10800" s="104"/>
    </row>
    <row r="10801" spans="1:2" x14ac:dyDescent="0.25">
      <c r="A10801" s="104"/>
      <c r="B10801" s="104"/>
    </row>
    <row r="10802" spans="1:2" x14ac:dyDescent="0.25">
      <c r="A10802" s="104"/>
      <c r="B10802" s="104"/>
    </row>
    <row r="10803" spans="1:2" x14ac:dyDescent="0.25">
      <c r="A10803" s="104"/>
      <c r="B10803" s="104"/>
    </row>
    <row r="10804" spans="1:2" x14ac:dyDescent="0.25">
      <c r="A10804" s="104"/>
      <c r="B10804" s="104"/>
    </row>
    <row r="10805" spans="1:2" x14ac:dyDescent="0.25">
      <c r="A10805" s="104"/>
      <c r="B10805" s="104"/>
    </row>
    <row r="10806" spans="1:2" x14ac:dyDescent="0.25">
      <c r="A10806" s="104"/>
      <c r="B10806" s="104"/>
    </row>
    <row r="10807" spans="1:2" x14ac:dyDescent="0.25">
      <c r="A10807" s="104"/>
      <c r="B10807" s="104"/>
    </row>
    <row r="10808" spans="1:2" x14ac:dyDescent="0.25">
      <c r="A10808" s="104"/>
      <c r="B10808" s="104"/>
    </row>
    <row r="10809" spans="1:2" x14ac:dyDescent="0.25">
      <c r="A10809" s="104"/>
      <c r="B10809" s="104"/>
    </row>
    <row r="10810" spans="1:2" x14ac:dyDescent="0.25">
      <c r="A10810" s="104"/>
      <c r="B10810" s="104"/>
    </row>
    <row r="10811" spans="1:2" x14ac:dyDescent="0.25">
      <c r="A10811" s="104"/>
      <c r="B10811" s="104"/>
    </row>
    <row r="10812" spans="1:2" x14ac:dyDescent="0.25">
      <c r="A10812" s="104"/>
      <c r="B10812" s="104"/>
    </row>
    <row r="10813" spans="1:2" x14ac:dyDescent="0.25">
      <c r="A10813" s="104"/>
      <c r="B10813" s="104"/>
    </row>
    <row r="10814" spans="1:2" x14ac:dyDescent="0.25">
      <c r="A10814" s="104"/>
      <c r="B10814" s="104"/>
    </row>
    <row r="10815" spans="1:2" x14ac:dyDescent="0.25">
      <c r="A10815" s="104"/>
      <c r="B10815" s="104"/>
    </row>
    <row r="10816" spans="1:2" x14ac:dyDescent="0.25">
      <c r="A10816" s="104"/>
      <c r="B10816" s="104"/>
    </row>
    <row r="10817" spans="1:2" x14ac:dyDescent="0.25">
      <c r="A10817" s="104"/>
      <c r="B10817" s="104"/>
    </row>
    <row r="10818" spans="1:2" x14ac:dyDescent="0.25">
      <c r="A10818" s="104"/>
      <c r="B10818" s="104"/>
    </row>
    <row r="10819" spans="1:2" x14ac:dyDescent="0.25">
      <c r="A10819" s="104"/>
      <c r="B10819" s="104"/>
    </row>
    <row r="10820" spans="1:2" x14ac:dyDescent="0.25">
      <c r="A10820" s="104"/>
      <c r="B10820" s="104"/>
    </row>
    <row r="10821" spans="1:2" x14ac:dyDescent="0.25">
      <c r="A10821" s="104"/>
      <c r="B10821" s="104"/>
    </row>
    <row r="10822" spans="1:2" x14ac:dyDescent="0.25">
      <c r="A10822" s="104"/>
      <c r="B10822" s="104"/>
    </row>
    <row r="10823" spans="1:2" x14ac:dyDescent="0.25">
      <c r="A10823" s="104"/>
      <c r="B10823" s="104"/>
    </row>
    <row r="10824" spans="1:2" x14ac:dyDescent="0.25">
      <c r="A10824" s="104"/>
      <c r="B10824" s="104"/>
    </row>
    <row r="10825" spans="1:2" x14ac:dyDescent="0.25">
      <c r="A10825" s="104"/>
      <c r="B10825" s="104"/>
    </row>
    <row r="10826" spans="1:2" x14ac:dyDescent="0.25">
      <c r="A10826" s="104"/>
      <c r="B10826" s="104"/>
    </row>
    <row r="10827" spans="1:2" x14ac:dyDescent="0.25">
      <c r="A10827" s="104"/>
      <c r="B10827" s="104"/>
    </row>
    <row r="10828" spans="1:2" x14ac:dyDescent="0.25">
      <c r="A10828" s="104"/>
      <c r="B10828" s="104"/>
    </row>
    <row r="10829" spans="1:2" x14ac:dyDescent="0.25">
      <c r="A10829" s="104"/>
      <c r="B10829" s="104"/>
    </row>
    <row r="10830" spans="1:2" x14ac:dyDescent="0.25">
      <c r="A10830" s="104"/>
      <c r="B10830" s="104"/>
    </row>
    <row r="10831" spans="1:2" x14ac:dyDescent="0.25">
      <c r="A10831" s="104"/>
      <c r="B10831" s="104"/>
    </row>
    <row r="10832" spans="1:2" x14ac:dyDescent="0.25">
      <c r="A10832" s="104"/>
      <c r="B10832" s="104"/>
    </row>
    <row r="10833" spans="1:2" x14ac:dyDescent="0.25">
      <c r="A10833" s="104"/>
      <c r="B10833" s="104"/>
    </row>
    <row r="10834" spans="1:2" x14ac:dyDescent="0.25">
      <c r="A10834" s="104"/>
      <c r="B10834" s="104"/>
    </row>
    <row r="10835" spans="1:2" x14ac:dyDescent="0.25">
      <c r="A10835" s="104"/>
      <c r="B10835" s="104"/>
    </row>
    <row r="10836" spans="1:2" x14ac:dyDescent="0.25">
      <c r="A10836" s="104"/>
      <c r="B10836" s="104"/>
    </row>
    <row r="10837" spans="1:2" x14ac:dyDescent="0.25">
      <c r="A10837" s="104"/>
      <c r="B10837" s="104"/>
    </row>
    <row r="10838" spans="1:2" x14ac:dyDescent="0.25">
      <c r="A10838" s="104"/>
      <c r="B10838" s="104"/>
    </row>
    <row r="10839" spans="1:2" x14ac:dyDescent="0.25">
      <c r="A10839" s="104"/>
      <c r="B10839" s="104"/>
    </row>
    <row r="10840" spans="1:2" x14ac:dyDescent="0.25">
      <c r="A10840" s="104"/>
      <c r="B10840" s="104"/>
    </row>
    <row r="10841" spans="1:2" x14ac:dyDescent="0.25">
      <c r="A10841" s="104"/>
      <c r="B10841" s="104"/>
    </row>
    <row r="10842" spans="1:2" x14ac:dyDescent="0.25">
      <c r="A10842" s="104"/>
      <c r="B10842" s="104"/>
    </row>
    <row r="10843" spans="1:2" x14ac:dyDescent="0.25">
      <c r="A10843" s="104"/>
      <c r="B10843" s="104"/>
    </row>
    <row r="10844" spans="1:2" x14ac:dyDescent="0.25">
      <c r="A10844" s="104"/>
      <c r="B10844" s="104"/>
    </row>
    <row r="10845" spans="1:2" x14ac:dyDescent="0.25">
      <c r="A10845" s="104"/>
      <c r="B10845" s="104"/>
    </row>
    <row r="10846" spans="1:2" x14ac:dyDescent="0.25">
      <c r="A10846" s="104"/>
      <c r="B10846" s="104"/>
    </row>
    <row r="10847" spans="1:2" x14ac:dyDescent="0.25">
      <c r="A10847" s="104"/>
      <c r="B10847" s="104"/>
    </row>
    <row r="10848" spans="1:2" x14ac:dyDescent="0.25">
      <c r="A10848" s="104"/>
      <c r="B10848" s="104"/>
    </row>
    <row r="10849" spans="1:2" x14ac:dyDescent="0.25">
      <c r="A10849" s="104"/>
      <c r="B10849" s="104"/>
    </row>
    <row r="10850" spans="1:2" x14ac:dyDescent="0.25">
      <c r="A10850" s="104"/>
      <c r="B10850" s="104"/>
    </row>
    <row r="10851" spans="1:2" x14ac:dyDescent="0.25">
      <c r="A10851" s="104"/>
      <c r="B10851" s="104"/>
    </row>
    <row r="10852" spans="1:2" x14ac:dyDescent="0.25">
      <c r="A10852" s="104"/>
      <c r="B10852" s="104"/>
    </row>
    <row r="10853" spans="1:2" x14ac:dyDescent="0.25">
      <c r="A10853" s="104"/>
      <c r="B10853" s="104"/>
    </row>
    <row r="10854" spans="1:2" x14ac:dyDescent="0.25">
      <c r="A10854" s="104"/>
      <c r="B10854" s="104"/>
    </row>
    <row r="10855" spans="1:2" x14ac:dyDescent="0.25">
      <c r="A10855" s="104"/>
      <c r="B10855" s="104"/>
    </row>
    <row r="10856" spans="1:2" x14ac:dyDescent="0.25">
      <c r="A10856" s="104"/>
      <c r="B10856" s="104"/>
    </row>
    <row r="10857" spans="1:2" x14ac:dyDescent="0.25">
      <c r="A10857" s="104"/>
      <c r="B10857" s="104"/>
    </row>
    <row r="10858" spans="1:2" x14ac:dyDescent="0.25">
      <c r="A10858" s="104"/>
      <c r="B10858" s="104"/>
    </row>
    <row r="10859" spans="1:2" x14ac:dyDescent="0.25">
      <c r="A10859" s="104"/>
      <c r="B10859" s="104"/>
    </row>
    <row r="10860" spans="1:2" x14ac:dyDescent="0.25">
      <c r="A10860" s="104"/>
      <c r="B10860" s="104"/>
    </row>
    <row r="10861" spans="1:2" x14ac:dyDescent="0.25">
      <c r="A10861" s="104"/>
      <c r="B10861" s="104"/>
    </row>
    <row r="10862" spans="1:2" x14ac:dyDescent="0.25">
      <c r="A10862" s="104"/>
      <c r="B10862" s="104"/>
    </row>
    <row r="10863" spans="1:2" x14ac:dyDescent="0.25">
      <c r="A10863" s="104"/>
      <c r="B10863" s="104"/>
    </row>
    <row r="10864" spans="1:2" x14ac:dyDescent="0.25">
      <c r="A10864" s="104"/>
      <c r="B10864" s="104"/>
    </row>
    <row r="10865" spans="1:2" x14ac:dyDescent="0.25">
      <c r="A10865" s="104"/>
      <c r="B10865" s="104"/>
    </row>
    <row r="10866" spans="1:2" x14ac:dyDescent="0.25">
      <c r="A10866" s="104"/>
      <c r="B10866" s="104"/>
    </row>
    <row r="10867" spans="1:2" x14ac:dyDescent="0.25">
      <c r="A10867" s="104"/>
      <c r="B10867" s="104"/>
    </row>
    <row r="10868" spans="1:2" x14ac:dyDescent="0.25">
      <c r="A10868" s="104"/>
      <c r="B10868" s="104"/>
    </row>
    <row r="10869" spans="1:2" x14ac:dyDescent="0.25">
      <c r="A10869" s="104"/>
      <c r="B10869" s="104"/>
    </row>
    <row r="10870" spans="1:2" x14ac:dyDescent="0.25">
      <c r="A10870" s="104"/>
      <c r="B10870" s="104"/>
    </row>
    <row r="10871" spans="1:2" x14ac:dyDescent="0.25">
      <c r="A10871" s="104"/>
      <c r="B10871" s="104"/>
    </row>
    <row r="10872" spans="1:2" x14ac:dyDescent="0.25">
      <c r="A10872" s="104"/>
      <c r="B10872" s="104"/>
    </row>
    <row r="10873" spans="1:2" x14ac:dyDescent="0.25">
      <c r="A10873" s="104"/>
      <c r="B10873" s="104"/>
    </row>
    <row r="10874" spans="1:2" x14ac:dyDescent="0.25">
      <c r="A10874" s="104"/>
      <c r="B10874" s="104"/>
    </row>
    <row r="10875" spans="1:2" x14ac:dyDescent="0.25">
      <c r="A10875" s="104"/>
      <c r="B10875" s="104"/>
    </row>
    <row r="10876" spans="1:2" x14ac:dyDescent="0.25">
      <c r="A10876" s="104"/>
      <c r="B10876" s="104"/>
    </row>
    <row r="10877" spans="1:2" x14ac:dyDescent="0.25">
      <c r="A10877" s="104"/>
      <c r="B10877" s="104"/>
    </row>
    <row r="10878" spans="1:2" x14ac:dyDescent="0.25">
      <c r="A10878" s="104"/>
      <c r="B10878" s="104"/>
    </row>
    <row r="10879" spans="1:2" x14ac:dyDescent="0.25">
      <c r="A10879" s="104"/>
      <c r="B10879" s="104"/>
    </row>
    <row r="10880" spans="1:2" x14ac:dyDescent="0.25">
      <c r="A10880" s="104"/>
      <c r="B10880" s="104"/>
    </row>
    <row r="10881" spans="1:2" x14ac:dyDescent="0.25">
      <c r="A10881" s="104"/>
      <c r="B10881" s="104"/>
    </row>
    <row r="10882" spans="1:2" x14ac:dyDescent="0.25">
      <c r="A10882" s="104"/>
      <c r="B10882" s="104"/>
    </row>
    <row r="10883" spans="1:2" x14ac:dyDescent="0.25">
      <c r="A10883" s="104"/>
      <c r="B10883" s="104"/>
    </row>
    <row r="10884" spans="1:2" x14ac:dyDescent="0.25">
      <c r="A10884" s="104"/>
      <c r="B10884" s="104"/>
    </row>
    <row r="10885" spans="1:2" x14ac:dyDescent="0.25">
      <c r="A10885" s="104"/>
      <c r="B10885" s="104"/>
    </row>
    <row r="10886" spans="1:2" x14ac:dyDescent="0.25">
      <c r="A10886" s="104"/>
      <c r="B10886" s="104"/>
    </row>
    <row r="10887" spans="1:2" x14ac:dyDescent="0.25">
      <c r="A10887" s="104"/>
      <c r="B10887" s="104"/>
    </row>
    <row r="10888" spans="1:2" x14ac:dyDescent="0.25">
      <c r="A10888" s="104"/>
      <c r="B10888" s="104"/>
    </row>
    <row r="10889" spans="1:2" x14ac:dyDescent="0.25">
      <c r="A10889" s="104"/>
      <c r="B10889" s="104"/>
    </row>
    <row r="10890" spans="1:2" x14ac:dyDescent="0.25">
      <c r="A10890" s="104"/>
      <c r="B10890" s="104"/>
    </row>
    <row r="10891" spans="1:2" x14ac:dyDescent="0.25">
      <c r="A10891" s="104"/>
      <c r="B10891" s="104"/>
    </row>
    <row r="10892" spans="1:2" x14ac:dyDescent="0.25">
      <c r="A10892" s="104"/>
      <c r="B10892" s="104"/>
    </row>
    <row r="10893" spans="1:2" x14ac:dyDescent="0.25">
      <c r="A10893" s="104"/>
      <c r="B10893" s="104"/>
    </row>
    <row r="10894" spans="1:2" x14ac:dyDescent="0.25">
      <c r="A10894" s="104"/>
      <c r="B10894" s="104"/>
    </row>
    <row r="10895" spans="1:2" x14ac:dyDescent="0.25">
      <c r="A10895" s="104"/>
      <c r="B10895" s="104"/>
    </row>
    <row r="10896" spans="1:2" x14ac:dyDescent="0.25">
      <c r="A10896" s="104"/>
      <c r="B10896" s="104"/>
    </row>
    <row r="10897" spans="1:2" x14ac:dyDescent="0.25">
      <c r="A10897" s="104"/>
      <c r="B10897" s="104"/>
    </row>
    <row r="10898" spans="1:2" x14ac:dyDescent="0.25">
      <c r="A10898" s="104"/>
      <c r="B10898" s="104"/>
    </row>
    <row r="10899" spans="1:2" x14ac:dyDescent="0.25">
      <c r="A10899" s="104"/>
      <c r="B10899" s="104"/>
    </row>
    <row r="10900" spans="1:2" x14ac:dyDescent="0.25">
      <c r="A10900" s="104"/>
      <c r="B10900" s="104"/>
    </row>
    <row r="10901" spans="1:2" x14ac:dyDescent="0.25">
      <c r="A10901" s="104"/>
      <c r="B10901" s="104"/>
    </row>
    <row r="10902" spans="1:2" x14ac:dyDescent="0.25">
      <c r="A10902" s="104"/>
      <c r="B10902" s="104"/>
    </row>
    <row r="10903" spans="1:2" x14ac:dyDescent="0.25">
      <c r="A10903" s="104"/>
      <c r="B10903" s="104"/>
    </row>
    <row r="10904" spans="1:2" x14ac:dyDescent="0.25">
      <c r="A10904" s="104"/>
      <c r="B10904" s="104"/>
    </row>
    <row r="10905" spans="1:2" x14ac:dyDescent="0.25">
      <c r="A10905" s="104"/>
      <c r="B10905" s="104"/>
    </row>
    <row r="10906" spans="1:2" x14ac:dyDescent="0.25">
      <c r="A10906" s="104"/>
      <c r="B10906" s="104"/>
    </row>
    <row r="10907" spans="1:2" x14ac:dyDescent="0.25">
      <c r="A10907" s="104"/>
      <c r="B10907" s="104"/>
    </row>
    <row r="10908" spans="1:2" x14ac:dyDescent="0.25">
      <c r="A10908" s="104"/>
      <c r="B10908" s="104"/>
    </row>
    <row r="10909" spans="1:2" x14ac:dyDescent="0.25">
      <c r="A10909" s="104"/>
      <c r="B10909" s="104"/>
    </row>
    <row r="10910" spans="1:2" x14ac:dyDescent="0.25">
      <c r="A10910" s="104"/>
      <c r="B10910" s="104"/>
    </row>
    <row r="10911" spans="1:2" x14ac:dyDescent="0.25">
      <c r="A10911" s="104"/>
      <c r="B10911" s="104"/>
    </row>
    <row r="10912" spans="1:2" x14ac:dyDescent="0.25">
      <c r="A10912" s="104"/>
      <c r="B10912" s="104"/>
    </row>
    <row r="10913" spans="1:2" x14ac:dyDescent="0.25">
      <c r="A10913" s="104"/>
      <c r="B10913" s="104"/>
    </row>
    <row r="10914" spans="1:2" x14ac:dyDescent="0.25">
      <c r="A10914" s="104"/>
      <c r="B10914" s="104"/>
    </row>
    <row r="10915" spans="1:2" x14ac:dyDescent="0.25">
      <c r="A10915" s="104"/>
      <c r="B10915" s="104"/>
    </row>
    <row r="10916" spans="1:2" x14ac:dyDescent="0.25">
      <c r="A10916" s="104"/>
      <c r="B10916" s="104"/>
    </row>
    <row r="10917" spans="1:2" x14ac:dyDescent="0.25">
      <c r="A10917" s="104"/>
      <c r="B10917" s="104"/>
    </row>
    <row r="10918" spans="1:2" x14ac:dyDescent="0.25">
      <c r="A10918" s="104"/>
      <c r="B10918" s="104"/>
    </row>
    <row r="10919" spans="1:2" x14ac:dyDescent="0.25">
      <c r="A10919" s="104"/>
      <c r="B10919" s="104"/>
    </row>
    <row r="10920" spans="1:2" x14ac:dyDescent="0.25">
      <c r="A10920" s="104"/>
      <c r="B10920" s="104"/>
    </row>
    <row r="10921" spans="1:2" x14ac:dyDescent="0.25">
      <c r="A10921" s="104"/>
      <c r="B10921" s="104"/>
    </row>
    <row r="10922" spans="1:2" x14ac:dyDescent="0.25">
      <c r="A10922" s="104"/>
      <c r="B10922" s="104"/>
    </row>
    <row r="10923" spans="1:2" x14ac:dyDescent="0.25">
      <c r="A10923" s="104"/>
      <c r="B10923" s="104"/>
    </row>
    <row r="10924" spans="1:2" x14ac:dyDescent="0.25">
      <c r="A10924" s="104"/>
      <c r="B10924" s="104"/>
    </row>
    <row r="10925" spans="1:2" x14ac:dyDescent="0.25">
      <c r="A10925" s="104"/>
      <c r="B10925" s="104"/>
    </row>
    <row r="10926" spans="1:2" x14ac:dyDescent="0.25">
      <c r="A10926" s="104"/>
      <c r="B10926" s="104"/>
    </row>
    <row r="10927" spans="1:2" x14ac:dyDescent="0.25">
      <c r="A10927" s="104"/>
      <c r="B10927" s="104"/>
    </row>
    <row r="10928" spans="1:2" x14ac:dyDescent="0.25">
      <c r="A10928" s="104"/>
      <c r="B10928" s="104"/>
    </row>
    <row r="10929" spans="1:2" x14ac:dyDescent="0.25">
      <c r="A10929" s="104"/>
      <c r="B10929" s="104"/>
    </row>
    <row r="10930" spans="1:2" x14ac:dyDescent="0.25">
      <c r="A10930" s="104"/>
      <c r="B10930" s="104"/>
    </row>
    <row r="10931" spans="1:2" x14ac:dyDescent="0.25">
      <c r="A10931" s="104"/>
      <c r="B10931" s="104"/>
    </row>
    <row r="10932" spans="1:2" x14ac:dyDescent="0.25">
      <c r="A10932" s="104"/>
      <c r="B10932" s="104"/>
    </row>
    <row r="10933" spans="1:2" x14ac:dyDescent="0.25">
      <c r="A10933" s="104"/>
      <c r="B10933" s="104"/>
    </row>
    <row r="10934" spans="1:2" x14ac:dyDescent="0.25">
      <c r="A10934" s="104"/>
      <c r="B10934" s="104"/>
    </row>
    <row r="10935" spans="1:2" x14ac:dyDescent="0.25">
      <c r="A10935" s="104"/>
      <c r="B10935" s="104"/>
    </row>
    <row r="10936" spans="1:2" x14ac:dyDescent="0.25">
      <c r="A10936" s="104"/>
      <c r="B10936" s="104"/>
    </row>
    <row r="10937" spans="1:2" x14ac:dyDescent="0.25">
      <c r="A10937" s="104"/>
      <c r="B10937" s="104"/>
    </row>
    <row r="10938" spans="1:2" x14ac:dyDescent="0.25">
      <c r="A10938" s="104"/>
      <c r="B10938" s="104"/>
    </row>
    <row r="10939" spans="1:2" x14ac:dyDescent="0.25">
      <c r="A10939" s="104"/>
      <c r="B10939" s="104"/>
    </row>
    <row r="10940" spans="1:2" x14ac:dyDescent="0.25">
      <c r="A10940" s="104"/>
      <c r="B10940" s="104"/>
    </row>
    <row r="10941" spans="1:2" x14ac:dyDescent="0.25">
      <c r="A10941" s="104"/>
      <c r="B10941" s="104"/>
    </row>
    <row r="10942" spans="1:2" x14ac:dyDescent="0.25">
      <c r="A10942" s="104"/>
      <c r="B10942" s="104"/>
    </row>
    <row r="10943" spans="1:2" x14ac:dyDescent="0.25">
      <c r="A10943" s="104"/>
      <c r="B10943" s="104"/>
    </row>
    <row r="10944" spans="1:2" x14ac:dyDescent="0.25">
      <c r="A10944" s="104"/>
      <c r="B10944" s="104"/>
    </row>
    <row r="10945" spans="1:2" x14ac:dyDescent="0.25">
      <c r="A10945" s="104"/>
      <c r="B10945" s="104"/>
    </row>
    <row r="10946" spans="1:2" x14ac:dyDescent="0.25">
      <c r="A10946" s="104"/>
      <c r="B10946" s="104"/>
    </row>
    <row r="10947" spans="1:2" x14ac:dyDescent="0.25">
      <c r="A10947" s="104"/>
      <c r="B10947" s="104"/>
    </row>
    <row r="10948" spans="1:2" x14ac:dyDescent="0.25">
      <c r="A10948" s="104"/>
      <c r="B10948" s="104"/>
    </row>
    <row r="10949" spans="1:2" x14ac:dyDescent="0.25">
      <c r="A10949" s="104"/>
      <c r="B10949" s="104"/>
    </row>
    <row r="10950" spans="1:2" x14ac:dyDescent="0.25">
      <c r="A10950" s="104"/>
      <c r="B10950" s="104"/>
    </row>
    <row r="10951" spans="1:2" x14ac:dyDescent="0.25">
      <c r="A10951" s="104"/>
      <c r="B10951" s="104"/>
    </row>
    <row r="10952" spans="1:2" x14ac:dyDescent="0.25">
      <c r="A10952" s="104"/>
      <c r="B10952" s="104"/>
    </row>
    <row r="10953" spans="1:2" x14ac:dyDescent="0.25">
      <c r="A10953" s="104"/>
      <c r="B10953" s="104"/>
    </row>
    <row r="10954" spans="1:2" x14ac:dyDescent="0.25">
      <c r="A10954" s="104"/>
      <c r="B10954" s="104"/>
    </row>
    <row r="10955" spans="1:2" x14ac:dyDescent="0.25">
      <c r="A10955" s="104"/>
      <c r="B10955" s="104"/>
    </row>
    <row r="10956" spans="1:2" x14ac:dyDescent="0.25">
      <c r="A10956" s="104"/>
      <c r="B10956" s="104"/>
    </row>
    <row r="10957" spans="1:2" x14ac:dyDescent="0.25">
      <c r="A10957" s="104"/>
      <c r="B10957" s="104"/>
    </row>
    <row r="10958" spans="1:2" x14ac:dyDescent="0.25">
      <c r="A10958" s="104"/>
      <c r="B10958" s="104"/>
    </row>
    <row r="10959" spans="1:2" x14ac:dyDescent="0.25">
      <c r="A10959" s="104"/>
      <c r="B10959" s="104"/>
    </row>
    <row r="10960" spans="1:2" x14ac:dyDescent="0.25">
      <c r="A10960" s="104"/>
      <c r="B10960" s="104"/>
    </row>
    <row r="10961" spans="1:2" x14ac:dyDescent="0.25">
      <c r="A10961" s="104"/>
      <c r="B10961" s="104"/>
    </row>
    <row r="10962" spans="1:2" x14ac:dyDescent="0.25">
      <c r="A10962" s="104"/>
      <c r="B10962" s="104"/>
    </row>
    <row r="10963" spans="1:2" x14ac:dyDescent="0.25">
      <c r="A10963" s="104"/>
      <c r="B10963" s="104"/>
    </row>
    <row r="10964" spans="1:2" x14ac:dyDescent="0.25">
      <c r="A10964" s="104"/>
      <c r="B10964" s="104"/>
    </row>
    <row r="10965" spans="1:2" x14ac:dyDescent="0.25">
      <c r="A10965" s="104"/>
      <c r="B10965" s="104"/>
    </row>
    <row r="10966" spans="1:2" x14ac:dyDescent="0.25">
      <c r="A10966" s="104"/>
      <c r="B10966" s="104"/>
    </row>
    <row r="10967" spans="1:2" x14ac:dyDescent="0.25">
      <c r="A10967" s="104"/>
      <c r="B10967" s="104"/>
    </row>
    <row r="10968" spans="1:2" x14ac:dyDescent="0.25">
      <c r="A10968" s="104"/>
      <c r="B10968" s="104"/>
    </row>
    <row r="10969" spans="1:2" x14ac:dyDescent="0.25">
      <c r="A10969" s="104"/>
      <c r="B10969" s="104"/>
    </row>
    <row r="10970" spans="1:2" x14ac:dyDescent="0.25">
      <c r="A10970" s="104"/>
      <c r="B10970" s="104"/>
    </row>
    <row r="10971" spans="1:2" x14ac:dyDescent="0.25">
      <c r="A10971" s="104"/>
      <c r="B10971" s="104"/>
    </row>
    <row r="10972" spans="1:2" x14ac:dyDescent="0.25">
      <c r="A10972" s="104"/>
      <c r="B10972" s="104"/>
    </row>
    <row r="10973" spans="1:2" x14ac:dyDescent="0.25">
      <c r="A10973" s="104"/>
      <c r="B10973" s="104"/>
    </row>
    <row r="10974" spans="1:2" x14ac:dyDescent="0.25">
      <c r="A10974" s="104"/>
      <c r="B10974" s="104"/>
    </row>
    <row r="10975" spans="1:2" x14ac:dyDescent="0.25">
      <c r="A10975" s="104"/>
      <c r="B10975" s="104"/>
    </row>
    <row r="10976" spans="1:2" x14ac:dyDescent="0.25">
      <c r="A10976" s="104"/>
      <c r="B10976" s="104"/>
    </row>
    <row r="10977" spans="1:2" x14ac:dyDescent="0.25">
      <c r="A10977" s="104"/>
      <c r="B10977" s="104"/>
    </row>
    <row r="10978" spans="1:2" x14ac:dyDescent="0.25">
      <c r="A10978" s="104"/>
      <c r="B10978" s="104"/>
    </row>
    <row r="10979" spans="1:2" x14ac:dyDescent="0.25">
      <c r="A10979" s="104"/>
      <c r="B10979" s="104"/>
    </row>
    <row r="10980" spans="1:2" x14ac:dyDescent="0.25">
      <c r="A10980" s="104"/>
      <c r="B10980" s="104"/>
    </row>
    <row r="10981" spans="1:2" x14ac:dyDescent="0.25">
      <c r="A10981" s="104"/>
      <c r="B10981" s="104"/>
    </row>
    <row r="10982" spans="1:2" x14ac:dyDescent="0.25">
      <c r="A10982" s="104"/>
      <c r="B10982" s="104"/>
    </row>
    <row r="10983" spans="1:2" x14ac:dyDescent="0.25">
      <c r="A10983" s="104"/>
      <c r="B10983" s="104"/>
    </row>
    <row r="10984" spans="1:2" x14ac:dyDescent="0.25">
      <c r="A10984" s="104"/>
      <c r="B10984" s="104"/>
    </row>
    <row r="10985" spans="1:2" x14ac:dyDescent="0.25">
      <c r="A10985" s="104"/>
      <c r="B10985" s="104"/>
    </row>
    <row r="10986" spans="1:2" x14ac:dyDescent="0.25">
      <c r="A10986" s="104"/>
      <c r="B10986" s="104"/>
    </row>
    <row r="10987" spans="1:2" x14ac:dyDescent="0.25">
      <c r="A10987" s="104"/>
      <c r="B10987" s="104"/>
    </row>
    <row r="10988" spans="1:2" x14ac:dyDescent="0.25">
      <c r="A10988" s="104"/>
      <c r="B10988" s="104"/>
    </row>
    <row r="10989" spans="1:2" x14ac:dyDescent="0.25">
      <c r="A10989" s="104"/>
      <c r="B10989" s="104"/>
    </row>
    <row r="10990" spans="1:2" x14ac:dyDescent="0.25">
      <c r="A10990" s="104"/>
      <c r="B10990" s="104"/>
    </row>
    <row r="10991" spans="1:2" x14ac:dyDescent="0.25">
      <c r="A10991" s="104"/>
      <c r="B10991" s="104"/>
    </row>
    <row r="10992" spans="1:2" x14ac:dyDescent="0.25">
      <c r="A10992" s="104"/>
      <c r="B10992" s="104"/>
    </row>
    <row r="10993" spans="1:2" x14ac:dyDescent="0.25">
      <c r="A10993" s="104"/>
      <c r="B10993" s="104"/>
    </row>
    <row r="10994" spans="1:2" x14ac:dyDescent="0.25">
      <c r="A10994" s="104"/>
      <c r="B10994" s="104"/>
    </row>
    <row r="10995" spans="1:2" x14ac:dyDescent="0.25">
      <c r="A10995" s="104"/>
      <c r="B10995" s="104"/>
    </row>
    <row r="10996" spans="1:2" x14ac:dyDescent="0.25">
      <c r="A10996" s="104"/>
      <c r="B10996" s="104"/>
    </row>
    <row r="10997" spans="1:2" x14ac:dyDescent="0.25">
      <c r="A10997" s="104"/>
      <c r="B10997" s="104"/>
    </row>
    <row r="10998" spans="1:2" x14ac:dyDescent="0.25">
      <c r="A10998" s="104"/>
      <c r="B10998" s="104"/>
    </row>
    <row r="10999" spans="1:2" x14ac:dyDescent="0.25">
      <c r="A10999" s="104"/>
      <c r="B10999" s="104"/>
    </row>
    <row r="11000" spans="1:2" x14ac:dyDescent="0.25">
      <c r="A11000" s="104"/>
      <c r="B11000" s="104"/>
    </row>
    <row r="11001" spans="1:2" x14ac:dyDescent="0.25">
      <c r="A11001" s="104"/>
      <c r="B11001" s="104"/>
    </row>
    <row r="11002" spans="1:2" x14ac:dyDescent="0.25">
      <c r="A11002" s="104"/>
      <c r="B11002" s="104"/>
    </row>
    <row r="11003" spans="1:2" x14ac:dyDescent="0.25">
      <c r="A11003" s="104"/>
      <c r="B11003" s="104"/>
    </row>
    <row r="11004" spans="1:2" x14ac:dyDescent="0.25">
      <c r="A11004" s="104"/>
      <c r="B11004" s="104"/>
    </row>
    <row r="11005" spans="1:2" x14ac:dyDescent="0.25">
      <c r="A11005" s="104"/>
      <c r="B11005" s="104"/>
    </row>
    <row r="11006" spans="1:2" x14ac:dyDescent="0.25">
      <c r="A11006" s="104"/>
      <c r="B11006" s="104"/>
    </row>
    <row r="11007" spans="1:2" x14ac:dyDescent="0.25">
      <c r="A11007" s="104"/>
      <c r="B11007" s="104"/>
    </row>
    <row r="11008" spans="1:2" x14ac:dyDescent="0.25">
      <c r="A11008" s="104"/>
      <c r="B11008" s="104"/>
    </row>
    <row r="11009" spans="1:2" x14ac:dyDescent="0.25">
      <c r="A11009" s="104"/>
      <c r="B11009" s="104"/>
    </row>
    <row r="11010" spans="1:2" x14ac:dyDescent="0.25">
      <c r="A11010" s="104"/>
      <c r="B11010" s="104"/>
    </row>
    <row r="11011" spans="1:2" x14ac:dyDescent="0.25">
      <c r="A11011" s="104"/>
      <c r="B11011" s="104"/>
    </row>
    <row r="11012" spans="1:2" x14ac:dyDescent="0.25">
      <c r="A11012" s="104"/>
      <c r="B11012" s="104"/>
    </row>
    <row r="11013" spans="1:2" x14ac:dyDescent="0.25">
      <c r="A11013" s="104"/>
      <c r="B11013" s="104"/>
    </row>
    <row r="11014" spans="1:2" x14ac:dyDescent="0.25">
      <c r="A11014" s="104"/>
      <c r="B11014" s="104"/>
    </row>
    <row r="11015" spans="1:2" x14ac:dyDescent="0.25">
      <c r="A11015" s="104"/>
      <c r="B11015" s="104"/>
    </row>
    <row r="11016" spans="1:2" x14ac:dyDescent="0.25">
      <c r="A11016" s="104"/>
      <c r="B11016" s="104"/>
    </row>
    <row r="11017" spans="1:2" x14ac:dyDescent="0.25">
      <c r="A11017" s="104"/>
      <c r="B11017" s="104"/>
    </row>
    <row r="11018" spans="1:2" x14ac:dyDescent="0.25">
      <c r="A11018" s="104"/>
      <c r="B11018" s="104"/>
    </row>
    <row r="11019" spans="1:2" x14ac:dyDescent="0.25">
      <c r="A11019" s="104"/>
      <c r="B11019" s="104"/>
    </row>
    <row r="11020" spans="1:2" x14ac:dyDescent="0.25">
      <c r="A11020" s="104"/>
      <c r="B11020" s="104"/>
    </row>
    <row r="11021" spans="1:2" x14ac:dyDescent="0.25">
      <c r="A11021" s="104"/>
      <c r="B11021" s="104"/>
    </row>
    <row r="11022" spans="1:2" x14ac:dyDescent="0.25">
      <c r="A11022" s="104"/>
      <c r="B11022" s="104"/>
    </row>
    <row r="11023" spans="1:2" x14ac:dyDescent="0.25">
      <c r="A11023" s="104"/>
      <c r="B11023" s="104"/>
    </row>
    <row r="11024" spans="1:2" x14ac:dyDescent="0.25">
      <c r="A11024" s="104"/>
      <c r="B11024" s="104"/>
    </row>
    <row r="11025" spans="1:2" x14ac:dyDescent="0.25">
      <c r="A11025" s="104"/>
      <c r="B11025" s="104"/>
    </row>
    <row r="11026" spans="1:2" x14ac:dyDescent="0.25">
      <c r="A11026" s="104"/>
      <c r="B11026" s="104"/>
    </row>
    <row r="11027" spans="1:2" x14ac:dyDescent="0.25">
      <c r="A11027" s="104"/>
      <c r="B11027" s="104"/>
    </row>
    <row r="11028" spans="1:2" x14ac:dyDescent="0.25">
      <c r="A11028" s="104"/>
      <c r="B11028" s="104"/>
    </row>
    <row r="11029" spans="1:2" x14ac:dyDescent="0.25">
      <c r="A11029" s="104"/>
      <c r="B11029" s="104"/>
    </row>
    <row r="11030" spans="1:2" x14ac:dyDescent="0.25">
      <c r="A11030" s="104"/>
      <c r="B11030" s="104"/>
    </row>
    <row r="11031" spans="1:2" x14ac:dyDescent="0.25">
      <c r="A11031" s="104"/>
      <c r="B11031" s="104"/>
    </row>
    <row r="11032" spans="1:2" x14ac:dyDescent="0.25">
      <c r="A11032" s="104"/>
      <c r="B11032" s="104"/>
    </row>
    <row r="11033" spans="1:2" x14ac:dyDescent="0.25">
      <c r="A11033" s="104"/>
      <c r="B11033" s="104"/>
    </row>
    <row r="11034" spans="1:2" x14ac:dyDescent="0.25">
      <c r="A11034" s="104"/>
      <c r="B11034" s="104"/>
    </row>
    <row r="11035" spans="1:2" x14ac:dyDescent="0.25">
      <c r="A11035" s="104"/>
      <c r="B11035" s="104"/>
    </row>
    <row r="11036" spans="1:2" x14ac:dyDescent="0.25">
      <c r="A11036" s="104"/>
      <c r="B11036" s="104"/>
    </row>
    <row r="11037" spans="1:2" x14ac:dyDescent="0.25">
      <c r="A11037" s="104"/>
      <c r="B11037" s="104"/>
    </row>
    <row r="11038" spans="1:2" x14ac:dyDescent="0.25">
      <c r="A11038" s="104"/>
      <c r="B11038" s="104"/>
    </row>
    <row r="11039" spans="1:2" x14ac:dyDescent="0.25">
      <c r="A11039" s="104"/>
      <c r="B11039" s="104"/>
    </row>
    <row r="11040" spans="1:2" x14ac:dyDescent="0.25">
      <c r="A11040" s="104"/>
      <c r="B11040" s="104"/>
    </row>
    <row r="11041" spans="1:2" x14ac:dyDescent="0.25">
      <c r="A11041" s="104"/>
      <c r="B11041" s="104"/>
    </row>
    <row r="11042" spans="1:2" x14ac:dyDescent="0.25">
      <c r="A11042" s="104"/>
      <c r="B11042" s="104"/>
    </row>
    <row r="11043" spans="1:2" x14ac:dyDescent="0.25">
      <c r="A11043" s="104"/>
      <c r="B11043" s="104"/>
    </row>
    <row r="11044" spans="1:2" x14ac:dyDescent="0.25">
      <c r="A11044" s="104"/>
      <c r="B11044" s="104"/>
    </row>
    <row r="11045" spans="1:2" x14ac:dyDescent="0.25">
      <c r="A11045" s="104"/>
      <c r="B11045" s="104"/>
    </row>
    <row r="11046" spans="1:2" x14ac:dyDescent="0.25">
      <c r="A11046" s="104"/>
      <c r="B11046" s="104"/>
    </row>
    <row r="11047" spans="1:2" x14ac:dyDescent="0.25">
      <c r="A11047" s="104"/>
      <c r="B11047" s="104"/>
    </row>
    <row r="11048" spans="1:2" x14ac:dyDescent="0.25">
      <c r="A11048" s="104"/>
      <c r="B11048" s="104"/>
    </row>
    <row r="11049" spans="1:2" x14ac:dyDescent="0.25">
      <c r="A11049" s="104"/>
      <c r="B11049" s="104"/>
    </row>
    <row r="11050" spans="1:2" x14ac:dyDescent="0.25">
      <c r="A11050" s="104"/>
      <c r="B11050" s="104"/>
    </row>
    <row r="11051" spans="1:2" x14ac:dyDescent="0.25">
      <c r="A11051" s="104"/>
      <c r="B11051" s="104"/>
    </row>
    <row r="11052" spans="1:2" x14ac:dyDescent="0.25">
      <c r="A11052" s="104"/>
      <c r="B11052" s="104"/>
    </row>
    <row r="11053" spans="1:2" x14ac:dyDescent="0.25">
      <c r="A11053" s="104"/>
      <c r="B11053" s="104"/>
    </row>
    <row r="11054" spans="1:2" x14ac:dyDescent="0.25">
      <c r="A11054" s="104"/>
      <c r="B11054" s="104"/>
    </row>
    <row r="11055" spans="1:2" x14ac:dyDescent="0.25">
      <c r="A11055" s="104"/>
      <c r="B11055" s="104"/>
    </row>
    <row r="11056" spans="1:2" x14ac:dyDescent="0.25">
      <c r="A11056" s="104"/>
      <c r="B11056" s="104"/>
    </row>
    <row r="11057" spans="1:2" x14ac:dyDescent="0.25">
      <c r="A11057" s="104"/>
      <c r="B11057" s="104"/>
    </row>
    <row r="11058" spans="1:2" x14ac:dyDescent="0.25">
      <c r="A11058" s="104"/>
      <c r="B11058" s="104"/>
    </row>
    <row r="11059" spans="1:2" x14ac:dyDescent="0.25">
      <c r="A11059" s="104"/>
      <c r="B11059" s="104"/>
    </row>
    <row r="11060" spans="1:2" x14ac:dyDescent="0.25">
      <c r="A11060" s="104"/>
      <c r="B11060" s="104"/>
    </row>
    <row r="11061" spans="1:2" x14ac:dyDescent="0.25">
      <c r="A11061" s="104"/>
      <c r="B11061" s="104"/>
    </row>
    <row r="11062" spans="1:2" x14ac:dyDescent="0.25">
      <c r="A11062" s="104"/>
      <c r="B11062" s="104"/>
    </row>
    <row r="11063" spans="1:2" x14ac:dyDescent="0.25">
      <c r="A11063" s="104"/>
      <c r="B11063" s="104"/>
    </row>
    <row r="11064" spans="1:2" x14ac:dyDescent="0.25">
      <c r="A11064" s="104"/>
      <c r="B11064" s="104"/>
    </row>
    <row r="11065" spans="1:2" x14ac:dyDescent="0.25">
      <c r="A11065" s="104"/>
      <c r="B11065" s="104"/>
    </row>
    <row r="11066" spans="1:2" x14ac:dyDescent="0.25">
      <c r="A11066" s="104"/>
      <c r="B11066" s="104"/>
    </row>
    <row r="11067" spans="1:2" x14ac:dyDescent="0.25">
      <c r="A11067" s="104"/>
      <c r="B11067" s="104"/>
    </row>
    <row r="11068" spans="1:2" x14ac:dyDescent="0.25">
      <c r="A11068" s="104"/>
      <c r="B11068" s="104"/>
    </row>
    <row r="11069" spans="1:2" x14ac:dyDescent="0.25">
      <c r="A11069" s="104"/>
      <c r="B11069" s="104"/>
    </row>
    <row r="11070" spans="1:2" x14ac:dyDescent="0.25">
      <c r="A11070" s="104"/>
      <c r="B11070" s="104"/>
    </row>
    <row r="11071" spans="1:2" x14ac:dyDescent="0.25">
      <c r="A11071" s="104"/>
      <c r="B11071" s="104"/>
    </row>
    <row r="11072" spans="1:2" x14ac:dyDescent="0.25">
      <c r="A11072" s="104"/>
      <c r="B11072" s="104"/>
    </row>
    <row r="11073" spans="1:2" x14ac:dyDescent="0.25">
      <c r="A11073" s="104"/>
      <c r="B11073" s="104"/>
    </row>
    <row r="11074" spans="1:2" x14ac:dyDescent="0.25">
      <c r="A11074" s="104"/>
      <c r="B11074" s="104"/>
    </row>
    <row r="11075" spans="1:2" x14ac:dyDescent="0.25">
      <c r="A11075" s="104"/>
      <c r="B11075" s="104"/>
    </row>
    <row r="11076" spans="1:2" x14ac:dyDescent="0.25">
      <c r="A11076" s="104"/>
      <c r="B11076" s="104"/>
    </row>
    <row r="11077" spans="1:2" x14ac:dyDescent="0.25">
      <c r="A11077" s="104"/>
      <c r="B11077" s="104"/>
    </row>
    <row r="11078" spans="1:2" x14ac:dyDescent="0.25">
      <c r="A11078" s="104"/>
      <c r="B11078" s="104"/>
    </row>
    <row r="11079" spans="1:2" x14ac:dyDescent="0.25">
      <c r="A11079" s="104"/>
      <c r="B11079" s="104"/>
    </row>
    <row r="11080" spans="1:2" x14ac:dyDescent="0.25">
      <c r="A11080" s="104"/>
      <c r="B11080" s="104"/>
    </row>
    <row r="11081" spans="1:2" x14ac:dyDescent="0.25">
      <c r="A11081" s="104"/>
      <c r="B11081" s="104"/>
    </row>
    <row r="11082" spans="1:2" x14ac:dyDescent="0.25">
      <c r="A11082" s="104"/>
      <c r="B11082" s="104"/>
    </row>
    <row r="11083" spans="1:2" x14ac:dyDescent="0.25">
      <c r="A11083" s="104"/>
      <c r="B11083" s="104"/>
    </row>
    <row r="11084" spans="1:2" x14ac:dyDescent="0.25">
      <c r="A11084" s="104"/>
      <c r="B11084" s="104"/>
    </row>
    <row r="11085" spans="1:2" x14ac:dyDescent="0.25">
      <c r="A11085" s="104"/>
      <c r="B11085" s="104"/>
    </row>
    <row r="11086" spans="1:2" x14ac:dyDescent="0.25">
      <c r="A11086" s="104"/>
      <c r="B11086" s="104"/>
    </row>
    <row r="11087" spans="1:2" x14ac:dyDescent="0.25">
      <c r="A11087" s="104"/>
      <c r="B11087" s="104"/>
    </row>
    <row r="11088" spans="1:2" x14ac:dyDescent="0.25">
      <c r="A11088" s="104"/>
      <c r="B11088" s="104"/>
    </row>
    <row r="11089" spans="1:2" x14ac:dyDescent="0.25">
      <c r="A11089" s="104"/>
      <c r="B11089" s="104"/>
    </row>
    <row r="11090" spans="1:2" x14ac:dyDescent="0.25">
      <c r="A11090" s="104"/>
      <c r="B11090" s="104"/>
    </row>
    <row r="11091" spans="1:2" x14ac:dyDescent="0.25">
      <c r="A11091" s="104"/>
      <c r="B11091" s="104"/>
    </row>
    <row r="11092" spans="1:2" x14ac:dyDescent="0.25">
      <c r="A11092" s="104"/>
      <c r="B11092" s="104"/>
    </row>
    <row r="11093" spans="1:2" x14ac:dyDescent="0.25">
      <c r="A11093" s="104"/>
      <c r="B11093" s="104"/>
    </row>
    <row r="11094" spans="1:2" x14ac:dyDescent="0.25">
      <c r="A11094" s="104"/>
      <c r="B11094" s="104"/>
    </row>
    <row r="11095" spans="1:2" x14ac:dyDescent="0.25">
      <c r="A11095" s="104"/>
      <c r="B11095" s="104"/>
    </row>
    <row r="11096" spans="1:2" x14ac:dyDescent="0.25">
      <c r="A11096" s="104"/>
      <c r="B11096" s="104"/>
    </row>
    <row r="11097" spans="1:2" x14ac:dyDescent="0.25">
      <c r="A11097" s="104"/>
      <c r="B11097" s="104"/>
    </row>
    <row r="11098" spans="1:2" x14ac:dyDescent="0.25">
      <c r="A11098" s="104"/>
      <c r="B11098" s="104"/>
    </row>
    <row r="11099" spans="1:2" x14ac:dyDescent="0.25">
      <c r="A11099" s="104"/>
      <c r="B11099" s="104"/>
    </row>
    <row r="11100" spans="1:2" x14ac:dyDescent="0.25">
      <c r="A11100" s="104"/>
      <c r="B11100" s="104"/>
    </row>
    <row r="11101" spans="1:2" x14ac:dyDescent="0.25">
      <c r="A11101" s="104"/>
      <c r="B11101" s="104"/>
    </row>
    <row r="11102" spans="1:2" x14ac:dyDescent="0.25">
      <c r="A11102" s="104"/>
      <c r="B11102" s="104"/>
    </row>
    <row r="11103" spans="1:2" x14ac:dyDescent="0.25">
      <c r="A11103" s="104"/>
      <c r="B11103" s="104"/>
    </row>
    <row r="11104" spans="1:2" x14ac:dyDescent="0.25">
      <c r="A11104" s="104"/>
      <c r="B11104" s="104"/>
    </row>
    <row r="11105" spans="1:2" x14ac:dyDescent="0.25">
      <c r="A11105" s="104"/>
      <c r="B11105" s="104"/>
    </row>
    <row r="11106" spans="1:2" x14ac:dyDescent="0.25">
      <c r="A11106" s="104"/>
      <c r="B11106" s="104"/>
    </row>
    <row r="11107" spans="1:2" x14ac:dyDescent="0.25">
      <c r="A11107" s="104"/>
      <c r="B11107" s="104"/>
    </row>
    <row r="11108" spans="1:2" x14ac:dyDescent="0.25">
      <c r="A11108" s="104"/>
      <c r="B11108" s="104"/>
    </row>
    <row r="11109" spans="1:2" x14ac:dyDescent="0.25">
      <c r="A11109" s="104"/>
      <c r="B11109" s="104"/>
    </row>
    <row r="11110" spans="1:2" x14ac:dyDescent="0.25">
      <c r="A11110" s="104"/>
      <c r="B11110" s="104"/>
    </row>
    <row r="11111" spans="1:2" x14ac:dyDescent="0.25">
      <c r="A11111" s="104"/>
      <c r="B11111" s="104"/>
    </row>
    <row r="11112" spans="1:2" x14ac:dyDescent="0.25">
      <c r="A11112" s="104"/>
      <c r="B11112" s="104"/>
    </row>
    <row r="11113" spans="1:2" x14ac:dyDescent="0.25">
      <c r="A11113" s="104"/>
      <c r="B11113" s="104"/>
    </row>
    <row r="11114" spans="1:2" x14ac:dyDescent="0.25">
      <c r="A11114" s="104"/>
      <c r="B11114" s="104"/>
    </row>
    <row r="11115" spans="1:2" x14ac:dyDescent="0.25">
      <c r="A11115" s="104"/>
      <c r="B11115" s="104"/>
    </row>
    <row r="11116" spans="1:2" x14ac:dyDescent="0.25">
      <c r="A11116" s="104"/>
      <c r="B11116" s="104"/>
    </row>
    <row r="11117" spans="1:2" x14ac:dyDescent="0.25">
      <c r="A11117" s="104"/>
      <c r="B11117" s="104"/>
    </row>
    <row r="11118" spans="1:2" x14ac:dyDescent="0.25">
      <c r="A11118" s="104"/>
      <c r="B11118" s="104"/>
    </row>
    <row r="11119" spans="1:2" x14ac:dyDescent="0.25">
      <c r="A11119" s="104"/>
      <c r="B11119" s="104"/>
    </row>
    <row r="11120" spans="1:2" x14ac:dyDescent="0.25">
      <c r="A11120" s="104"/>
      <c r="B11120" s="104"/>
    </row>
    <row r="11121" spans="1:2" x14ac:dyDescent="0.25">
      <c r="A11121" s="104"/>
      <c r="B11121" s="104"/>
    </row>
    <row r="11122" spans="1:2" x14ac:dyDescent="0.25">
      <c r="A11122" s="104"/>
      <c r="B11122" s="104"/>
    </row>
    <row r="11123" spans="1:2" x14ac:dyDescent="0.25">
      <c r="A11123" s="104"/>
      <c r="B11123" s="104"/>
    </row>
    <row r="11124" spans="1:2" x14ac:dyDescent="0.25">
      <c r="A11124" s="104"/>
      <c r="B11124" s="104"/>
    </row>
    <row r="11125" spans="1:2" x14ac:dyDescent="0.25">
      <c r="A11125" s="104"/>
      <c r="B11125" s="104"/>
    </row>
    <row r="11126" spans="1:2" x14ac:dyDescent="0.25">
      <c r="A11126" s="104"/>
      <c r="B11126" s="104"/>
    </row>
    <row r="11127" spans="1:2" x14ac:dyDescent="0.25">
      <c r="A11127" s="104"/>
      <c r="B11127" s="104"/>
    </row>
    <row r="11128" spans="1:2" x14ac:dyDescent="0.25">
      <c r="A11128" s="104"/>
      <c r="B11128" s="104"/>
    </row>
    <row r="11129" spans="1:2" x14ac:dyDescent="0.25">
      <c r="A11129" s="104"/>
      <c r="B11129" s="104"/>
    </row>
    <row r="11130" spans="1:2" x14ac:dyDescent="0.25">
      <c r="A11130" s="104"/>
      <c r="B11130" s="104"/>
    </row>
    <row r="11131" spans="1:2" x14ac:dyDescent="0.25">
      <c r="A11131" s="104"/>
      <c r="B11131" s="104"/>
    </row>
    <row r="11132" spans="1:2" x14ac:dyDescent="0.25">
      <c r="A11132" s="104"/>
      <c r="B11132" s="104"/>
    </row>
    <row r="11133" spans="1:2" x14ac:dyDescent="0.25">
      <c r="A11133" s="104"/>
      <c r="B11133" s="104"/>
    </row>
    <row r="11134" spans="1:2" x14ac:dyDescent="0.25">
      <c r="A11134" s="104"/>
      <c r="B11134" s="104"/>
    </row>
    <row r="11135" spans="1:2" x14ac:dyDescent="0.25">
      <c r="A11135" s="104"/>
      <c r="B11135" s="104"/>
    </row>
    <row r="11136" spans="1:2" x14ac:dyDescent="0.25">
      <c r="A11136" s="104"/>
      <c r="B11136" s="104"/>
    </row>
    <row r="11137" spans="1:2" x14ac:dyDescent="0.25">
      <c r="A11137" s="104"/>
      <c r="B11137" s="104"/>
    </row>
    <row r="11138" spans="1:2" x14ac:dyDescent="0.25">
      <c r="A11138" s="104"/>
      <c r="B11138" s="104"/>
    </row>
    <row r="11139" spans="1:2" x14ac:dyDescent="0.25">
      <c r="A11139" s="104"/>
      <c r="B11139" s="104"/>
    </row>
    <row r="11140" spans="1:2" x14ac:dyDescent="0.25">
      <c r="A11140" s="104"/>
      <c r="B11140" s="104"/>
    </row>
    <row r="11141" spans="1:2" x14ac:dyDescent="0.25">
      <c r="A11141" s="104"/>
      <c r="B11141" s="104"/>
    </row>
    <row r="11142" spans="1:2" x14ac:dyDescent="0.25">
      <c r="A11142" s="104"/>
      <c r="B11142" s="104"/>
    </row>
    <row r="11143" spans="1:2" x14ac:dyDescent="0.25">
      <c r="A11143" s="104"/>
      <c r="B11143" s="104"/>
    </row>
    <row r="11144" spans="1:2" x14ac:dyDescent="0.25">
      <c r="A11144" s="104"/>
      <c r="B11144" s="104"/>
    </row>
    <row r="11145" spans="1:2" x14ac:dyDescent="0.25">
      <c r="A11145" s="104"/>
      <c r="B11145" s="104"/>
    </row>
    <row r="11146" spans="1:2" x14ac:dyDescent="0.25">
      <c r="A11146" s="104"/>
      <c r="B11146" s="104"/>
    </row>
    <row r="11147" spans="1:2" x14ac:dyDescent="0.25">
      <c r="A11147" s="104"/>
      <c r="B11147" s="104"/>
    </row>
    <row r="11148" spans="1:2" x14ac:dyDescent="0.25">
      <c r="A11148" s="104"/>
      <c r="B11148" s="104"/>
    </row>
    <row r="11149" spans="1:2" x14ac:dyDescent="0.25">
      <c r="A11149" s="104"/>
      <c r="B11149" s="104"/>
    </row>
    <row r="11150" spans="1:2" x14ac:dyDescent="0.25">
      <c r="A11150" s="104"/>
      <c r="B11150" s="104"/>
    </row>
    <row r="11151" spans="1:2" x14ac:dyDescent="0.25">
      <c r="A11151" s="104"/>
      <c r="B11151" s="104"/>
    </row>
    <row r="11152" spans="1:2" x14ac:dyDescent="0.25">
      <c r="A11152" s="104"/>
      <c r="B11152" s="104"/>
    </row>
    <row r="11153" spans="1:2" x14ac:dyDescent="0.25">
      <c r="A11153" s="104"/>
      <c r="B11153" s="104"/>
    </row>
    <row r="11154" spans="1:2" x14ac:dyDescent="0.25">
      <c r="A11154" s="104"/>
      <c r="B11154" s="104"/>
    </row>
    <row r="11155" spans="1:2" x14ac:dyDescent="0.25">
      <c r="A11155" s="104"/>
      <c r="B11155" s="104"/>
    </row>
    <row r="11156" spans="1:2" x14ac:dyDescent="0.25">
      <c r="A11156" s="104"/>
      <c r="B11156" s="104"/>
    </row>
    <row r="11157" spans="1:2" x14ac:dyDescent="0.25">
      <c r="A11157" s="104"/>
      <c r="B11157" s="104"/>
    </row>
    <row r="11158" spans="1:2" x14ac:dyDescent="0.25">
      <c r="A11158" s="104"/>
      <c r="B11158" s="104"/>
    </row>
    <row r="11159" spans="1:2" x14ac:dyDescent="0.25">
      <c r="A11159" s="104"/>
      <c r="B11159" s="104"/>
    </row>
    <row r="11160" spans="1:2" x14ac:dyDescent="0.25">
      <c r="A11160" s="104"/>
      <c r="B11160" s="104"/>
    </row>
    <row r="11161" spans="1:2" x14ac:dyDescent="0.25">
      <c r="A11161" s="104"/>
      <c r="B11161" s="104"/>
    </row>
    <row r="11162" spans="1:2" x14ac:dyDescent="0.25">
      <c r="A11162" s="104"/>
      <c r="B11162" s="104"/>
    </row>
    <row r="11163" spans="1:2" x14ac:dyDescent="0.25">
      <c r="A11163" s="104"/>
      <c r="B11163" s="104"/>
    </row>
    <row r="11164" spans="1:2" x14ac:dyDescent="0.25">
      <c r="A11164" s="104"/>
      <c r="B11164" s="104"/>
    </row>
    <row r="11165" spans="1:2" x14ac:dyDescent="0.25">
      <c r="A11165" s="104"/>
      <c r="B11165" s="104"/>
    </row>
    <row r="11166" spans="1:2" x14ac:dyDescent="0.25">
      <c r="A11166" s="104"/>
      <c r="B11166" s="104"/>
    </row>
    <row r="11167" spans="1:2" x14ac:dyDescent="0.25">
      <c r="A11167" s="104"/>
      <c r="B11167" s="104"/>
    </row>
    <row r="11168" spans="1:2" x14ac:dyDescent="0.25">
      <c r="A11168" s="104"/>
      <c r="B11168" s="104"/>
    </row>
    <row r="11169" spans="1:2" x14ac:dyDescent="0.25">
      <c r="A11169" s="104"/>
      <c r="B11169" s="104"/>
    </row>
    <row r="11170" spans="1:2" x14ac:dyDescent="0.25">
      <c r="A11170" s="104"/>
      <c r="B11170" s="104"/>
    </row>
    <row r="11171" spans="1:2" x14ac:dyDescent="0.25">
      <c r="A11171" s="104"/>
      <c r="B11171" s="104"/>
    </row>
    <row r="11172" spans="1:2" x14ac:dyDescent="0.25">
      <c r="A11172" s="104"/>
      <c r="B11172" s="104"/>
    </row>
    <row r="11173" spans="1:2" x14ac:dyDescent="0.25">
      <c r="A11173" s="104"/>
      <c r="B11173" s="104"/>
    </row>
    <row r="11174" spans="1:2" x14ac:dyDescent="0.25">
      <c r="A11174" s="104"/>
      <c r="B11174" s="104"/>
    </row>
    <row r="11175" spans="1:2" x14ac:dyDescent="0.25">
      <c r="A11175" s="104"/>
      <c r="B11175" s="104"/>
    </row>
    <row r="11176" spans="1:2" x14ac:dyDescent="0.25">
      <c r="A11176" s="104"/>
      <c r="B11176" s="104"/>
    </row>
    <row r="11177" spans="1:2" x14ac:dyDescent="0.25">
      <c r="A11177" s="104"/>
      <c r="B11177" s="104"/>
    </row>
    <row r="11178" spans="1:2" x14ac:dyDescent="0.25">
      <c r="A11178" s="104"/>
      <c r="B11178" s="104"/>
    </row>
    <row r="11179" spans="1:2" x14ac:dyDescent="0.25">
      <c r="A11179" s="104"/>
      <c r="B11179" s="104"/>
    </row>
    <row r="11180" spans="1:2" x14ac:dyDescent="0.25">
      <c r="A11180" s="104"/>
      <c r="B11180" s="104"/>
    </row>
    <row r="11181" spans="1:2" x14ac:dyDescent="0.25">
      <c r="A11181" s="104"/>
      <c r="B11181" s="104"/>
    </row>
    <row r="11182" spans="1:2" x14ac:dyDescent="0.25">
      <c r="A11182" s="104"/>
      <c r="B11182" s="104"/>
    </row>
    <row r="11183" spans="1:2" x14ac:dyDescent="0.25">
      <c r="A11183" s="104"/>
      <c r="B11183" s="104"/>
    </row>
    <row r="11184" spans="1:2" x14ac:dyDescent="0.25">
      <c r="A11184" s="104"/>
      <c r="B11184" s="104"/>
    </row>
    <row r="11185" spans="1:2" x14ac:dyDescent="0.25">
      <c r="A11185" s="104"/>
      <c r="B11185" s="104"/>
    </row>
    <row r="11186" spans="1:2" x14ac:dyDescent="0.25">
      <c r="A11186" s="104"/>
      <c r="B11186" s="104"/>
    </row>
    <row r="11187" spans="1:2" x14ac:dyDescent="0.25">
      <c r="A11187" s="104"/>
      <c r="B11187" s="104"/>
    </row>
    <row r="11188" spans="1:2" x14ac:dyDescent="0.25">
      <c r="A11188" s="104"/>
      <c r="B11188" s="104"/>
    </row>
    <row r="11189" spans="1:2" x14ac:dyDescent="0.25">
      <c r="A11189" s="104"/>
      <c r="B11189" s="104"/>
    </row>
    <row r="11190" spans="1:2" x14ac:dyDescent="0.25">
      <c r="A11190" s="104"/>
      <c r="B11190" s="104"/>
    </row>
    <row r="11191" spans="1:2" x14ac:dyDescent="0.25">
      <c r="A11191" s="104"/>
      <c r="B11191" s="104"/>
    </row>
    <row r="11192" spans="1:2" x14ac:dyDescent="0.25">
      <c r="A11192" s="104"/>
      <c r="B11192" s="104"/>
    </row>
    <row r="11193" spans="1:2" x14ac:dyDescent="0.25">
      <c r="A11193" s="104"/>
      <c r="B11193" s="104"/>
    </row>
    <row r="11194" spans="1:2" x14ac:dyDescent="0.25">
      <c r="A11194" s="104"/>
      <c r="B11194" s="104"/>
    </row>
    <row r="11195" spans="1:2" x14ac:dyDescent="0.25">
      <c r="A11195" s="104"/>
      <c r="B11195" s="104"/>
    </row>
    <row r="11196" spans="1:2" x14ac:dyDescent="0.25">
      <c r="A11196" s="104"/>
      <c r="B11196" s="104"/>
    </row>
    <row r="11197" spans="1:2" x14ac:dyDescent="0.25">
      <c r="A11197" s="104"/>
      <c r="B11197" s="104"/>
    </row>
    <row r="11198" spans="1:2" x14ac:dyDescent="0.25">
      <c r="A11198" s="104"/>
      <c r="B11198" s="104"/>
    </row>
    <row r="11199" spans="1:2" x14ac:dyDescent="0.25">
      <c r="A11199" s="104"/>
      <c r="B11199" s="104"/>
    </row>
    <row r="11200" spans="1:2" x14ac:dyDescent="0.25">
      <c r="A11200" s="104"/>
      <c r="B11200" s="104"/>
    </row>
    <row r="11201" spans="1:2" x14ac:dyDescent="0.25">
      <c r="A11201" s="104"/>
      <c r="B11201" s="104"/>
    </row>
    <row r="11202" spans="1:2" x14ac:dyDescent="0.25">
      <c r="A11202" s="104"/>
      <c r="B11202" s="104"/>
    </row>
    <row r="11203" spans="1:2" x14ac:dyDescent="0.25">
      <c r="A11203" s="104"/>
      <c r="B11203" s="104"/>
    </row>
    <row r="11204" spans="1:2" x14ac:dyDescent="0.25">
      <c r="A11204" s="104"/>
      <c r="B11204" s="104"/>
    </row>
    <row r="11205" spans="1:2" x14ac:dyDescent="0.25">
      <c r="A11205" s="104"/>
      <c r="B11205" s="104"/>
    </row>
    <row r="11206" spans="1:2" x14ac:dyDescent="0.25">
      <c r="A11206" s="104"/>
      <c r="B11206" s="104"/>
    </row>
    <row r="11207" spans="1:2" x14ac:dyDescent="0.25">
      <c r="A11207" s="104"/>
      <c r="B11207" s="104"/>
    </row>
    <row r="11208" spans="1:2" x14ac:dyDescent="0.25">
      <c r="A11208" s="104"/>
      <c r="B11208" s="104"/>
    </row>
    <row r="11209" spans="1:2" x14ac:dyDescent="0.25">
      <c r="A11209" s="104"/>
      <c r="B11209" s="104"/>
    </row>
    <row r="11210" spans="1:2" x14ac:dyDescent="0.25">
      <c r="A11210" s="104"/>
      <c r="B11210" s="104"/>
    </row>
    <row r="11211" spans="1:2" x14ac:dyDescent="0.25">
      <c r="A11211" s="104"/>
      <c r="B11211" s="104"/>
    </row>
    <row r="11212" spans="1:2" x14ac:dyDescent="0.25">
      <c r="A11212" s="104"/>
      <c r="B11212" s="104"/>
    </row>
    <row r="11213" spans="1:2" x14ac:dyDescent="0.25">
      <c r="A11213" s="104"/>
      <c r="B11213" s="104"/>
    </row>
    <row r="11214" spans="1:2" x14ac:dyDescent="0.25">
      <c r="A11214" s="104"/>
      <c r="B11214" s="104"/>
    </row>
    <row r="11215" spans="1:2" x14ac:dyDescent="0.25">
      <c r="A11215" s="104"/>
      <c r="B11215" s="104"/>
    </row>
    <row r="11216" spans="1:2" x14ac:dyDescent="0.25">
      <c r="A11216" s="104"/>
      <c r="B11216" s="104"/>
    </row>
    <row r="11217" spans="1:2" x14ac:dyDescent="0.25">
      <c r="A11217" s="104"/>
      <c r="B11217" s="104"/>
    </row>
    <row r="11218" spans="1:2" x14ac:dyDescent="0.25">
      <c r="A11218" s="104"/>
      <c r="B11218" s="104"/>
    </row>
    <row r="11219" spans="1:2" x14ac:dyDescent="0.25">
      <c r="A11219" s="104"/>
      <c r="B11219" s="104"/>
    </row>
    <row r="11220" spans="1:2" x14ac:dyDescent="0.25">
      <c r="A11220" s="104"/>
      <c r="B11220" s="104"/>
    </row>
    <row r="11221" spans="1:2" x14ac:dyDescent="0.25">
      <c r="A11221" s="104"/>
      <c r="B11221" s="104"/>
    </row>
    <row r="11222" spans="1:2" x14ac:dyDescent="0.25">
      <c r="A11222" s="104"/>
      <c r="B11222" s="104"/>
    </row>
    <row r="11223" spans="1:2" x14ac:dyDescent="0.25">
      <c r="A11223" s="104"/>
      <c r="B11223" s="104"/>
    </row>
    <row r="11224" spans="1:2" x14ac:dyDescent="0.25">
      <c r="A11224" s="104"/>
      <c r="B11224" s="104"/>
    </row>
    <row r="11225" spans="1:2" x14ac:dyDescent="0.25">
      <c r="A11225" s="104"/>
      <c r="B11225" s="104"/>
    </row>
    <row r="11226" spans="1:2" x14ac:dyDescent="0.25">
      <c r="A11226" s="104"/>
      <c r="B11226" s="104"/>
    </row>
    <row r="11227" spans="1:2" x14ac:dyDescent="0.25">
      <c r="A11227" s="104"/>
      <c r="B11227" s="104"/>
    </row>
    <row r="11228" spans="1:2" x14ac:dyDescent="0.25">
      <c r="A11228" s="104"/>
      <c r="B11228" s="104"/>
    </row>
    <row r="11229" spans="1:2" x14ac:dyDescent="0.25">
      <c r="A11229" s="104"/>
      <c r="B11229" s="104"/>
    </row>
    <row r="11230" spans="1:2" x14ac:dyDescent="0.25">
      <c r="A11230" s="104"/>
      <c r="B11230" s="104"/>
    </row>
    <row r="11231" spans="1:2" x14ac:dyDescent="0.25">
      <c r="A11231" s="104"/>
      <c r="B11231" s="104"/>
    </row>
    <row r="11232" spans="1:2" x14ac:dyDescent="0.25">
      <c r="A11232" s="104"/>
      <c r="B11232" s="104"/>
    </row>
    <row r="11233" spans="1:2" x14ac:dyDescent="0.25">
      <c r="A11233" s="104"/>
      <c r="B11233" s="104"/>
    </row>
    <row r="11234" spans="1:2" x14ac:dyDescent="0.25">
      <c r="A11234" s="104"/>
      <c r="B11234" s="104"/>
    </row>
    <row r="11235" spans="1:2" x14ac:dyDescent="0.25">
      <c r="A11235" s="104"/>
      <c r="B11235" s="104"/>
    </row>
    <row r="11236" spans="1:2" x14ac:dyDescent="0.25">
      <c r="A11236" s="104"/>
      <c r="B11236" s="104"/>
    </row>
    <row r="11237" spans="1:2" x14ac:dyDescent="0.25">
      <c r="A11237" s="104"/>
      <c r="B11237" s="104"/>
    </row>
    <row r="11238" spans="1:2" x14ac:dyDescent="0.25">
      <c r="A11238" s="104"/>
      <c r="B11238" s="104"/>
    </row>
    <row r="11239" spans="1:2" x14ac:dyDescent="0.25">
      <c r="A11239" s="104"/>
      <c r="B11239" s="104"/>
    </row>
    <row r="11240" spans="1:2" x14ac:dyDescent="0.25">
      <c r="A11240" s="104"/>
      <c r="B11240" s="104"/>
    </row>
    <row r="11241" spans="1:2" x14ac:dyDescent="0.25">
      <c r="A11241" s="104"/>
      <c r="B11241" s="104"/>
    </row>
    <row r="11242" spans="1:2" x14ac:dyDescent="0.25">
      <c r="A11242" s="104"/>
      <c r="B11242" s="104"/>
    </row>
    <row r="11243" spans="1:2" x14ac:dyDescent="0.25">
      <c r="A11243" s="104"/>
      <c r="B11243" s="104"/>
    </row>
    <row r="11244" spans="1:2" x14ac:dyDescent="0.25">
      <c r="A11244" s="104"/>
      <c r="B11244" s="104"/>
    </row>
    <row r="11245" spans="1:2" x14ac:dyDescent="0.25">
      <c r="A11245" s="104"/>
      <c r="B11245" s="104"/>
    </row>
    <row r="11246" spans="1:2" x14ac:dyDescent="0.25">
      <c r="A11246" s="104"/>
      <c r="B11246" s="104"/>
    </row>
    <row r="11247" spans="1:2" x14ac:dyDescent="0.25">
      <c r="A11247" s="104"/>
      <c r="B11247" s="104"/>
    </row>
    <row r="11248" spans="1:2" x14ac:dyDescent="0.25">
      <c r="A11248" s="104"/>
      <c r="B11248" s="104"/>
    </row>
    <row r="11249" spans="1:2" x14ac:dyDescent="0.25">
      <c r="A11249" s="104"/>
      <c r="B11249" s="104"/>
    </row>
    <row r="11250" spans="1:2" x14ac:dyDescent="0.25">
      <c r="A11250" s="104"/>
      <c r="B11250" s="104"/>
    </row>
    <row r="11251" spans="1:2" x14ac:dyDescent="0.25">
      <c r="A11251" s="104"/>
      <c r="B11251" s="104"/>
    </row>
    <row r="11252" spans="1:2" x14ac:dyDescent="0.25">
      <c r="A11252" s="104"/>
      <c r="B11252" s="104"/>
    </row>
    <row r="11253" spans="1:2" x14ac:dyDescent="0.25">
      <c r="A11253" s="104"/>
      <c r="B11253" s="104"/>
    </row>
    <row r="11254" spans="1:2" x14ac:dyDescent="0.25">
      <c r="A11254" s="104"/>
      <c r="B11254" s="104"/>
    </row>
    <row r="11255" spans="1:2" x14ac:dyDescent="0.25">
      <c r="A11255" s="104"/>
      <c r="B11255" s="104"/>
    </row>
    <row r="11256" spans="1:2" x14ac:dyDescent="0.25">
      <c r="A11256" s="104"/>
      <c r="B11256" s="104"/>
    </row>
    <row r="11257" spans="1:2" x14ac:dyDescent="0.25">
      <c r="A11257" s="104"/>
      <c r="B11257" s="104"/>
    </row>
    <row r="11258" spans="1:2" x14ac:dyDescent="0.25">
      <c r="A11258" s="104"/>
      <c r="B11258" s="104"/>
    </row>
    <row r="11259" spans="1:2" x14ac:dyDescent="0.25">
      <c r="A11259" s="104"/>
      <c r="B11259" s="104"/>
    </row>
    <row r="11260" spans="1:2" x14ac:dyDescent="0.25">
      <c r="A11260" s="104"/>
      <c r="B11260" s="104"/>
    </row>
    <row r="11261" spans="1:2" x14ac:dyDescent="0.25">
      <c r="A11261" s="104"/>
      <c r="B11261" s="104"/>
    </row>
    <row r="11262" spans="1:2" x14ac:dyDescent="0.25">
      <c r="A11262" s="104"/>
      <c r="B11262" s="104"/>
    </row>
    <row r="11263" spans="1:2" x14ac:dyDescent="0.25">
      <c r="A11263" s="104"/>
      <c r="B11263" s="104"/>
    </row>
    <row r="11264" spans="1:2" x14ac:dyDescent="0.25">
      <c r="A11264" s="104"/>
      <c r="B11264" s="104"/>
    </row>
    <row r="11265" spans="1:2" x14ac:dyDescent="0.25">
      <c r="A11265" s="104"/>
      <c r="B11265" s="104"/>
    </row>
    <row r="11266" spans="1:2" x14ac:dyDescent="0.25">
      <c r="A11266" s="104"/>
      <c r="B11266" s="104"/>
    </row>
    <row r="11267" spans="1:2" x14ac:dyDescent="0.25">
      <c r="A11267" s="104"/>
      <c r="B11267" s="104"/>
    </row>
    <row r="11268" spans="1:2" x14ac:dyDescent="0.25">
      <c r="A11268" s="104"/>
      <c r="B11268" s="104"/>
    </row>
    <row r="11269" spans="1:2" x14ac:dyDescent="0.25">
      <c r="A11269" s="104"/>
      <c r="B11269" s="104"/>
    </row>
    <row r="11270" spans="1:2" x14ac:dyDescent="0.25">
      <c r="A11270" s="104"/>
      <c r="B11270" s="104"/>
    </row>
    <row r="11271" spans="1:2" x14ac:dyDescent="0.25">
      <c r="A11271" s="104"/>
      <c r="B11271" s="104"/>
    </row>
    <row r="11272" spans="1:2" x14ac:dyDescent="0.25">
      <c r="A11272" s="104"/>
      <c r="B11272" s="104"/>
    </row>
    <row r="11273" spans="1:2" x14ac:dyDescent="0.25">
      <c r="A11273" s="104"/>
      <c r="B11273" s="104"/>
    </row>
    <row r="11274" spans="1:2" x14ac:dyDescent="0.25">
      <c r="A11274" s="104"/>
      <c r="B11274" s="104"/>
    </row>
    <row r="11275" spans="1:2" x14ac:dyDescent="0.25">
      <c r="A11275" s="104"/>
      <c r="B11275" s="104"/>
    </row>
    <row r="11276" spans="1:2" x14ac:dyDescent="0.25">
      <c r="A11276" s="104"/>
      <c r="B11276" s="104"/>
    </row>
    <row r="11277" spans="1:2" x14ac:dyDescent="0.25">
      <c r="A11277" s="104"/>
      <c r="B11277" s="104"/>
    </row>
    <row r="11278" spans="1:2" x14ac:dyDescent="0.25">
      <c r="A11278" s="104"/>
      <c r="B11278" s="104"/>
    </row>
    <row r="11279" spans="1:2" x14ac:dyDescent="0.25">
      <c r="A11279" s="104"/>
      <c r="B11279" s="104"/>
    </row>
    <row r="11280" spans="1:2" x14ac:dyDescent="0.25">
      <c r="A11280" s="104"/>
      <c r="B11280" s="104"/>
    </row>
    <row r="11281" spans="1:2" x14ac:dyDescent="0.25">
      <c r="A11281" s="104"/>
      <c r="B11281" s="104"/>
    </row>
    <row r="11282" spans="1:2" x14ac:dyDescent="0.25">
      <c r="A11282" s="104"/>
      <c r="B11282" s="104"/>
    </row>
    <row r="11283" spans="1:2" x14ac:dyDescent="0.25">
      <c r="A11283" s="104"/>
      <c r="B11283" s="104"/>
    </row>
    <row r="11284" spans="1:2" x14ac:dyDescent="0.25">
      <c r="A11284" s="104"/>
      <c r="B11284" s="104"/>
    </row>
    <row r="11285" spans="1:2" x14ac:dyDescent="0.25">
      <c r="A11285" s="104"/>
      <c r="B11285" s="104"/>
    </row>
    <row r="11286" spans="1:2" x14ac:dyDescent="0.25">
      <c r="A11286" s="104"/>
      <c r="B11286" s="104"/>
    </row>
    <row r="11287" spans="1:2" x14ac:dyDescent="0.25">
      <c r="A11287" s="104"/>
      <c r="B11287" s="104"/>
    </row>
    <row r="11288" spans="1:2" x14ac:dyDescent="0.25">
      <c r="A11288" s="104"/>
      <c r="B11288" s="104"/>
    </row>
    <row r="11289" spans="1:2" x14ac:dyDescent="0.25">
      <c r="A11289" s="104"/>
      <c r="B11289" s="104"/>
    </row>
    <row r="11290" spans="1:2" x14ac:dyDescent="0.25">
      <c r="A11290" s="104"/>
      <c r="B11290" s="104"/>
    </row>
    <row r="11291" spans="1:2" x14ac:dyDescent="0.25">
      <c r="A11291" s="104"/>
      <c r="B11291" s="104"/>
    </row>
    <row r="11292" spans="1:2" x14ac:dyDescent="0.25">
      <c r="A11292" s="104"/>
      <c r="B11292" s="104"/>
    </row>
    <row r="11293" spans="1:2" x14ac:dyDescent="0.25">
      <c r="A11293" s="104"/>
      <c r="B11293" s="104"/>
    </row>
    <row r="11294" spans="1:2" x14ac:dyDescent="0.25">
      <c r="A11294" s="104"/>
      <c r="B11294" s="104"/>
    </row>
    <row r="11295" spans="1:2" x14ac:dyDescent="0.25">
      <c r="A11295" s="104"/>
      <c r="B11295" s="104"/>
    </row>
    <row r="11296" spans="1:2" x14ac:dyDescent="0.25">
      <c r="A11296" s="104"/>
      <c r="B11296" s="104"/>
    </row>
    <row r="11297" spans="1:2" x14ac:dyDescent="0.25">
      <c r="A11297" s="104"/>
      <c r="B11297" s="104"/>
    </row>
    <row r="11298" spans="1:2" x14ac:dyDescent="0.25">
      <c r="A11298" s="104"/>
      <c r="B11298" s="104"/>
    </row>
    <row r="11299" spans="1:2" x14ac:dyDescent="0.25">
      <c r="A11299" s="104"/>
      <c r="B11299" s="104"/>
    </row>
    <row r="11300" spans="1:2" x14ac:dyDescent="0.25">
      <c r="A11300" s="104"/>
      <c r="B11300" s="104"/>
    </row>
    <row r="11301" spans="1:2" x14ac:dyDescent="0.25">
      <c r="A11301" s="104"/>
      <c r="B11301" s="104"/>
    </row>
    <row r="11302" spans="1:2" x14ac:dyDescent="0.25">
      <c r="A11302" s="104"/>
      <c r="B11302" s="104"/>
    </row>
    <row r="11303" spans="1:2" x14ac:dyDescent="0.25">
      <c r="A11303" s="104"/>
      <c r="B11303" s="104"/>
    </row>
    <row r="11304" spans="1:2" x14ac:dyDescent="0.25">
      <c r="A11304" s="104"/>
      <c r="B11304" s="104"/>
    </row>
    <row r="11305" spans="1:2" x14ac:dyDescent="0.25">
      <c r="A11305" s="104"/>
      <c r="B11305" s="104"/>
    </row>
    <row r="11306" spans="1:2" x14ac:dyDescent="0.25">
      <c r="A11306" s="104"/>
      <c r="B11306" s="104"/>
    </row>
    <row r="11307" spans="1:2" x14ac:dyDescent="0.25">
      <c r="A11307" s="104"/>
      <c r="B11307" s="104"/>
    </row>
    <row r="11308" spans="1:2" x14ac:dyDescent="0.25">
      <c r="A11308" s="104"/>
      <c r="B11308" s="104"/>
    </row>
    <row r="11309" spans="1:2" x14ac:dyDescent="0.25">
      <c r="A11309" s="104"/>
      <c r="B11309" s="104"/>
    </row>
    <row r="11310" spans="1:2" x14ac:dyDescent="0.25">
      <c r="A11310" s="104"/>
      <c r="B11310" s="104"/>
    </row>
    <row r="11311" spans="1:2" x14ac:dyDescent="0.25">
      <c r="A11311" s="104"/>
      <c r="B11311" s="104"/>
    </row>
    <row r="11312" spans="1:2" x14ac:dyDescent="0.25">
      <c r="A11312" s="104"/>
      <c r="B11312" s="104"/>
    </row>
    <row r="11313" spans="1:2" x14ac:dyDescent="0.25">
      <c r="A11313" s="104"/>
      <c r="B11313" s="104"/>
    </row>
    <row r="11314" spans="1:2" x14ac:dyDescent="0.25">
      <c r="A11314" s="104"/>
      <c r="B11314" s="104"/>
    </row>
    <row r="11315" spans="1:2" x14ac:dyDescent="0.25">
      <c r="A11315" s="104"/>
      <c r="B11315" s="104"/>
    </row>
    <row r="11316" spans="1:2" x14ac:dyDescent="0.25">
      <c r="A11316" s="104"/>
      <c r="B11316" s="104"/>
    </row>
    <row r="11317" spans="1:2" x14ac:dyDescent="0.25">
      <c r="A11317" s="104"/>
      <c r="B11317" s="104"/>
    </row>
    <row r="11318" spans="1:2" x14ac:dyDescent="0.25">
      <c r="A11318" s="104"/>
      <c r="B11318" s="104"/>
    </row>
    <row r="11319" spans="1:2" x14ac:dyDescent="0.25">
      <c r="A11319" s="104"/>
      <c r="B11319" s="104"/>
    </row>
    <row r="11320" spans="1:2" x14ac:dyDescent="0.25">
      <c r="A11320" s="104"/>
      <c r="B11320" s="104"/>
    </row>
    <row r="11321" spans="1:2" x14ac:dyDescent="0.25">
      <c r="A11321" s="104"/>
      <c r="B11321" s="104"/>
    </row>
    <row r="11322" spans="1:2" x14ac:dyDescent="0.25">
      <c r="A11322" s="104"/>
      <c r="B11322" s="104"/>
    </row>
    <row r="11323" spans="1:2" x14ac:dyDescent="0.25">
      <c r="A11323" s="104"/>
      <c r="B11323" s="104"/>
    </row>
    <row r="11324" spans="1:2" x14ac:dyDescent="0.25">
      <c r="A11324" s="104"/>
      <c r="B11324" s="104"/>
    </row>
    <row r="11325" spans="1:2" x14ac:dyDescent="0.25">
      <c r="A11325" s="104"/>
      <c r="B11325" s="104"/>
    </row>
    <row r="11326" spans="1:2" x14ac:dyDescent="0.25">
      <c r="A11326" s="104"/>
      <c r="B11326" s="104"/>
    </row>
    <row r="11327" spans="1:2" x14ac:dyDescent="0.25">
      <c r="A11327" s="104"/>
      <c r="B11327" s="104"/>
    </row>
    <row r="11328" spans="1:2" x14ac:dyDescent="0.25">
      <c r="A11328" s="104"/>
      <c r="B11328" s="104"/>
    </row>
    <row r="11329" spans="1:2" x14ac:dyDescent="0.25">
      <c r="A11329" s="104"/>
      <c r="B11329" s="104"/>
    </row>
    <row r="11330" spans="1:2" x14ac:dyDescent="0.25">
      <c r="A11330" s="104"/>
      <c r="B11330" s="104"/>
    </row>
    <row r="11331" spans="1:2" x14ac:dyDescent="0.25">
      <c r="A11331" s="104"/>
      <c r="B11331" s="104"/>
    </row>
    <row r="11332" spans="1:2" x14ac:dyDescent="0.25">
      <c r="A11332" s="104"/>
      <c r="B11332" s="104"/>
    </row>
    <row r="11333" spans="1:2" x14ac:dyDescent="0.25">
      <c r="A11333" s="104"/>
      <c r="B11333" s="104"/>
    </row>
    <row r="11334" spans="1:2" x14ac:dyDescent="0.25">
      <c r="A11334" s="104"/>
      <c r="B11334" s="104"/>
    </row>
    <row r="11335" spans="1:2" x14ac:dyDescent="0.25">
      <c r="A11335" s="104"/>
      <c r="B11335" s="104"/>
    </row>
    <row r="11336" spans="1:2" x14ac:dyDescent="0.25">
      <c r="A11336" s="104"/>
      <c r="B11336" s="104"/>
    </row>
    <row r="11337" spans="1:2" x14ac:dyDescent="0.25">
      <c r="A11337" s="104"/>
      <c r="B11337" s="104"/>
    </row>
    <row r="11338" spans="1:2" x14ac:dyDescent="0.25">
      <c r="A11338" s="104"/>
      <c r="B11338" s="104"/>
    </row>
    <row r="11339" spans="1:2" x14ac:dyDescent="0.25">
      <c r="A11339" s="104"/>
      <c r="B11339" s="104"/>
    </row>
    <row r="11340" spans="1:2" x14ac:dyDescent="0.25">
      <c r="A11340" s="104"/>
      <c r="B11340" s="104"/>
    </row>
    <row r="11341" spans="1:2" x14ac:dyDescent="0.25">
      <c r="A11341" s="104"/>
      <c r="B11341" s="104"/>
    </row>
    <row r="11342" spans="1:2" x14ac:dyDescent="0.25">
      <c r="A11342" s="104"/>
      <c r="B11342" s="104"/>
    </row>
    <row r="11343" spans="1:2" x14ac:dyDescent="0.25">
      <c r="A11343" s="104"/>
      <c r="B11343" s="104"/>
    </row>
    <row r="11344" spans="1:2" x14ac:dyDescent="0.25">
      <c r="A11344" s="104"/>
      <c r="B11344" s="104"/>
    </row>
    <row r="11345" spans="1:2" x14ac:dyDescent="0.25">
      <c r="A11345" s="104"/>
      <c r="B11345" s="104"/>
    </row>
    <row r="11346" spans="1:2" x14ac:dyDescent="0.25">
      <c r="A11346" s="104"/>
      <c r="B11346" s="104"/>
    </row>
    <row r="11347" spans="1:2" x14ac:dyDescent="0.25">
      <c r="A11347" s="104"/>
      <c r="B11347" s="104"/>
    </row>
    <row r="11348" spans="1:2" x14ac:dyDescent="0.25">
      <c r="A11348" s="104"/>
      <c r="B11348" s="104"/>
    </row>
    <row r="11349" spans="1:2" x14ac:dyDescent="0.25">
      <c r="A11349" s="104"/>
      <c r="B11349" s="104"/>
    </row>
    <row r="11350" spans="1:2" x14ac:dyDescent="0.25">
      <c r="A11350" s="104"/>
      <c r="B11350" s="104"/>
    </row>
    <row r="11351" spans="1:2" x14ac:dyDescent="0.25">
      <c r="A11351" s="104"/>
      <c r="B11351" s="104"/>
    </row>
    <row r="11352" spans="1:2" x14ac:dyDescent="0.25">
      <c r="A11352" s="104"/>
      <c r="B11352" s="104"/>
    </row>
    <row r="11353" spans="1:2" x14ac:dyDescent="0.25">
      <c r="A11353" s="104"/>
      <c r="B11353" s="104"/>
    </row>
    <row r="11354" spans="1:2" x14ac:dyDescent="0.25">
      <c r="A11354" s="104"/>
      <c r="B11354" s="104"/>
    </row>
    <row r="11355" spans="1:2" x14ac:dyDescent="0.25">
      <c r="A11355" s="104"/>
      <c r="B11355" s="104"/>
    </row>
    <row r="11356" spans="1:2" x14ac:dyDescent="0.25">
      <c r="A11356" s="104"/>
      <c r="B11356" s="104"/>
    </row>
    <row r="11357" spans="1:2" x14ac:dyDescent="0.25">
      <c r="A11357" s="104"/>
      <c r="B11357" s="104"/>
    </row>
    <row r="11358" spans="1:2" x14ac:dyDescent="0.25">
      <c r="A11358" s="104"/>
      <c r="B11358" s="104"/>
    </row>
    <row r="11359" spans="1:2" x14ac:dyDescent="0.25">
      <c r="A11359" s="104"/>
      <c r="B11359" s="104"/>
    </row>
    <row r="11360" spans="1:2" x14ac:dyDescent="0.25">
      <c r="A11360" s="104"/>
      <c r="B11360" s="104"/>
    </row>
    <row r="11361" spans="1:2" x14ac:dyDescent="0.25">
      <c r="A11361" s="104"/>
      <c r="B11361" s="104"/>
    </row>
    <row r="11362" spans="1:2" x14ac:dyDescent="0.25">
      <c r="A11362" s="104"/>
      <c r="B11362" s="104"/>
    </row>
    <row r="11363" spans="1:2" x14ac:dyDescent="0.25">
      <c r="A11363" s="104"/>
      <c r="B11363" s="104"/>
    </row>
    <row r="11364" spans="1:2" x14ac:dyDescent="0.25">
      <c r="A11364" s="104"/>
      <c r="B11364" s="104"/>
    </row>
    <row r="11365" spans="1:2" x14ac:dyDescent="0.25">
      <c r="A11365" s="104"/>
      <c r="B11365" s="104"/>
    </row>
    <row r="11366" spans="1:2" x14ac:dyDescent="0.25">
      <c r="A11366" s="104"/>
      <c r="B11366" s="104"/>
    </row>
    <row r="11367" spans="1:2" x14ac:dyDescent="0.25">
      <c r="A11367" s="104"/>
      <c r="B11367" s="104"/>
    </row>
    <row r="11368" spans="1:2" x14ac:dyDescent="0.25">
      <c r="A11368" s="104"/>
      <c r="B11368" s="104"/>
    </row>
    <row r="11369" spans="1:2" x14ac:dyDescent="0.25">
      <c r="A11369" s="104"/>
      <c r="B11369" s="104"/>
    </row>
    <row r="11370" spans="1:2" x14ac:dyDescent="0.25">
      <c r="A11370" s="104"/>
      <c r="B11370" s="104"/>
    </row>
    <row r="11371" spans="1:2" x14ac:dyDescent="0.25">
      <c r="A11371" s="104"/>
      <c r="B11371" s="104"/>
    </row>
    <row r="11372" spans="1:2" x14ac:dyDescent="0.25">
      <c r="A11372" s="104"/>
      <c r="B11372" s="104"/>
    </row>
    <row r="11373" spans="1:2" x14ac:dyDescent="0.25">
      <c r="A11373" s="104"/>
      <c r="B11373" s="104"/>
    </row>
    <row r="11374" spans="1:2" x14ac:dyDescent="0.25">
      <c r="A11374" s="104"/>
      <c r="B11374" s="104"/>
    </row>
    <row r="11375" spans="1:2" x14ac:dyDescent="0.25">
      <c r="A11375" s="104"/>
      <c r="B11375" s="104"/>
    </row>
    <row r="11376" spans="1:2" x14ac:dyDescent="0.25">
      <c r="A11376" s="104"/>
      <c r="B11376" s="104"/>
    </row>
    <row r="11377" spans="1:2" x14ac:dyDescent="0.25">
      <c r="A11377" s="104"/>
      <c r="B11377" s="104"/>
    </row>
    <row r="11378" spans="1:2" x14ac:dyDescent="0.25">
      <c r="A11378" s="104"/>
      <c r="B11378" s="104"/>
    </row>
    <row r="11379" spans="1:2" x14ac:dyDescent="0.25">
      <c r="A11379" s="104"/>
      <c r="B11379" s="104"/>
    </row>
    <row r="11380" spans="1:2" x14ac:dyDescent="0.25">
      <c r="A11380" s="104"/>
      <c r="B11380" s="104"/>
    </row>
    <row r="11381" spans="1:2" x14ac:dyDescent="0.25">
      <c r="A11381" s="104"/>
      <c r="B11381" s="104"/>
    </row>
    <row r="11382" spans="1:2" x14ac:dyDescent="0.25">
      <c r="A11382" s="104"/>
      <c r="B11382" s="104"/>
    </row>
    <row r="11383" spans="1:2" x14ac:dyDescent="0.25">
      <c r="A11383" s="104"/>
      <c r="B11383" s="104"/>
    </row>
    <row r="11384" spans="1:2" x14ac:dyDescent="0.25">
      <c r="A11384" s="104"/>
      <c r="B11384" s="104"/>
    </row>
    <row r="11385" spans="1:2" x14ac:dyDescent="0.25">
      <c r="A11385" s="104"/>
      <c r="B11385" s="104"/>
    </row>
    <row r="11386" spans="1:2" x14ac:dyDescent="0.25">
      <c r="A11386" s="104"/>
      <c r="B11386" s="104"/>
    </row>
    <row r="11387" spans="1:2" x14ac:dyDescent="0.25">
      <c r="A11387" s="104"/>
      <c r="B11387" s="104"/>
    </row>
    <row r="11388" spans="1:2" x14ac:dyDescent="0.25">
      <c r="A11388" s="104"/>
      <c r="B11388" s="104"/>
    </row>
    <row r="11389" spans="1:2" x14ac:dyDescent="0.25">
      <c r="A11389" s="104"/>
      <c r="B11389" s="104"/>
    </row>
    <row r="11390" spans="1:2" x14ac:dyDescent="0.25">
      <c r="A11390" s="104"/>
      <c r="B11390" s="104"/>
    </row>
    <row r="11391" spans="1:2" x14ac:dyDescent="0.25">
      <c r="A11391" s="104"/>
      <c r="B11391" s="104"/>
    </row>
    <row r="11392" spans="1:2" x14ac:dyDescent="0.25">
      <c r="A11392" s="104"/>
      <c r="B11392" s="104"/>
    </row>
    <row r="11393" spans="1:2" x14ac:dyDescent="0.25">
      <c r="A11393" s="104"/>
      <c r="B11393" s="104"/>
    </row>
    <row r="11394" spans="1:2" x14ac:dyDescent="0.25">
      <c r="A11394" s="104"/>
      <c r="B11394" s="104"/>
    </row>
    <row r="11395" spans="1:2" x14ac:dyDescent="0.25">
      <c r="A11395" s="104"/>
      <c r="B11395" s="104"/>
    </row>
    <row r="11396" spans="1:2" x14ac:dyDescent="0.25">
      <c r="A11396" s="104"/>
      <c r="B11396" s="104"/>
    </row>
    <row r="11397" spans="1:2" x14ac:dyDescent="0.25">
      <c r="A11397" s="104"/>
      <c r="B11397" s="104"/>
    </row>
    <row r="11398" spans="1:2" x14ac:dyDescent="0.25">
      <c r="A11398" s="104"/>
      <c r="B11398" s="104"/>
    </row>
    <row r="11399" spans="1:2" x14ac:dyDescent="0.25">
      <c r="A11399" s="104"/>
      <c r="B11399" s="104"/>
    </row>
    <row r="11400" spans="1:2" x14ac:dyDescent="0.25">
      <c r="A11400" s="104"/>
      <c r="B11400" s="104"/>
    </row>
    <row r="11401" spans="1:2" x14ac:dyDescent="0.25">
      <c r="A11401" s="104"/>
      <c r="B11401" s="104"/>
    </row>
    <row r="11402" spans="1:2" x14ac:dyDescent="0.25">
      <c r="A11402" s="104"/>
      <c r="B11402" s="104"/>
    </row>
    <row r="11403" spans="1:2" x14ac:dyDescent="0.25">
      <c r="A11403" s="104"/>
      <c r="B11403" s="104"/>
    </row>
    <row r="11404" spans="1:2" x14ac:dyDescent="0.25">
      <c r="A11404" s="104"/>
      <c r="B11404" s="104"/>
    </row>
    <row r="11405" spans="1:2" x14ac:dyDescent="0.25">
      <c r="A11405" s="104"/>
      <c r="B11405" s="104"/>
    </row>
    <row r="11406" spans="1:2" x14ac:dyDescent="0.25">
      <c r="A11406" s="104"/>
      <c r="B11406" s="104"/>
    </row>
    <row r="11407" spans="1:2" x14ac:dyDescent="0.25">
      <c r="A11407" s="104"/>
      <c r="B11407" s="104"/>
    </row>
    <row r="11408" spans="1:2" x14ac:dyDescent="0.25">
      <c r="A11408" s="104"/>
      <c r="B11408" s="104"/>
    </row>
    <row r="11409" spans="1:2" x14ac:dyDescent="0.25">
      <c r="A11409" s="104"/>
      <c r="B11409" s="104"/>
    </row>
    <row r="11410" spans="1:2" x14ac:dyDescent="0.25">
      <c r="A11410" s="104"/>
      <c r="B11410" s="104"/>
    </row>
    <row r="11411" spans="1:2" x14ac:dyDescent="0.25">
      <c r="A11411" s="104"/>
      <c r="B11411" s="104"/>
    </row>
    <row r="11412" spans="1:2" x14ac:dyDescent="0.25">
      <c r="A11412" s="104"/>
      <c r="B11412" s="104"/>
    </row>
    <row r="11413" spans="1:2" x14ac:dyDescent="0.25">
      <c r="A11413" s="104"/>
      <c r="B11413" s="104"/>
    </row>
    <row r="11414" spans="1:2" x14ac:dyDescent="0.25">
      <c r="A11414" s="104"/>
      <c r="B11414" s="104"/>
    </row>
    <row r="11415" spans="1:2" x14ac:dyDescent="0.25">
      <c r="A11415" s="104"/>
      <c r="B11415" s="104"/>
    </row>
    <row r="11416" spans="1:2" x14ac:dyDescent="0.25">
      <c r="A11416" s="104"/>
      <c r="B11416" s="104"/>
    </row>
    <row r="11417" spans="1:2" x14ac:dyDescent="0.25">
      <c r="A11417" s="104"/>
      <c r="B11417" s="104"/>
    </row>
    <row r="11418" spans="1:2" x14ac:dyDescent="0.25">
      <c r="A11418" s="104"/>
      <c r="B11418" s="104"/>
    </row>
    <row r="11419" spans="1:2" x14ac:dyDescent="0.25">
      <c r="A11419" s="104"/>
      <c r="B11419" s="104"/>
    </row>
    <row r="11420" spans="1:2" x14ac:dyDescent="0.25">
      <c r="A11420" s="104"/>
      <c r="B11420" s="104"/>
    </row>
    <row r="11421" spans="1:2" x14ac:dyDescent="0.25">
      <c r="A11421" s="104"/>
      <c r="B11421" s="104"/>
    </row>
    <row r="11422" spans="1:2" x14ac:dyDescent="0.25">
      <c r="A11422" s="104"/>
      <c r="B11422" s="104"/>
    </row>
    <row r="11423" spans="1:2" x14ac:dyDescent="0.25">
      <c r="A11423" s="104"/>
      <c r="B11423" s="104"/>
    </row>
    <row r="11424" spans="1:2" x14ac:dyDescent="0.25">
      <c r="A11424" s="104"/>
      <c r="B11424" s="104"/>
    </row>
    <row r="11425" spans="1:2" x14ac:dyDescent="0.25">
      <c r="A11425" s="104"/>
      <c r="B11425" s="104"/>
    </row>
    <row r="11426" spans="1:2" x14ac:dyDescent="0.25">
      <c r="A11426" s="104"/>
      <c r="B11426" s="104"/>
    </row>
    <row r="11427" spans="1:2" x14ac:dyDescent="0.25">
      <c r="A11427" s="104"/>
      <c r="B11427" s="104"/>
    </row>
    <row r="11428" spans="1:2" x14ac:dyDescent="0.25">
      <c r="A11428" s="104"/>
      <c r="B11428" s="104"/>
    </row>
    <row r="11429" spans="1:2" x14ac:dyDescent="0.25">
      <c r="A11429" s="104"/>
      <c r="B11429" s="104"/>
    </row>
    <row r="11430" spans="1:2" x14ac:dyDescent="0.25">
      <c r="A11430" s="104"/>
      <c r="B11430" s="104"/>
    </row>
    <row r="11431" spans="1:2" x14ac:dyDescent="0.25">
      <c r="A11431" s="104"/>
      <c r="B11431" s="104"/>
    </row>
    <row r="11432" spans="1:2" x14ac:dyDescent="0.25">
      <c r="A11432" s="104"/>
      <c r="B11432" s="104"/>
    </row>
    <row r="11433" spans="1:2" x14ac:dyDescent="0.25">
      <c r="A11433" s="104"/>
      <c r="B11433" s="104"/>
    </row>
    <row r="11434" spans="1:2" x14ac:dyDescent="0.25">
      <c r="A11434" s="104"/>
      <c r="B11434" s="104"/>
    </row>
    <row r="11435" spans="1:2" x14ac:dyDescent="0.25">
      <c r="A11435" s="104"/>
      <c r="B11435" s="104"/>
    </row>
    <row r="11436" spans="1:2" x14ac:dyDescent="0.25">
      <c r="A11436" s="104"/>
      <c r="B11436" s="104"/>
    </row>
    <row r="11437" spans="1:2" x14ac:dyDescent="0.25">
      <c r="A11437" s="104"/>
      <c r="B11437" s="104"/>
    </row>
    <row r="11438" spans="1:2" x14ac:dyDescent="0.25">
      <c r="A11438" s="104"/>
      <c r="B11438" s="104"/>
    </row>
    <row r="11439" spans="1:2" x14ac:dyDescent="0.25">
      <c r="A11439" s="104"/>
      <c r="B11439" s="104"/>
    </row>
    <row r="11440" spans="1:2" x14ac:dyDescent="0.25">
      <c r="A11440" s="104"/>
      <c r="B11440" s="104"/>
    </row>
    <row r="11441" spans="1:2" x14ac:dyDescent="0.25">
      <c r="A11441" s="104"/>
      <c r="B11441" s="104"/>
    </row>
    <row r="11442" spans="1:2" x14ac:dyDescent="0.25">
      <c r="A11442" s="104"/>
      <c r="B11442" s="104"/>
    </row>
    <row r="11443" spans="1:2" x14ac:dyDescent="0.25">
      <c r="A11443" s="104"/>
      <c r="B11443" s="104"/>
    </row>
    <row r="11444" spans="1:2" x14ac:dyDescent="0.25">
      <c r="A11444" s="104"/>
      <c r="B11444" s="104"/>
    </row>
    <row r="11445" spans="1:2" x14ac:dyDescent="0.25">
      <c r="A11445" s="104"/>
      <c r="B11445" s="104"/>
    </row>
    <row r="11446" spans="1:2" x14ac:dyDescent="0.25">
      <c r="A11446" s="104"/>
      <c r="B11446" s="104"/>
    </row>
    <row r="11447" spans="1:2" x14ac:dyDescent="0.25">
      <c r="A11447" s="104"/>
      <c r="B11447" s="104"/>
    </row>
    <row r="11448" spans="1:2" x14ac:dyDescent="0.25">
      <c r="A11448" s="104"/>
      <c r="B11448" s="104"/>
    </row>
    <row r="11449" spans="1:2" x14ac:dyDescent="0.25">
      <c r="A11449" s="104"/>
      <c r="B11449" s="104"/>
    </row>
    <row r="11450" spans="1:2" x14ac:dyDescent="0.25">
      <c r="A11450" s="104"/>
      <c r="B11450" s="104"/>
    </row>
    <row r="11451" spans="1:2" x14ac:dyDescent="0.25">
      <c r="A11451" s="104"/>
      <c r="B11451" s="104"/>
    </row>
    <row r="11452" spans="1:2" x14ac:dyDescent="0.25">
      <c r="A11452" s="104"/>
      <c r="B11452" s="104"/>
    </row>
    <row r="11453" spans="1:2" x14ac:dyDescent="0.25">
      <c r="A11453" s="104"/>
      <c r="B11453" s="104"/>
    </row>
    <row r="11454" spans="1:2" x14ac:dyDescent="0.25">
      <c r="A11454" s="104"/>
      <c r="B11454" s="104"/>
    </row>
    <row r="11455" spans="1:2" x14ac:dyDescent="0.25">
      <c r="A11455" s="104"/>
      <c r="B11455" s="104"/>
    </row>
    <row r="11456" spans="1:2" x14ac:dyDescent="0.25">
      <c r="A11456" s="104"/>
      <c r="B11456" s="104"/>
    </row>
    <row r="11457" spans="1:2" x14ac:dyDescent="0.25">
      <c r="A11457" s="104"/>
      <c r="B11457" s="104"/>
    </row>
    <row r="11458" spans="1:2" x14ac:dyDescent="0.25">
      <c r="A11458" s="104"/>
      <c r="B11458" s="104"/>
    </row>
    <row r="11459" spans="1:2" x14ac:dyDescent="0.25">
      <c r="A11459" s="104"/>
      <c r="B11459" s="104"/>
    </row>
    <row r="11460" spans="1:2" x14ac:dyDescent="0.25">
      <c r="A11460" s="104"/>
      <c r="B11460" s="104"/>
    </row>
    <row r="11461" spans="1:2" x14ac:dyDescent="0.25">
      <c r="A11461" s="104"/>
      <c r="B11461" s="104"/>
    </row>
    <row r="11462" spans="1:2" x14ac:dyDescent="0.25">
      <c r="A11462" s="104"/>
      <c r="B11462" s="104"/>
    </row>
    <row r="11463" spans="1:2" x14ac:dyDescent="0.25">
      <c r="A11463" s="104"/>
      <c r="B11463" s="104"/>
    </row>
    <row r="11464" spans="1:2" x14ac:dyDescent="0.25">
      <c r="A11464" s="104"/>
      <c r="B11464" s="104"/>
    </row>
    <row r="11465" spans="1:2" x14ac:dyDescent="0.25">
      <c r="A11465" s="104"/>
      <c r="B11465" s="104"/>
    </row>
    <row r="11466" spans="1:2" x14ac:dyDescent="0.25">
      <c r="A11466" s="104"/>
      <c r="B11466" s="104"/>
    </row>
    <row r="11467" spans="1:2" x14ac:dyDescent="0.25">
      <c r="A11467" s="104"/>
      <c r="B11467" s="104"/>
    </row>
    <row r="11468" spans="1:2" x14ac:dyDescent="0.25">
      <c r="A11468" s="104"/>
      <c r="B11468" s="104"/>
    </row>
    <row r="11469" spans="1:2" x14ac:dyDescent="0.25">
      <c r="A11469" s="104"/>
      <c r="B11469" s="104"/>
    </row>
    <row r="11470" spans="1:2" x14ac:dyDescent="0.25">
      <c r="A11470" s="104"/>
      <c r="B11470" s="104"/>
    </row>
    <row r="11471" spans="1:2" x14ac:dyDescent="0.25">
      <c r="A11471" s="104"/>
      <c r="B11471" s="104"/>
    </row>
    <row r="11472" spans="1:2" x14ac:dyDescent="0.25">
      <c r="A11472" s="104"/>
      <c r="B11472" s="104"/>
    </row>
    <row r="11473" spans="1:2" x14ac:dyDescent="0.25">
      <c r="A11473" s="104"/>
      <c r="B11473" s="104"/>
    </row>
    <row r="11474" spans="1:2" x14ac:dyDescent="0.25">
      <c r="A11474" s="104"/>
      <c r="B11474" s="104"/>
    </row>
    <row r="11475" spans="1:2" x14ac:dyDescent="0.25">
      <c r="A11475" s="104"/>
      <c r="B11475" s="104"/>
    </row>
    <row r="11476" spans="1:2" x14ac:dyDescent="0.25">
      <c r="A11476" s="104"/>
      <c r="B11476" s="104"/>
    </row>
    <row r="11477" spans="1:2" x14ac:dyDescent="0.25">
      <c r="A11477" s="104"/>
      <c r="B11477" s="104"/>
    </row>
    <row r="11478" spans="1:2" x14ac:dyDescent="0.25">
      <c r="A11478" s="104"/>
      <c r="B11478" s="104"/>
    </row>
    <row r="11479" spans="1:2" x14ac:dyDescent="0.25">
      <c r="A11479" s="104"/>
      <c r="B11479" s="104"/>
    </row>
    <row r="11480" spans="1:2" x14ac:dyDescent="0.25">
      <c r="A11480" s="104"/>
      <c r="B11480" s="104"/>
    </row>
    <row r="11481" spans="1:2" x14ac:dyDescent="0.25">
      <c r="A11481" s="104"/>
      <c r="B11481" s="104"/>
    </row>
    <row r="11482" spans="1:2" x14ac:dyDescent="0.25">
      <c r="A11482" s="104"/>
      <c r="B11482" s="104"/>
    </row>
    <row r="11483" spans="1:2" x14ac:dyDescent="0.25">
      <c r="A11483" s="104"/>
      <c r="B11483" s="104"/>
    </row>
    <row r="11484" spans="1:2" x14ac:dyDescent="0.25">
      <c r="A11484" s="104"/>
      <c r="B11484" s="104"/>
    </row>
    <row r="11485" spans="1:2" x14ac:dyDescent="0.25">
      <c r="A11485" s="104"/>
      <c r="B11485" s="104"/>
    </row>
    <row r="11486" spans="1:2" x14ac:dyDescent="0.25">
      <c r="A11486" s="104"/>
      <c r="B11486" s="104"/>
    </row>
    <row r="11487" spans="1:2" x14ac:dyDescent="0.25">
      <c r="A11487" s="104"/>
      <c r="B11487" s="104"/>
    </row>
    <row r="11488" spans="1:2" x14ac:dyDescent="0.25">
      <c r="A11488" s="104"/>
      <c r="B11488" s="104"/>
    </row>
    <row r="11489" spans="1:2" x14ac:dyDescent="0.25">
      <c r="A11489" s="104"/>
      <c r="B11489" s="104"/>
    </row>
    <row r="11490" spans="1:2" x14ac:dyDescent="0.25">
      <c r="A11490" s="104"/>
      <c r="B11490" s="104"/>
    </row>
    <row r="11491" spans="1:2" x14ac:dyDescent="0.25">
      <c r="A11491" s="104"/>
      <c r="B11491" s="104"/>
    </row>
    <row r="11492" spans="1:2" x14ac:dyDescent="0.25">
      <c r="A11492" s="104"/>
      <c r="B11492" s="104"/>
    </row>
    <row r="11493" spans="1:2" x14ac:dyDescent="0.25">
      <c r="A11493" s="104"/>
      <c r="B11493" s="104"/>
    </row>
    <row r="11494" spans="1:2" x14ac:dyDescent="0.25">
      <c r="A11494" s="104"/>
      <c r="B11494" s="104"/>
    </row>
    <row r="11495" spans="1:2" x14ac:dyDescent="0.25">
      <c r="A11495" s="104"/>
      <c r="B11495" s="104"/>
    </row>
    <row r="11496" spans="1:2" x14ac:dyDescent="0.25">
      <c r="A11496" s="104"/>
      <c r="B11496" s="104"/>
    </row>
    <row r="11497" spans="1:2" x14ac:dyDescent="0.25">
      <c r="A11497" s="104"/>
      <c r="B11497" s="104"/>
    </row>
    <row r="11498" spans="1:2" x14ac:dyDescent="0.25">
      <c r="A11498" s="104"/>
      <c r="B11498" s="104"/>
    </row>
    <row r="11499" spans="1:2" x14ac:dyDescent="0.25">
      <c r="A11499" s="104"/>
      <c r="B11499" s="104"/>
    </row>
    <row r="11500" spans="1:2" x14ac:dyDescent="0.25">
      <c r="A11500" s="104"/>
      <c r="B11500" s="104"/>
    </row>
    <row r="11501" spans="1:2" x14ac:dyDescent="0.25">
      <c r="A11501" s="104"/>
      <c r="B11501" s="104"/>
    </row>
    <row r="11502" spans="1:2" x14ac:dyDescent="0.25">
      <c r="A11502" s="104"/>
      <c r="B11502" s="104"/>
    </row>
    <row r="11503" spans="1:2" x14ac:dyDescent="0.25">
      <c r="A11503" s="104"/>
      <c r="B11503" s="104"/>
    </row>
    <row r="11504" spans="1:2" x14ac:dyDescent="0.25">
      <c r="A11504" s="104"/>
      <c r="B11504" s="104"/>
    </row>
    <row r="11505" spans="1:2" x14ac:dyDescent="0.25">
      <c r="A11505" s="104"/>
      <c r="B11505" s="104"/>
    </row>
    <row r="11506" spans="1:2" x14ac:dyDescent="0.25">
      <c r="A11506" s="104"/>
      <c r="B11506" s="104"/>
    </row>
    <row r="11507" spans="1:2" x14ac:dyDescent="0.25">
      <c r="A11507" s="104"/>
      <c r="B11507" s="104"/>
    </row>
    <row r="11508" spans="1:2" x14ac:dyDescent="0.25">
      <c r="A11508" s="104"/>
      <c r="B11508" s="104"/>
    </row>
    <row r="11509" spans="1:2" x14ac:dyDescent="0.25">
      <c r="A11509" s="104"/>
      <c r="B11509" s="104"/>
    </row>
    <row r="11510" spans="1:2" x14ac:dyDescent="0.25">
      <c r="A11510" s="104"/>
      <c r="B11510" s="104"/>
    </row>
    <row r="11511" spans="1:2" x14ac:dyDescent="0.25">
      <c r="A11511" s="104"/>
      <c r="B11511" s="104"/>
    </row>
    <row r="11512" spans="1:2" x14ac:dyDescent="0.25">
      <c r="A11512" s="104"/>
      <c r="B11512" s="104"/>
    </row>
    <row r="11513" spans="1:2" x14ac:dyDescent="0.25">
      <c r="A11513" s="104"/>
      <c r="B11513" s="104"/>
    </row>
    <row r="11514" spans="1:2" x14ac:dyDescent="0.25">
      <c r="A11514" s="104"/>
      <c r="B11514" s="104"/>
    </row>
    <row r="11515" spans="1:2" x14ac:dyDescent="0.25">
      <c r="A11515" s="104"/>
      <c r="B11515" s="104"/>
    </row>
    <row r="11516" spans="1:2" x14ac:dyDescent="0.25">
      <c r="A11516" s="104"/>
      <c r="B11516" s="104"/>
    </row>
    <row r="11517" spans="1:2" x14ac:dyDescent="0.25">
      <c r="A11517" s="104"/>
      <c r="B11517" s="104"/>
    </row>
    <row r="11518" spans="1:2" x14ac:dyDescent="0.25">
      <c r="A11518" s="104"/>
      <c r="B11518" s="104"/>
    </row>
    <row r="11519" spans="1:2" x14ac:dyDescent="0.25">
      <c r="A11519" s="104"/>
      <c r="B11519" s="104"/>
    </row>
    <row r="11520" spans="1:2" x14ac:dyDescent="0.25">
      <c r="A11520" s="104"/>
      <c r="B11520" s="104"/>
    </row>
    <row r="11521" spans="1:2" x14ac:dyDescent="0.25">
      <c r="A11521" s="104"/>
      <c r="B11521" s="104"/>
    </row>
    <row r="11522" spans="1:2" x14ac:dyDescent="0.25">
      <c r="A11522" s="104"/>
      <c r="B11522" s="104"/>
    </row>
    <row r="11523" spans="1:2" x14ac:dyDescent="0.25">
      <c r="A11523" s="104"/>
      <c r="B11523" s="104"/>
    </row>
    <row r="11524" spans="1:2" x14ac:dyDescent="0.25">
      <c r="A11524" s="104"/>
      <c r="B11524" s="104"/>
    </row>
    <row r="11525" spans="1:2" x14ac:dyDescent="0.25">
      <c r="A11525" s="104"/>
      <c r="B11525" s="104"/>
    </row>
    <row r="11526" spans="1:2" x14ac:dyDescent="0.25">
      <c r="A11526" s="104"/>
      <c r="B11526" s="104"/>
    </row>
    <row r="11527" spans="1:2" x14ac:dyDescent="0.25">
      <c r="A11527" s="104"/>
      <c r="B11527" s="104"/>
    </row>
    <row r="11528" spans="1:2" x14ac:dyDescent="0.25">
      <c r="A11528" s="104"/>
      <c r="B11528" s="104"/>
    </row>
    <row r="11529" spans="1:2" x14ac:dyDescent="0.25">
      <c r="A11529" s="104"/>
      <c r="B11529" s="104"/>
    </row>
    <row r="11530" spans="1:2" x14ac:dyDescent="0.25">
      <c r="A11530" s="104"/>
      <c r="B11530" s="104"/>
    </row>
    <row r="11531" spans="1:2" x14ac:dyDescent="0.25">
      <c r="A11531" s="104"/>
      <c r="B11531" s="104"/>
    </row>
    <row r="11532" spans="1:2" x14ac:dyDescent="0.25">
      <c r="A11532" s="104"/>
      <c r="B11532" s="104"/>
    </row>
    <row r="11533" spans="1:2" x14ac:dyDescent="0.25">
      <c r="A11533" s="104"/>
      <c r="B11533" s="104"/>
    </row>
    <row r="11534" spans="1:2" x14ac:dyDescent="0.25">
      <c r="A11534" s="104"/>
      <c r="B11534" s="104"/>
    </row>
    <row r="11535" spans="1:2" x14ac:dyDescent="0.25">
      <c r="A11535" s="104"/>
      <c r="B11535" s="104"/>
    </row>
    <row r="11536" spans="1:2" x14ac:dyDescent="0.25">
      <c r="A11536" s="104"/>
      <c r="B11536" s="104"/>
    </row>
    <row r="11537" spans="1:2" x14ac:dyDescent="0.25">
      <c r="A11537" s="104"/>
      <c r="B11537" s="104"/>
    </row>
    <row r="11538" spans="1:2" x14ac:dyDescent="0.25">
      <c r="A11538" s="104"/>
      <c r="B11538" s="104"/>
    </row>
    <row r="11539" spans="1:2" x14ac:dyDescent="0.25">
      <c r="A11539" s="104"/>
      <c r="B11539" s="104"/>
    </row>
    <row r="11540" spans="1:2" x14ac:dyDescent="0.25">
      <c r="A11540" s="104"/>
      <c r="B11540" s="104"/>
    </row>
    <row r="11541" spans="1:2" x14ac:dyDescent="0.25">
      <c r="A11541" s="104"/>
      <c r="B11541" s="104"/>
    </row>
    <row r="11542" spans="1:2" x14ac:dyDescent="0.25">
      <c r="A11542" s="104"/>
      <c r="B11542" s="104"/>
    </row>
    <row r="11543" spans="1:2" x14ac:dyDescent="0.25">
      <c r="A11543" s="104"/>
      <c r="B11543" s="104"/>
    </row>
    <row r="11544" spans="1:2" x14ac:dyDescent="0.25">
      <c r="A11544" s="104"/>
      <c r="B11544" s="104"/>
    </row>
    <row r="11545" spans="1:2" x14ac:dyDescent="0.25">
      <c r="A11545" s="104"/>
      <c r="B11545" s="104"/>
    </row>
    <row r="11546" spans="1:2" x14ac:dyDescent="0.25">
      <c r="A11546" s="104"/>
      <c r="B11546" s="104"/>
    </row>
    <row r="11547" spans="1:2" x14ac:dyDescent="0.25">
      <c r="A11547" s="104"/>
      <c r="B11547" s="104"/>
    </row>
    <row r="11548" spans="1:2" x14ac:dyDescent="0.25">
      <c r="A11548" s="104"/>
      <c r="B11548" s="104"/>
    </row>
    <row r="11549" spans="1:2" x14ac:dyDescent="0.25">
      <c r="A11549" s="104"/>
      <c r="B11549" s="104"/>
    </row>
    <row r="11550" spans="1:2" x14ac:dyDescent="0.25">
      <c r="A11550" s="104"/>
      <c r="B11550" s="104"/>
    </row>
    <row r="11551" spans="1:2" x14ac:dyDescent="0.25">
      <c r="A11551" s="104"/>
      <c r="B11551" s="104"/>
    </row>
    <row r="11552" spans="1:2" x14ac:dyDescent="0.25">
      <c r="A11552" s="104"/>
      <c r="B11552" s="104"/>
    </row>
    <row r="11553" spans="1:2" x14ac:dyDescent="0.25">
      <c r="A11553" s="104"/>
      <c r="B11553" s="104"/>
    </row>
    <row r="11554" spans="1:2" x14ac:dyDescent="0.25">
      <c r="A11554" s="104"/>
      <c r="B11554" s="104"/>
    </row>
    <row r="11555" spans="1:2" x14ac:dyDescent="0.25">
      <c r="A11555" s="104"/>
      <c r="B11555" s="104"/>
    </row>
    <row r="11556" spans="1:2" x14ac:dyDescent="0.25">
      <c r="A11556" s="104"/>
      <c r="B11556" s="104"/>
    </row>
    <row r="11557" spans="1:2" x14ac:dyDescent="0.25">
      <c r="A11557" s="104"/>
      <c r="B11557" s="104"/>
    </row>
    <row r="11558" spans="1:2" x14ac:dyDescent="0.25">
      <c r="A11558" s="104"/>
      <c r="B11558" s="104"/>
    </row>
    <row r="11559" spans="1:2" x14ac:dyDescent="0.25">
      <c r="A11559" s="104"/>
      <c r="B11559" s="104"/>
    </row>
    <row r="11560" spans="1:2" x14ac:dyDescent="0.25">
      <c r="A11560" s="104"/>
      <c r="B11560" s="104"/>
    </row>
    <row r="11561" spans="1:2" x14ac:dyDescent="0.25">
      <c r="A11561" s="104"/>
      <c r="B11561" s="104"/>
    </row>
    <row r="11562" spans="1:2" x14ac:dyDescent="0.25">
      <c r="A11562" s="104"/>
      <c r="B11562" s="104"/>
    </row>
    <row r="11563" spans="1:2" x14ac:dyDescent="0.25">
      <c r="A11563" s="104"/>
      <c r="B11563" s="104"/>
    </row>
    <row r="11564" spans="1:2" x14ac:dyDescent="0.25">
      <c r="A11564" s="104"/>
      <c r="B11564" s="104"/>
    </row>
    <row r="11565" spans="1:2" x14ac:dyDescent="0.25">
      <c r="A11565" s="104"/>
      <c r="B11565" s="104"/>
    </row>
    <row r="11566" spans="1:2" x14ac:dyDescent="0.25">
      <c r="A11566" s="104"/>
      <c r="B11566" s="104"/>
    </row>
    <row r="11567" spans="1:2" x14ac:dyDescent="0.25">
      <c r="A11567" s="104"/>
      <c r="B11567" s="104"/>
    </row>
    <row r="11568" spans="1:2" x14ac:dyDescent="0.25">
      <c r="A11568" s="104"/>
      <c r="B11568" s="104"/>
    </row>
    <row r="11569" spans="1:2" x14ac:dyDescent="0.25">
      <c r="A11569" s="104"/>
      <c r="B11569" s="104"/>
    </row>
    <row r="11570" spans="1:2" x14ac:dyDescent="0.25">
      <c r="A11570" s="104"/>
      <c r="B11570" s="104"/>
    </row>
    <row r="11571" spans="1:2" x14ac:dyDescent="0.25">
      <c r="A11571" s="104"/>
      <c r="B11571" s="104"/>
    </row>
    <row r="11572" spans="1:2" x14ac:dyDescent="0.25">
      <c r="A11572" s="104"/>
      <c r="B11572" s="104"/>
    </row>
    <row r="11573" spans="1:2" x14ac:dyDescent="0.25">
      <c r="A11573" s="104"/>
      <c r="B11573" s="104"/>
    </row>
    <row r="11574" spans="1:2" x14ac:dyDescent="0.25">
      <c r="A11574" s="104"/>
      <c r="B11574" s="104"/>
    </row>
    <row r="11575" spans="1:2" x14ac:dyDescent="0.25">
      <c r="A11575" s="104"/>
      <c r="B11575" s="104"/>
    </row>
    <row r="11576" spans="1:2" x14ac:dyDescent="0.25">
      <c r="A11576" s="104"/>
      <c r="B11576" s="104"/>
    </row>
    <row r="11577" spans="1:2" x14ac:dyDescent="0.25">
      <c r="A11577" s="104"/>
      <c r="B11577" s="104"/>
    </row>
    <row r="11578" spans="1:2" x14ac:dyDescent="0.25">
      <c r="A11578" s="104"/>
      <c r="B11578" s="104"/>
    </row>
    <row r="11579" spans="1:2" x14ac:dyDescent="0.25">
      <c r="A11579" s="104"/>
      <c r="B11579" s="104"/>
    </row>
    <row r="11580" spans="1:2" x14ac:dyDescent="0.25">
      <c r="A11580" s="104"/>
      <c r="B11580" s="104"/>
    </row>
    <row r="11581" spans="1:2" x14ac:dyDescent="0.25">
      <c r="A11581" s="104"/>
      <c r="B11581" s="104"/>
    </row>
    <row r="11582" spans="1:2" x14ac:dyDescent="0.25">
      <c r="A11582" s="104"/>
      <c r="B11582" s="104"/>
    </row>
    <row r="11583" spans="1:2" x14ac:dyDescent="0.25">
      <c r="A11583" s="104"/>
      <c r="B11583" s="104"/>
    </row>
    <row r="11584" spans="1:2" x14ac:dyDescent="0.25">
      <c r="A11584" s="104"/>
      <c r="B11584" s="104"/>
    </row>
    <row r="11585" spans="1:2" x14ac:dyDescent="0.25">
      <c r="A11585" s="104"/>
      <c r="B11585" s="104"/>
    </row>
    <row r="11586" spans="1:2" x14ac:dyDescent="0.25">
      <c r="A11586" s="104"/>
      <c r="B11586" s="104"/>
    </row>
    <row r="11587" spans="1:2" x14ac:dyDescent="0.25">
      <c r="A11587" s="104"/>
      <c r="B11587" s="104"/>
    </row>
    <row r="11588" spans="1:2" x14ac:dyDescent="0.25">
      <c r="A11588" s="104"/>
      <c r="B11588" s="104"/>
    </row>
    <row r="11589" spans="1:2" x14ac:dyDescent="0.25">
      <c r="A11589" s="104"/>
      <c r="B11589" s="104"/>
    </row>
    <row r="11590" spans="1:2" x14ac:dyDescent="0.25">
      <c r="A11590" s="104"/>
      <c r="B11590" s="104"/>
    </row>
    <row r="11591" spans="1:2" x14ac:dyDescent="0.25">
      <c r="A11591" s="104"/>
      <c r="B11591" s="104"/>
    </row>
    <row r="11592" spans="1:2" x14ac:dyDescent="0.25">
      <c r="A11592" s="104"/>
      <c r="B11592" s="104"/>
    </row>
    <row r="11593" spans="1:2" x14ac:dyDescent="0.25">
      <c r="A11593" s="104"/>
      <c r="B11593" s="104"/>
    </row>
    <row r="11594" spans="1:2" x14ac:dyDescent="0.25">
      <c r="A11594" s="104"/>
      <c r="B11594" s="104"/>
    </row>
    <row r="11595" spans="1:2" x14ac:dyDescent="0.25">
      <c r="A11595" s="104"/>
      <c r="B11595" s="104"/>
    </row>
    <row r="11596" spans="1:2" x14ac:dyDescent="0.25">
      <c r="A11596" s="104"/>
      <c r="B11596" s="104"/>
    </row>
    <row r="11597" spans="1:2" x14ac:dyDescent="0.25">
      <c r="A11597" s="104"/>
      <c r="B11597" s="104"/>
    </row>
    <row r="11598" spans="1:2" x14ac:dyDescent="0.25">
      <c r="A11598" s="104"/>
      <c r="B11598" s="104"/>
    </row>
    <row r="11599" spans="1:2" x14ac:dyDescent="0.25">
      <c r="A11599" s="104"/>
      <c r="B11599" s="104"/>
    </row>
    <row r="11600" spans="1:2" x14ac:dyDescent="0.25">
      <c r="A11600" s="104"/>
      <c r="B11600" s="104"/>
    </row>
    <row r="11601" spans="1:2" x14ac:dyDescent="0.25">
      <c r="A11601" s="104"/>
      <c r="B11601" s="104"/>
    </row>
    <row r="11602" spans="1:2" x14ac:dyDescent="0.25">
      <c r="A11602" s="104"/>
      <c r="B11602" s="104"/>
    </row>
    <row r="11603" spans="1:2" x14ac:dyDescent="0.25">
      <c r="A11603" s="104"/>
      <c r="B11603" s="104"/>
    </row>
    <row r="11604" spans="1:2" x14ac:dyDescent="0.25">
      <c r="A11604" s="104"/>
      <c r="B11604" s="104"/>
    </row>
    <row r="11605" spans="1:2" x14ac:dyDescent="0.25">
      <c r="A11605" s="104"/>
      <c r="B11605" s="104"/>
    </row>
    <row r="11606" spans="1:2" x14ac:dyDescent="0.25">
      <c r="A11606" s="104"/>
      <c r="B11606" s="104"/>
    </row>
    <row r="11607" spans="1:2" x14ac:dyDescent="0.25">
      <c r="A11607" s="104"/>
      <c r="B11607" s="104"/>
    </row>
    <row r="11608" spans="1:2" x14ac:dyDescent="0.25">
      <c r="A11608" s="104"/>
      <c r="B11608" s="104"/>
    </row>
    <row r="11609" spans="1:2" x14ac:dyDescent="0.25">
      <c r="A11609" s="104"/>
      <c r="B11609" s="104"/>
    </row>
    <row r="11610" spans="1:2" x14ac:dyDescent="0.25">
      <c r="A11610" s="104"/>
      <c r="B11610" s="104"/>
    </row>
    <row r="11611" spans="1:2" x14ac:dyDescent="0.25">
      <c r="A11611" s="104"/>
      <c r="B11611" s="104"/>
    </row>
    <row r="11612" spans="1:2" x14ac:dyDescent="0.25">
      <c r="A11612" s="104"/>
      <c r="B11612" s="104"/>
    </row>
    <row r="11613" spans="1:2" x14ac:dyDescent="0.25">
      <c r="A11613" s="104"/>
      <c r="B11613" s="104"/>
    </row>
    <row r="11614" spans="1:2" x14ac:dyDescent="0.25">
      <c r="A11614" s="104"/>
      <c r="B11614" s="104"/>
    </row>
    <row r="11615" spans="1:2" x14ac:dyDescent="0.25">
      <c r="A11615" s="104"/>
      <c r="B11615" s="104"/>
    </row>
    <row r="11616" spans="1:2" x14ac:dyDescent="0.25">
      <c r="A11616" s="104"/>
      <c r="B11616" s="104"/>
    </row>
    <row r="11617" spans="1:2" x14ac:dyDescent="0.25">
      <c r="A11617" s="104"/>
      <c r="B11617" s="104"/>
    </row>
    <row r="11618" spans="1:2" x14ac:dyDescent="0.25">
      <c r="A11618" s="104"/>
      <c r="B11618" s="104"/>
    </row>
    <row r="11619" spans="1:2" x14ac:dyDescent="0.25">
      <c r="A11619" s="104"/>
      <c r="B11619" s="104"/>
    </row>
    <row r="11620" spans="1:2" x14ac:dyDescent="0.25">
      <c r="A11620" s="104"/>
      <c r="B11620" s="104"/>
    </row>
    <row r="11621" spans="1:2" x14ac:dyDescent="0.25">
      <c r="A11621" s="104"/>
      <c r="B11621" s="104"/>
    </row>
    <row r="11622" spans="1:2" x14ac:dyDescent="0.25">
      <c r="A11622" s="104"/>
      <c r="B11622" s="104"/>
    </row>
    <row r="11623" spans="1:2" x14ac:dyDescent="0.25">
      <c r="A11623" s="104"/>
      <c r="B11623" s="104"/>
    </row>
    <row r="11624" spans="1:2" x14ac:dyDescent="0.25">
      <c r="A11624" s="104"/>
      <c r="B11624" s="104"/>
    </row>
    <row r="11625" spans="1:2" x14ac:dyDescent="0.25">
      <c r="A11625" s="104"/>
      <c r="B11625" s="104"/>
    </row>
    <row r="11626" spans="1:2" x14ac:dyDescent="0.25">
      <c r="A11626" s="104"/>
      <c r="B11626" s="104"/>
    </row>
    <row r="11627" spans="1:2" x14ac:dyDescent="0.25">
      <c r="A11627" s="104"/>
      <c r="B11627" s="104"/>
    </row>
    <row r="11628" spans="1:2" x14ac:dyDescent="0.25">
      <c r="A11628" s="104"/>
      <c r="B11628" s="104"/>
    </row>
    <row r="11629" spans="1:2" x14ac:dyDescent="0.25">
      <c r="A11629" s="104"/>
      <c r="B11629" s="104"/>
    </row>
    <row r="11630" spans="1:2" x14ac:dyDescent="0.25">
      <c r="A11630" s="104"/>
      <c r="B11630" s="104"/>
    </row>
    <row r="11631" spans="1:2" x14ac:dyDescent="0.25">
      <c r="A11631" s="104"/>
      <c r="B11631" s="104"/>
    </row>
    <row r="11632" spans="1:2" x14ac:dyDescent="0.25">
      <c r="A11632" s="104"/>
      <c r="B11632" s="104"/>
    </row>
    <row r="11633" spans="1:2" x14ac:dyDescent="0.25">
      <c r="A11633" s="104"/>
      <c r="B11633" s="104"/>
    </row>
    <row r="11634" spans="1:2" x14ac:dyDescent="0.25">
      <c r="A11634" s="104"/>
      <c r="B11634" s="104"/>
    </row>
    <row r="11635" spans="1:2" x14ac:dyDescent="0.25">
      <c r="A11635" s="104"/>
      <c r="B11635" s="104"/>
    </row>
    <row r="11636" spans="1:2" x14ac:dyDescent="0.25">
      <c r="A11636" s="104"/>
      <c r="B11636" s="104"/>
    </row>
    <row r="11637" spans="1:2" x14ac:dyDescent="0.25">
      <c r="A11637" s="104"/>
      <c r="B11637" s="104"/>
    </row>
    <row r="11638" spans="1:2" x14ac:dyDescent="0.25">
      <c r="A11638" s="104"/>
      <c r="B11638" s="104"/>
    </row>
    <row r="11639" spans="1:2" x14ac:dyDescent="0.25">
      <c r="A11639" s="104"/>
      <c r="B11639" s="104"/>
    </row>
    <row r="11640" spans="1:2" x14ac:dyDescent="0.25">
      <c r="A11640" s="104"/>
      <c r="B11640" s="104"/>
    </row>
    <row r="11641" spans="1:2" x14ac:dyDescent="0.25">
      <c r="A11641" s="104"/>
      <c r="B11641" s="104"/>
    </row>
    <row r="11642" spans="1:2" x14ac:dyDescent="0.25">
      <c r="A11642" s="104"/>
      <c r="B11642" s="104"/>
    </row>
    <row r="11643" spans="1:2" x14ac:dyDescent="0.25">
      <c r="A11643" s="104"/>
      <c r="B11643" s="104"/>
    </row>
    <row r="11644" spans="1:2" x14ac:dyDescent="0.25">
      <c r="A11644" s="104"/>
      <c r="B11644" s="104"/>
    </row>
    <row r="11645" spans="1:2" x14ac:dyDescent="0.25">
      <c r="A11645" s="104"/>
      <c r="B11645" s="104"/>
    </row>
    <row r="11646" spans="1:2" x14ac:dyDescent="0.25">
      <c r="A11646" s="104"/>
      <c r="B11646" s="104"/>
    </row>
    <row r="11647" spans="1:2" x14ac:dyDescent="0.25">
      <c r="A11647" s="104"/>
      <c r="B11647" s="104"/>
    </row>
    <row r="11648" spans="1:2" x14ac:dyDescent="0.25">
      <c r="A11648" s="104"/>
      <c r="B11648" s="104"/>
    </row>
    <row r="11649" spans="1:2" x14ac:dyDescent="0.25">
      <c r="A11649" s="104"/>
      <c r="B11649" s="104"/>
    </row>
    <row r="11650" spans="1:2" x14ac:dyDescent="0.25">
      <c r="A11650" s="104"/>
      <c r="B11650" s="104"/>
    </row>
    <row r="11651" spans="1:2" x14ac:dyDescent="0.25">
      <c r="A11651" s="104"/>
      <c r="B11651" s="104"/>
    </row>
    <row r="11652" spans="1:2" x14ac:dyDescent="0.25">
      <c r="A11652" s="104"/>
      <c r="B11652" s="104"/>
    </row>
    <row r="11653" spans="1:2" x14ac:dyDescent="0.25">
      <c r="A11653" s="104"/>
      <c r="B11653" s="104"/>
    </row>
    <row r="11654" spans="1:2" x14ac:dyDescent="0.25">
      <c r="A11654" s="104"/>
      <c r="B11654" s="104"/>
    </row>
    <row r="11655" spans="1:2" x14ac:dyDescent="0.25">
      <c r="A11655" s="104"/>
      <c r="B11655" s="104"/>
    </row>
    <row r="11656" spans="1:2" x14ac:dyDescent="0.25">
      <c r="A11656" s="104"/>
      <c r="B11656" s="104"/>
    </row>
    <row r="11657" spans="1:2" x14ac:dyDescent="0.25">
      <c r="A11657" s="104"/>
      <c r="B11657" s="104"/>
    </row>
    <row r="11658" spans="1:2" x14ac:dyDescent="0.25">
      <c r="A11658" s="104"/>
      <c r="B11658" s="104"/>
    </row>
    <row r="11659" spans="1:2" x14ac:dyDescent="0.25">
      <c r="A11659" s="104"/>
      <c r="B11659" s="104"/>
    </row>
    <row r="11660" spans="1:2" x14ac:dyDescent="0.25">
      <c r="A11660" s="104"/>
      <c r="B11660" s="104"/>
    </row>
    <row r="11661" spans="1:2" x14ac:dyDescent="0.25">
      <c r="A11661" s="104"/>
      <c r="B11661" s="104"/>
    </row>
    <row r="11662" spans="1:2" x14ac:dyDescent="0.25">
      <c r="A11662" s="104"/>
      <c r="B11662" s="104"/>
    </row>
    <row r="11663" spans="1:2" x14ac:dyDescent="0.25">
      <c r="A11663" s="104"/>
      <c r="B11663" s="104"/>
    </row>
    <row r="11664" spans="1:2" x14ac:dyDescent="0.25">
      <c r="A11664" s="104"/>
      <c r="B11664" s="104"/>
    </row>
    <row r="11665" spans="1:2" x14ac:dyDescent="0.25">
      <c r="A11665" s="104"/>
      <c r="B11665" s="104"/>
    </row>
    <row r="11666" spans="1:2" x14ac:dyDescent="0.25">
      <c r="A11666" s="104"/>
      <c r="B11666" s="104"/>
    </row>
    <row r="11667" spans="1:2" x14ac:dyDescent="0.25">
      <c r="A11667" s="104"/>
      <c r="B11667" s="104"/>
    </row>
    <row r="11668" spans="1:2" x14ac:dyDescent="0.25">
      <c r="A11668" s="104"/>
      <c r="B11668" s="104"/>
    </row>
    <row r="11669" spans="1:2" x14ac:dyDescent="0.25">
      <c r="A11669" s="104"/>
      <c r="B11669" s="104"/>
    </row>
    <row r="11670" spans="1:2" x14ac:dyDescent="0.25">
      <c r="A11670" s="104"/>
      <c r="B11670" s="104"/>
    </row>
    <row r="11671" spans="1:2" x14ac:dyDescent="0.25">
      <c r="A11671" s="104"/>
      <c r="B11671" s="104"/>
    </row>
    <row r="11672" spans="1:2" x14ac:dyDescent="0.25">
      <c r="A11672" s="104"/>
      <c r="B11672" s="104"/>
    </row>
    <row r="11673" spans="1:2" x14ac:dyDescent="0.25">
      <c r="A11673" s="104"/>
      <c r="B11673" s="104"/>
    </row>
    <row r="11674" spans="1:2" x14ac:dyDescent="0.25">
      <c r="A11674" s="104"/>
      <c r="B11674" s="104"/>
    </row>
    <row r="11675" spans="1:2" x14ac:dyDescent="0.25">
      <c r="A11675" s="104"/>
      <c r="B11675" s="104"/>
    </row>
    <row r="11676" spans="1:2" x14ac:dyDescent="0.25">
      <c r="A11676" s="104"/>
      <c r="B11676" s="104"/>
    </row>
    <row r="11677" spans="1:2" x14ac:dyDescent="0.25">
      <c r="A11677" s="104"/>
      <c r="B11677" s="104"/>
    </row>
    <row r="11678" spans="1:2" x14ac:dyDescent="0.25">
      <c r="A11678" s="104"/>
      <c r="B11678" s="104"/>
    </row>
    <row r="11679" spans="1:2" x14ac:dyDescent="0.25">
      <c r="A11679" s="104"/>
      <c r="B11679" s="104"/>
    </row>
    <row r="11680" spans="1:2" x14ac:dyDescent="0.25">
      <c r="A11680" s="104"/>
      <c r="B11680" s="104"/>
    </row>
    <row r="11681" spans="1:2" x14ac:dyDescent="0.25">
      <c r="A11681" s="104"/>
      <c r="B11681" s="104"/>
    </row>
    <row r="11682" spans="1:2" x14ac:dyDescent="0.25">
      <c r="A11682" s="104"/>
      <c r="B11682" s="104"/>
    </row>
    <row r="11683" spans="1:2" x14ac:dyDescent="0.25">
      <c r="A11683" s="104"/>
      <c r="B11683" s="104"/>
    </row>
    <row r="11684" spans="1:2" x14ac:dyDescent="0.25">
      <c r="A11684" s="104"/>
      <c r="B11684" s="104"/>
    </row>
    <row r="11685" spans="1:2" x14ac:dyDescent="0.25">
      <c r="A11685" s="104"/>
      <c r="B11685" s="104"/>
    </row>
    <row r="11686" spans="1:2" x14ac:dyDescent="0.25">
      <c r="A11686" s="104"/>
      <c r="B11686" s="104"/>
    </row>
    <row r="11687" spans="1:2" x14ac:dyDescent="0.25">
      <c r="A11687" s="104"/>
      <c r="B11687" s="104"/>
    </row>
    <row r="11688" spans="1:2" x14ac:dyDescent="0.25">
      <c r="A11688" s="104"/>
      <c r="B11688" s="104"/>
    </row>
    <row r="11689" spans="1:2" x14ac:dyDescent="0.25">
      <c r="A11689" s="104"/>
      <c r="B11689" s="104"/>
    </row>
    <row r="11690" spans="1:2" x14ac:dyDescent="0.25">
      <c r="A11690" s="104"/>
      <c r="B11690" s="104"/>
    </row>
    <row r="11691" spans="1:2" x14ac:dyDescent="0.25">
      <c r="A11691" s="104"/>
      <c r="B11691" s="104"/>
    </row>
    <row r="11692" spans="1:2" x14ac:dyDescent="0.25">
      <c r="A11692" s="104"/>
      <c r="B11692" s="104"/>
    </row>
    <row r="11693" spans="1:2" x14ac:dyDescent="0.25">
      <c r="A11693" s="104"/>
      <c r="B11693" s="104"/>
    </row>
    <row r="11694" spans="1:2" x14ac:dyDescent="0.25">
      <c r="A11694" s="104"/>
      <c r="B11694" s="104"/>
    </row>
    <row r="11695" spans="1:2" x14ac:dyDescent="0.25">
      <c r="A11695" s="104"/>
      <c r="B11695" s="104"/>
    </row>
    <row r="11696" spans="1:2" x14ac:dyDescent="0.25">
      <c r="A11696" s="104"/>
      <c r="B11696" s="104"/>
    </row>
    <row r="11697" spans="1:2" x14ac:dyDescent="0.25">
      <c r="A11697" s="104"/>
      <c r="B11697" s="104"/>
    </row>
    <row r="11698" spans="1:2" x14ac:dyDescent="0.25">
      <c r="A11698" s="104"/>
      <c r="B11698" s="104"/>
    </row>
    <row r="11699" spans="1:2" x14ac:dyDescent="0.25">
      <c r="A11699" s="104"/>
      <c r="B11699" s="104"/>
    </row>
    <row r="11700" spans="1:2" x14ac:dyDescent="0.25">
      <c r="A11700" s="104"/>
      <c r="B11700" s="104"/>
    </row>
    <row r="11701" spans="1:2" x14ac:dyDescent="0.25">
      <c r="A11701" s="104"/>
      <c r="B11701" s="104"/>
    </row>
    <row r="11702" spans="1:2" x14ac:dyDescent="0.25">
      <c r="A11702" s="104"/>
      <c r="B11702" s="104"/>
    </row>
    <row r="11703" spans="1:2" x14ac:dyDescent="0.25">
      <c r="A11703" s="104"/>
      <c r="B11703" s="104"/>
    </row>
    <row r="11704" spans="1:2" x14ac:dyDescent="0.25">
      <c r="A11704" s="104"/>
      <c r="B11704" s="104"/>
    </row>
    <row r="11705" spans="1:2" x14ac:dyDescent="0.25">
      <c r="A11705" s="104"/>
      <c r="B11705" s="104"/>
    </row>
    <row r="11706" spans="1:2" x14ac:dyDescent="0.25">
      <c r="A11706" s="104"/>
      <c r="B11706" s="104"/>
    </row>
    <row r="11707" spans="1:2" x14ac:dyDescent="0.25">
      <c r="A11707" s="104"/>
      <c r="B11707" s="104"/>
    </row>
    <row r="11708" spans="1:2" x14ac:dyDescent="0.25">
      <c r="A11708" s="104"/>
      <c r="B11708" s="104"/>
    </row>
    <row r="11709" spans="1:2" x14ac:dyDescent="0.25">
      <c r="A11709" s="104"/>
      <c r="B11709" s="104"/>
    </row>
    <row r="11710" spans="1:2" x14ac:dyDescent="0.25">
      <c r="A11710" s="104"/>
      <c r="B11710" s="104"/>
    </row>
    <row r="11711" spans="1:2" x14ac:dyDescent="0.25">
      <c r="A11711" s="104"/>
      <c r="B11711" s="104"/>
    </row>
    <row r="11712" spans="1:2" x14ac:dyDescent="0.25">
      <c r="A11712" s="104"/>
      <c r="B11712" s="104"/>
    </row>
    <row r="11713" spans="1:2" x14ac:dyDescent="0.25">
      <c r="A11713" s="104"/>
      <c r="B11713" s="104"/>
    </row>
    <row r="11714" spans="1:2" x14ac:dyDescent="0.25">
      <c r="A11714" s="104"/>
      <c r="B11714" s="104"/>
    </row>
    <row r="11715" spans="1:2" x14ac:dyDescent="0.25">
      <c r="A11715" s="104"/>
      <c r="B11715" s="104"/>
    </row>
    <row r="11716" spans="1:2" x14ac:dyDescent="0.25">
      <c r="A11716" s="104"/>
      <c r="B11716" s="104"/>
    </row>
    <row r="11717" spans="1:2" x14ac:dyDescent="0.25">
      <c r="A11717" s="104"/>
      <c r="B11717" s="104"/>
    </row>
    <row r="11718" spans="1:2" x14ac:dyDescent="0.25">
      <c r="A11718" s="104"/>
      <c r="B11718" s="104"/>
    </row>
    <row r="11719" spans="1:2" x14ac:dyDescent="0.25">
      <c r="A11719" s="104"/>
      <c r="B11719" s="104"/>
    </row>
    <row r="11720" spans="1:2" x14ac:dyDescent="0.25">
      <c r="A11720" s="104"/>
      <c r="B11720" s="104"/>
    </row>
    <row r="11721" spans="1:2" x14ac:dyDescent="0.25">
      <c r="A11721" s="104"/>
      <c r="B11721" s="104"/>
    </row>
    <row r="11722" spans="1:2" x14ac:dyDescent="0.25">
      <c r="A11722" s="104"/>
      <c r="B11722" s="104"/>
    </row>
    <row r="11723" spans="1:2" x14ac:dyDescent="0.25">
      <c r="A11723" s="104"/>
      <c r="B11723" s="104"/>
    </row>
    <row r="11724" spans="1:2" x14ac:dyDescent="0.25">
      <c r="A11724" s="104"/>
      <c r="B11724" s="104"/>
    </row>
    <row r="11725" spans="1:2" x14ac:dyDescent="0.25">
      <c r="A11725" s="104"/>
      <c r="B11725" s="104"/>
    </row>
    <row r="11726" spans="1:2" x14ac:dyDescent="0.25">
      <c r="A11726" s="104"/>
      <c r="B11726" s="104"/>
    </row>
    <row r="11727" spans="1:2" x14ac:dyDescent="0.25">
      <c r="A11727" s="104"/>
      <c r="B11727" s="104"/>
    </row>
    <row r="11728" spans="1:2" x14ac:dyDescent="0.25">
      <c r="A11728" s="104"/>
      <c r="B11728" s="104"/>
    </row>
    <row r="11729" spans="1:2" x14ac:dyDescent="0.25">
      <c r="A11729" s="104"/>
      <c r="B11729" s="104"/>
    </row>
    <row r="11730" spans="1:2" x14ac:dyDescent="0.25">
      <c r="A11730" s="104"/>
      <c r="B11730" s="104"/>
    </row>
    <row r="11731" spans="1:2" x14ac:dyDescent="0.25">
      <c r="A11731" s="104"/>
      <c r="B11731" s="104"/>
    </row>
    <row r="11732" spans="1:2" x14ac:dyDescent="0.25">
      <c r="A11732" s="104"/>
      <c r="B11732" s="104"/>
    </row>
    <row r="11733" spans="1:2" x14ac:dyDescent="0.25">
      <c r="A11733" s="104"/>
      <c r="B11733" s="104"/>
    </row>
    <row r="11734" spans="1:2" x14ac:dyDescent="0.25">
      <c r="A11734" s="104"/>
      <c r="B11734" s="104"/>
    </row>
    <row r="11735" spans="1:2" x14ac:dyDescent="0.25">
      <c r="A11735" s="104"/>
      <c r="B11735" s="104"/>
    </row>
    <row r="11736" spans="1:2" x14ac:dyDescent="0.25">
      <c r="A11736" s="104"/>
      <c r="B11736" s="104"/>
    </row>
    <row r="11737" spans="1:2" x14ac:dyDescent="0.25">
      <c r="A11737" s="104"/>
      <c r="B11737" s="104"/>
    </row>
    <row r="11738" spans="1:2" x14ac:dyDescent="0.25">
      <c r="A11738" s="104"/>
      <c r="B11738" s="104"/>
    </row>
    <row r="11739" spans="1:2" x14ac:dyDescent="0.25">
      <c r="A11739" s="104"/>
      <c r="B11739" s="104"/>
    </row>
    <row r="11740" spans="1:2" x14ac:dyDescent="0.25">
      <c r="A11740" s="104"/>
      <c r="B11740" s="104"/>
    </row>
    <row r="11741" spans="1:2" x14ac:dyDescent="0.25">
      <c r="A11741" s="104"/>
      <c r="B11741" s="104"/>
    </row>
    <row r="11742" spans="1:2" x14ac:dyDescent="0.25">
      <c r="A11742" s="104"/>
      <c r="B11742" s="104"/>
    </row>
    <row r="11743" spans="1:2" x14ac:dyDescent="0.25">
      <c r="A11743" s="104"/>
      <c r="B11743" s="104"/>
    </row>
    <row r="11744" spans="1:2" x14ac:dyDescent="0.25">
      <c r="A11744" s="104"/>
      <c r="B11744" s="104"/>
    </row>
    <row r="11745" spans="1:2" x14ac:dyDescent="0.25">
      <c r="A11745" s="104"/>
      <c r="B11745" s="104"/>
    </row>
    <row r="11746" spans="1:2" x14ac:dyDescent="0.25">
      <c r="A11746" s="104"/>
      <c r="B11746" s="104"/>
    </row>
    <row r="11747" spans="1:2" x14ac:dyDescent="0.25">
      <c r="A11747" s="104"/>
      <c r="B11747" s="104"/>
    </row>
    <row r="11748" spans="1:2" x14ac:dyDescent="0.25">
      <c r="A11748" s="104"/>
      <c r="B11748" s="104"/>
    </row>
    <row r="11749" spans="1:2" x14ac:dyDescent="0.25">
      <c r="A11749" s="104"/>
      <c r="B11749" s="104"/>
    </row>
    <row r="11750" spans="1:2" x14ac:dyDescent="0.25">
      <c r="A11750" s="104"/>
      <c r="B11750" s="104"/>
    </row>
    <row r="11751" spans="1:2" x14ac:dyDescent="0.25">
      <c r="A11751" s="104"/>
      <c r="B11751" s="104"/>
    </row>
    <row r="11752" spans="1:2" x14ac:dyDescent="0.25">
      <c r="A11752" s="104"/>
      <c r="B11752" s="104"/>
    </row>
    <row r="11753" spans="1:2" x14ac:dyDescent="0.25">
      <c r="A11753" s="104"/>
      <c r="B11753" s="104"/>
    </row>
    <row r="11754" spans="1:2" x14ac:dyDescent="0.25">
      <c r="A11754" s="104"/>
      <c r="B11754" s="104"/>
    </row>
    <row r="11755" spans="1:2" x14ac:dyDescent="0.25">
      <c r="A11755" s="104"/>
      <c r="B11755" s="104"/>
    </row>
    <row r="11756" spans="1:2" x14ac:dyDescent="0.25">
      <c r="A11756" s="104"/>
      <c r="B11756" s="104"/>
    </row>
    <row r="11757" spans="1:2" x14ac:dyDescent="0.25">
      <c r="A11757" s="104"/>
      <c r="B11757" s="104"/>
    </row>
    <row r="11758" spans="1:2" x14ac:dyDescent="0.25">
      <c r="A11758" s="104"/>
      <c r="B11758" s="104"/>
    </row>
    <row r="11759" spans="1:2" x14ac:dyDescent="0.25">
      <c r="A11759" s="104"/>
      <c r="B11759" s="104"/>
    </row>
    <row r="11760" spans="1:2" x14ac:dyDescent="0.25">
      <c r="A11760" s="104"/>
      <c r="B11760" s="104"/>
    </row>
    <row r="11761" spans="1:2" x14ac:dyDescent="0.25">
      <c r="A11761" s="104"/>
      <c r="B11761" s="104"/>
    </row>
    <row r="11762" spans="1:2" x14ac:dyDescent="0.25">
      <c r="A11762" s="104"/>
      <c r="B11762" s="104"/>
    </row>
    <row r="11763" spans="1:2" x14ac:dyDescent="0.25">
      <c r="A11763" s="104"/>
      <c r="B11763" s="104"/>
    </row>
    <row r="11764" spans="1:2" x14ac:dyDescent="0.25">
      <c r="A11764" s="104"/>
      <c r="B11764" s="104"/>
    </row>
    <row r="11765" spans="1:2" x14ac:dyDescent="0.25">
      <c r="A11765" s="104"/>
      <c r="B11765" s="104"/>
    </row>
    <row r="11766" spans="1:2" x14ac:dyDescent="0.25">
      <c r="A11766" s="104"/>
      <c r="B11766" s="104"/>
    </row>
    <row r="11767" spans="1:2" x14ac:dyDescent="0.25">
      <c r="A11767" s="104"/>
      <c r="B11767" s="104"/>
    </row>
    <row r="11768" spans="1:2" x14ac:dyDescent="0.25">
      <c r="A11768" s="104"/>
      <c r="B11768" s="104"/>
    </row>
    <row r="11769" spans="1:2" x14ac:dyDescent="0.25">
      <c r="A11769" s="104"/>
      <c r="B11769" s="104"/>
    </row>
    <row r="11770" spans="1:2" x14ac:dyDescent="0.25">
      <c r="A11770" s="104"/>
      <c r="B11770" s="104"/>
    </row>
    <row r="11771" spans="1:2" x14ac:dyDescent="0.25">
      <c r="A11771" s="104"/>
      <c r="B11771" s="104"/>
    </row>
    <row r="11772" spans="1:2" x14ac:dyDescent="0.25">
      <c r="A11772" s="104"/>
      <c r="B11772" s="104"/>
    </row>
    <row r="11773" spans="1:2" x14ac:dyDescent="0.25">
      <c r="A11773" s="104"/>
      <c r="B11773" s="104"/>
    </row>
    <row r="11774" spans="1:2" x14ac:dyDescent="0.25">
      <c r="A11774" s="104"/>
      <c r="B11774" s="104"/>
    </row>
    <row r="11775" spans="1:2" x14ac:dyDescent="0.25">
      <c r="A11775" s="104"/>
      <c r="B11775" s="104"/>
    </row>
    <row r="11776" spans="1:2" x14ac:dyDescent="0.25">
      <c r="A11776" s="104"/>
      <c r="B11776" s="104"/>
    </row>
    <row r="11777" spans="1:2" x14ac:dyDescent="0.25">
      <c r="A11777" s="104"/>
      <c r="B11777" s="104"/>
    </row>
    <row r="11778" spans="1:2" x14ac:dyDescent="0.25">
      <c r="A11778" s="104"/>
      <c r="B11778" s="104"/>
    </row>
    <row r="11779" spans="1:2" x14ac:dyDescent="0.25">
      <c r="A11779" s="104"/>
      <c r="B11779" s="104"/>
    </row>
    <row r="11780" spans="1:2" x14ac:dyDescent="0.25">
      <c r="A11780" s="104"/>
      <c r="B11780" s="104"/>
    </row>
    <row r="11781" spans="1:2" x14ac:dyDescent="0.25">
      <c r="A11781" s="104"/>
      <c r="B11781" s="104"/>
    </row>
    <row r="11782" spans="1:2" x14ac:dyDescent="0.25">
      <c r="A11782" s="104"/>
      <c r="B11782" s="104"/>
    </row>
    <row r="11783" spans="1:2" x14ac:dyDescent="0.25">
      <c r="A11783" s="104"/>
      <c r="B11783" s="104"/>
    </row>
    <row r="11784" spans="1:2" x14ac:dyDescent="0.25">
      <c r="A11784" s="104"/>
      <c r="B11784" s="104"/>
    </row>
    <row r="11785" spans="1:2" x14ac:dyDescent="0.25">
      <c r="A11785" s="104"/>
      <c r="B11785" s="104"/>
    </row>
    <row r="11786" spans="1:2" x14ac:dyDescent="0.25">
      <c r="A11786" s="104"/>
      <c r="B11786" s="104"/>
    </row>
    <row r="11787" spans="1:2" x14ac:dyDescent="0.25">
      <c r="A11787" s="104"/>
      <c r="B11787" s="104"/>
    </row>
    <row r="11788" spans="1:2" x14ac:dyDescent="0.25">
      <c r="A11788" s="104"/>
      <c r="B11788" s="104"/>
    </row>
    <row r="11789" spans="1:2" x14ac:dyDescent="0.25">
      <c r="A11789" s="104"/>
      <c r="B11789" s="104"/>
    </row>
    <row r="11790" spans="1:2" x14ac:dyDescent="0.25">
      <c r="A11790" s="104"/>
      <c r="B11790" s="104"/>
    </row>
    <row r="11791" spans="1:2" x14ac:dyDescent="0.25">
      <c r="A11791" s="104"/>
      <c r="B11791" s="104"/>
    </row>
    <row r="11792" spans="1:2" x14ac:dyDescent="0.25">
      <c r="A11792" s="104"/>
      <c r="B11792" s="104"/>
    </row>
    <row r="11793" spans="1:2" x14ac:dyDescent="0.25">
      <c r="A11793" s="104"/>
      <c r="B11793" s="104"/>
    </row>
    <row r="11794" spans="1:2" x14ac:dyDescent="0.25">
      <c r="A11794" s="104"/>
      <c r="B11794" s="104"/>
    </row>
    <row r="11795" spans="1:2" x14ac:dyDescent="0.25">
      <c r="A11795" s="104"/>
      <c r="B11795" s="104"/>
    </row>
    <row r="11796" spans="1:2" x14ac:dyDescent="0.25">
      <c r="A11796" s="104"/>
      <c r="B11796" s="104"/>
    </row>
    <row r="11797" spans="1:2" x14ac:dyDescent="0.25">
      <c r="A11797" s="104"/>
      <c r="B11797" s="104"/>
    </row>
    <row r="11798" spans="1:2" x14ac:dyDescent="0.25">
      <c r="A11798" s="104"/>
      <c r="B11798" s="104"/>
    </row>
    <row r="11799" spans="1:2" x14ac:dyDescent="0.25">
      <c r="A11799" s="104"/>
      <c r="B11799" s="104"/>
    </row>
    <row r="11800" spans="1:2" x14ac:dyDescent="0.25">
      <c r="A11800" s="104"/>
      <c r="B11800" s="104"/>
    </row>
    <row r="11801" spans="1:2" x14ac:dyDescent="0.25">
      <c r="A11801" s="104"/>
      <c r="B11801" s="104"/>
    </row>
    <row r="11802" spans="1:2" x14ac:dyDescent="0.25">
      <c r="A11802" s="104"/>
      <c r="B11802" s="104"/>
    </row>
    <row r="11803" spans="1:2" x14ac:dyDescent="0.25">
      <c r="A11803" s="104"/>
      <c r="B11803" s="104"/>
    </row>
    <row r="11804" spans="1:2" x14ac:dyDescent="0.25">
      <c r="A11804" s="104"/>
      <c r="B11804" s="104"/>
    </row>
    <row r="11805" spans="1:2" x14ac:dyDescent="0.25">
      <c r="A11805" s="104"/>
      <c r="B11805" s="104"/>
    </row>
    <row r="11806" spans="1:2" x14ac:dyDescent="0.25">
      <c r="A11806" s="104"/>
      <c r="B11806" s="104"/>
    </row>
    <row r="11807" spans="1:2" x14ac:dyDescent="0.25">
      <c r="A11807" s="104"/>
      <c r="B11807" s="104"/>
    </row>
    <row r="11808" spans="1:2" x14ac:dyDescent="0.25">
      <c r="A11808" s="104"/>
      <c r="B11808" s="104"/>
    </row>
    <row r="11809" spans="1:2" x14ac:dyDescent="0.25">
      <c r="A11809" s="104"/>
      <c r="B11809" s="104"/>
    </row>
    <row r="11810" spans="1:2" x14ac:dyDescent="0.25">
      <c r="A11810" s="104"/>
      <c r="B11810" s="104"/>
    </row>
    <row r="11811" spans="1:2" x14ac:dyDescent="0.25">
      <c r="A11811" s="104"/>
      <c r="B11811" s="104"/>
    </row>
    <row r="11812" spans="1:2" x14ac:dyDescent="0.25">
      <c r="A11812" s="104"/>
      <c r="B11812" s="104"/>
    </row>
    <row r="11813" spans="1:2" x14ac:dyDescent="0.25">
      <c r="A11813" s="104"/>
      <c r="B11813" s="104"/>
    </row>
    <row r="11814" spans="1:2" x14ac:dyDescent="0.25">
      <c r="A11814" s="104"/>
      <c r="B11814" s="104"/>
    </row>
    <row r="11815" spans="1:2" x14ac:dyDescent="0.25">
      <c r="A11815" s="104"/>
      <c r="B11815" s="104"/>
    </row>
    <row r="11816" spans="1:2" x14ac:dyDescent="0.25">
      <c r="A11816" s="104"/>
      <c r="B11816" s="104"/>
    </row>
    <row r="11817" spans="1:2" x14ac:dyDescent="0.25">
      <c r="A11817" s="104"/>
      <c r="B11817" s="104"/>
    </row>
    <row r="11818" spans="1:2" x14ac:dyDescent="0.25">
      <c r="A11818" s="104"/>
      <c r="B11818" s="104"/>
    </row>
    <row r="11819" spans="1:2" x14ac:dyDescent="0.25">
      <c r="A11819" s="104"/>
      <c r="B11819" s="104"/>
    </row>
    <row r="11820" spans="1:2" x14ac:dyDescent="0.25">
      <c r="A11820" s="104"/>
      <c r="B11820" s="104"/>
    </row>
    <row r="11821" spans="1:2" x14ac:dyDescent="0.25">
      <c r="A11821" s="104"/>
      <c r="B11821" s="104"/>
    </row>
    <row r="11822" spans="1:2" x14ac:dyDescent="0.25">
      <c r="A11822" s="104"/>
      <c r="B11822" s="104"/>
    </row>
    <row r="11823" spans="1:2" x14ac:dyDescent="0.25">
      <c r="A11823" s="104"/>
      <c r="B11823" s="104"/>
    </row>
    <row r="11824" spans="1:2" x14ac:dyDescent="0.25">
      <c r="A11824" s="104"/>
      <c r="B11824" s="104"/>
    </row>
    <row r="11825" spans="1:2" x14ac:dyDescent="0.25">
      <c r="A11825" s="104"/>
      <c r="B11825" s="104"/>
    </row>
    <row r="11826" spans="1:2" x14ac:dyDescent="0.25">
      <c r="A11826" s="104"/>
      <c r="B11826" s="104"/>
    </row>
    <row r="11827" spans="1:2" x14ac:dyDescent="0.25">
      <c r="A11827" s="104"/>
      <c r="B11827" s="104"/>
    </row>
    <row r="11828" spans="1:2" x14ac:dyDescent="0.25">
      <c r="A11828" s="104"/>
      <c r="B11828" s="104"/>
    </row>
    <row r="11829" spans="1:2" x14ac:dyDescent="0.25">
      <c r="A11829" s="104"/>
      <c r="B11829" s="104"/>
    </row>
    <row r="11830" spans="1:2" x14ac:dyDescent="0.25">
      <c r="A11830" s="104"/>
      <c r="B11830" s="104"/>
    </row>
    <row r="11831" spans="1:2" x14ac:dyDescent="0.25">
      <c r="A11831" s="104"/>
      <c r="B11831" s="104"/>
    </row>
    <row r="11832" spans="1:2" x14ac:dyDescent="0.25">
      <c r="A11832" s="104"/>
      <c r="B11832" s="104"/>
    </row>
    <row r="11833" spans="1:2" x14ac:dyDescent="0.25">
      <c r="A11833" s="104"/>
      <c r="B11833" s="104"/>
    </row>
    <row r="11834" spans="1:2" x14ac:dyDescent="0.25">
      <c r="A11834" s="104"/>
      <c r="B11834" s="104"/>
    </row>
    <row r="11835" spans="1:2" x14ac:dyDescent="0.25">
      <c r="A11835" s="104"/>
      <c r="B11835" s="104"/>
    </row>
    <row r="11836" spans="1:2" x14ac:dyDescent="0.25">
      <c r="A11836" s="104"/>
      <c r="B11836" s="104"/>
    </row>
    <row r="11837" spans="1:2" x14ac:dyDescent="0.25">
      <c r="A11837" s="104"/>
      <c r="B11837" s="104"/>
    </row>
    <row r="11838" spans="1:2" x14ac:dyDescent="0.25">
      <c r="A11838" s="104"/>
      <c r="B11838" s="104"/>
    </row>
    <row r="11839" spans="1:2" x14ac:dyDescent="0.25">
      <c r="A11839" s="104"/>
      <c r="B11839" s="104"/>
    </row>
    <row r="11840" spans="1:2" x14ac:dyDescent="0.25">
      <c r="A11840" s="104"/>
      <c r="B11840" s="104"/>
    </row>
    <row r="11841" spans="1:2" x14ac:dyDescent="0.25">
      <c r="A11841" s="104"/>
      <c r="B11841" s="104"/>
    </row>
    <row r="11842" spans="1:2" x14ac:dyDescent="0.25">
      <c r="A11842" s="104"/>
      <c r="B11842" s="104"/>
    </row>
    <row r="11843" spans="1:2" x14ac:dyDescent="0.25">
      <c r="A11843" s="104"/>
      <c r="B11843" s="104"/>
    </row>
    <row r="11844" spans="1:2" x14ac:dyDescent="0.25">
      <c r="A11844" s="104"/>
      <c r="B11844" s="104"/>
    </row>
    <row r="11845" spans="1:2" x14ac:dyDescent="0.25">
      <c r="A11845" s="104"/>
      <c r="B11845" s="104"/>
    </row>
    <row r="11846" spans="1:2" x14ac:dyDescent="0.25">
      <c r="A11846" s="104"/>
      <c r="B11846" s="104"/>
    </row>
    <row r="11847" spans="1:2" x14ac:dyDescent="0.25">
      <c r="A11847" s="104"/>
      <c r="B11847" s="104"/>
    </row>
    <row r="11848" spans="1:2" x14ac:dyDescent="0.25">
      <c r="A11848" s="104"/>
      <c r="B11848" s="104"/>
    </row>
    <row r="11849" spans="1:2" x14ac:dyDescent="0.25">
      <c r="A11849" s="104"/>
      <c r="B11849" s="104"/>
    </row>
    <row r="11850" spans="1:2" x14ac:dyDescent="0.25">
      <c r="A11850" s="104"/>
      <c r="B11850" s="104"/>
    </row>
    <row r="11851" spans="1:2" x14ac:dyDescent="0.25">
      <c r="A11851" s="104"/>
      <c r="B11851" s="104"/>
    </row>
    <row r="11852" spans="1:2" x14ac:dyDescent="0.25">
      <c r="A11852" s="104"/>
      <c r="B11852" s="104"/>
    </row>
    <row r="11853" spans="1:2" x14ac:dyDescent="0.25">
      <c r="A11853" s="104"/>
      <c r="B11853" s="104"/>
    </row>
    <row r="11854" spans="1:2" x14ac:dyDescent="0.25">
      <c r="A11854" s="104"/>
      <c r="B11854" s="104"/>
    </row>
    <row r="11855" spans="1:2" x14ac:dyDescent="0.25">
      <c r="A11855" s="104"/>
      <c r="B11855" s="104"/>
    </row>
    <row r="11856" spans="1:2" x14ac:dyDescent="0.25">
      <c r="A11856" s="104"/>
      <c r="B11856" s="104"/>
    </row>
    <row r="11857" spans="1:2" x14ac:dyDescent="0.25">
      <c r="A11857" s="104"/>
      <c r="B11857" s="104"/>
    </row>
    <row r="11858" spans="1:2" x14ac:dyDescent="0.25">
      <c r="A11858" s="104"/>
      <c r="B11858" s="104"/>
    </row>
    <row r="11859" spans="1:2" x14ac:dyDescent="0.25">
      <c r="A11859" s="104"/>
      <c r="B11859" s="104"/>
    </row>
    <row r="11860" spans="1:2" x14ac:dyDescent="0.25">
      <c r="A11860" s="104"/>
      <c r="B11860" s="104"/>
    </row>
    <row r="11861" spans="1:2" x14ac:dyDescent="0.25">
      <c r="A11861" s="104"/>
      <c r="B11861" s="104"/>
    </row>
    <row r="11862" spans="1:2" x14ac:dyDescent="0.25">
      <c r="A11862" s="104"/>
      <c r="B11862" s="104"/>
    </row>
    <row r="11863" spans="1:2" x14ac:dyDescent="0.25">
      <c r="A11863" s="104"/>
      <c r="B11863" s="104"/>
    </row>
    <row r="11864" spans="1:2" x14ac:dyDescent="0.25">
      <c r="A11864" s="104"/>
      <c r="B11864" s="104"/>
    </row>
    <row r="11865" spans="1:2" x14ac:dyDescent="0.25">
      <c r="A11865" s="104"/>
      <c r="B11865" s="104"/>
    </row>
    <row r="11866" spans="1:2" x14ac:dyDescent="0.25">
      <c r="A11866" s="104"/>
      <c r="B11866" s="104"/>
    </row>
    <row r="11867" spans="1:2" x14ac:dyDescent="0.25">
      <c r="A11867" s="104"/>
      <c r="B11867" s="104"/>
    </row>
    <row r="11868" spans="1:2" x14ac:dyDescent="0.25">
      <c r="A11868" s="104"/>
      <c r="B11868" s="104"/>
    </row>
    <row r="11869" spans="1:2" x14ac:dyDescent="0.25">
      <c r="A11869" s="104"/>
      <c r="B11869" s="104"/>
    </row>
    <row r="11870" spans="1:2" x14ac:dyDescent="0.25">
      <c r="A11870" s="104"/>
      <c r="B11870" s="104"/>
    </row>
    <row r="11871" spans="1:2" x14ac:dyDescent="0.25">
      <c r="A11871" s="104"/>
      <c r="B11871" s="104"/>
    </row>
    <row r="11872" spans="1:2" x14ac:dyDescent="0.25">
      <c r="A11872" s="104"/>
      <c r="B11872" s="104"/>
    </row>
    <row r="11873" spans="1:2" x14ac:dyDescent="0.25">
      <c r="A11873" s="104"/>
      <c r="B11873" s="104"/>
    </row>
    <row r="11874" spans="1:2" x14ac:dyDescent="0.25">
      <c r="A11874" s="104"/>
      <c r="B11874" s="104"/>
    </row>
    <row r="11875" spans="1:2" x14ac:dyDescent="0.25">
      <c r="A11875" s="104"/>
      <c r="B11875" s="104"/>
    </row>
    <row r="11876" spans="1:2" x14ac:dyDescent="0.25">
      <c r="A11876" s="104"/>
      <c r="B11876" s="104"/>
    </row>
    <row r="11877" spans="1:2" x14ac:dyDescent="0.25">
      <c r="A11877" s="104"/>
      <c r="B11877" s="104"/>
    </row>
    <row r="11878" spans="1:2" x14ac:dyDescent="0.25">
      <c r="A11878" s="104"/>
      <c r="B11878" s="104"/>
    </row>
    <row r="11879" spans="1:2" x14ac:dyDescent="0.25">
      <c r="A11879" s="104"/>
      <c r="B11879" s="104"/>
    </row>
    <row r="11880" spans="1:2" x14ac:dyDescent="0.25">
      <c r="A11880" s="104"/>
      <c r="B11880" s="104"/>
    </row>
    <row r="11881" spans="1:2" x14ac:dyDescent="0.25">
      <c r="A11881" s="104"/>
      <c r="B11881" s="104"/>
    </row>
    <row r="11882" spans="1:2" x14ac:dyDescent="0.25">
      <c r="A11882" s="104"/>
      <c r="B11882" s="104"/>
    </row>
    <row r="11883" spans="1:2" x14ac:dyDescent="0.25">
      <c r="A11883" s="104"/>
      <c r="B11883" s="104"/>
    </row>
    <row r="11884" spans="1:2" x14ac:dyDescent="0.25">
      <c r="A11884" s="104"/>
      <c r="B11884" s="104"/>
    </row>
    <row r="11885" spans="1:2" x14ac:dyDescent="0.25">
      <c r="A11885" s="104"/>
      <c r="B11885" s="104"/>
    </row>
    <row r="11886" spans="1:2" x14ac:dyDescent="0.25">
      <c r="A11886" s="104"/>
      <c r="B11886" s="104"/>
    </row>
    <row r="11887" spans="1:2" x14ac:dyDescent="0.25">
      <c r="A11887" s="104"/>
      <c r="B11887" s="104"/>
    </row>
    <row r="11888" spans="1:2" x14ac:dyDescent="0.25">
      <c r="A11888" s="104"/>
      <c r="B11888" s="104"/>
    </row>
    <row r="11889" spans="1:2" x14ac:dyDescent="0.25">
      <c r="A11889" s="104"/>
      <c r="B11889" s="104"/>
    </row>
    <row r="11890" spans="1:2" x14ac:dyDescent="0.25">
      <c r="A11890" s="104"/>
      <c r="B11890" s="104"/>
    </row>
    <row r="11891" spans="1:2" x14ac:dyDescent="0.25">
      <c r="A11891" s="104"/>
      <c r="B11891" s="104"/>
    </row>
    <row r="11892" spans="1:2" x14ac:dyDescent="0.25">
      <c r="A11892" s="104"/>
      <c r="B11892" s="104"/>
    </row>
    <row r="11893" spans="1:2" x14ac:dyDescent="0.25">
      <c r="A11893" s="104"/>
      <c r="B11893" s="104"/>
    </row>
    <row r="11894" spans="1:2" x14ac:dyDescent="0.25">
      <c r="A11894" s="104"/>
      <c r="B11894" s="104"/>
    </row>
    <row r="11895" spans="1:2" x14ac:dyDescent="0.25">
      <c r="A11895" s="104"/>
      <c r="B11895" s="104"/>
    </row>
    <row r="11896" spans="1:2" x14ac:dyDescent="0.25">
      <c r="A11896" s="104"/>
      <c r="B11896" s="104"/>
    </row>
    <row r="11897" spans="1:2" x14ac:dyDescent="0.25">
      <c r="A11897" s="104"/>
      <c r="B11897" s="104"/>
    </row>
    <row r="11898" spans="1:2" x14ac:dyDescent="0.25">
      <c r="A11898" s="104"/>
      <c r="B11898" s="104"/>
    </row>
    <row r="11899" spans="1:2" x14ac:dyDescent="0.25">
      <c r="A11899" s="104"/>
      <c r="B11899" s="104"/>
    </row>
    <row r="11900" spans="1:2" x14ac:dyDescent="0.25">
      <c r="A11900" s="104"/>
      <c r="B11900" s="104"/>
    </row>
    <row r="11901" spans="1:2" x14ac:dyDescent="0.25">
      <c r="A11901" s="104"/>
      <c r="B11901" s="104"/>
    </row>
    <row r="11902" spans="1:2" x14ac:dyDescent="0.25">
      <c r="A11902" s="104"/>
      <c r="B11902" s="104"/>
    </row>
    <row r="11903" spans="1:2" x14ac:dyDescent="0.25">
      <c r="A11903" s="104"/>
      <c r="B11903" s="104"/>
    </row>
    <row r="11904" spans="1:2" x14ac:dyDescent="0.25">
      <c r="A11904" s="104"/>
      <c r="B11904" s="104"/>
    </row>
    <row r="11905" spans="1:2" x14ac:dyDescent="0.25">
      <c r="A11905" s="104"/>
      <c r="B11905" s="104"/>
    </row>
    <row r="11906" spans="1:2" x14ac:dyDescent="0.25">
      <c r="A11906" s="104"/>
      <c r="B11906" s="104"/>
    </row>
    <row r="11907" spans="1:2" x14ac:dyDescent="0.25">
      <c r="A11907" s="104"/>
      <c r="B11907" s="104"/>
    </row>
    <row r="11908" spans="1:2" x14ac:dyDescent="0.25">
      <c r="A11908" s="104"/>
      <c r="B11908" s="104"/>
    </row>
    <row r="11909" spans="1:2" x14ac:dyDescent="0.25">
      <c r="A11909" s="104"/>
      <c r="B11909" s="104"/>
    </row>
    <row r="11910" spans="1:2" x14ac:dyDescent="0.25">
      <c r="A11910" s="104"/>
      <c r="B11910" s="104"/>
    </row>
    <row r="11911" spans="1:2" x14ac:dyDescent="0.25">
      <c r="A11911" s="104"/>
      <c r="B11911" s="104"/>
    </row>
    <row r="11912" spans="1:2" x14ac:dyDescent="0.25">
      <c r="A11912" s="104"/>
      <c r="B11912" s="104"/>
    </row>
    <row r="11913" spans="1:2" x14ac:dyDescent="0.25">
      <c r="A11913" s="104"/>
      <c r="B11913" s="104"/>
    </row>
    <row r="11914" spans="1:2" x14ac:dyDescent="0.25">
      <c r="A11914" s="104"/>
      <c r="B11914" s="104"/>
    </row>
    <row r="11915" spans="1:2" x14ac:dyDescent="0.25">
      <c r="A11915" s="104"/>
      <c r="B11915" s="104"/>
    </row>
    <row r="11916" spans="1:2" x14ac:dyDescent="0.25">
      <c r="A11916" s="104"/>
      <c r="B11916" s="104"/>
    </row>
    <row r="11917" spans="1:2" x14ac:dyDescent="0.25">
      <c r="A11917" s="104"/>
      <c r="B11917" s="104"/>
    </row>
    <row r="11918" spans="1:2" x14ac:dyDescent="0.25">
      <c r="A11918" s="104"/>
      <c r="B11918" s="104"/>
    </row>
    <row r="11919" spans="1:2" x14ac:dyDescent="0.25">
      <c r="A11919" s="104"/>
      <c r="B11919" s="104"/>
    </row>
    <row r="11920" spans="1:2" x14ac:dyDescent="0.25">
      <c r="A11920" s="104"/>
      <c r="B11920" s="104"/>
    </row>
    <row r="11921" spans="1:2" x14ac:dyDescent="0.25">
      <c r="A11921" s="104"/>
      <c r="B11921" s="104"/>
    </row>
    <row r="11922" spans="1:2" x14ac:dyDescent="0.25">
      <c r="A11922" s="104"/>
      <c r="B11922" s="104"/>
    </row>
    <row r="11923" spans="1:2" x14ac:dyDescent="0.25">
      <c r="A11923" s="104"/>
      <c r="B11923" s="104"/>
    </row>
    <row r="11924" spans="1:2" x14ac:dyDescent="0.25">
      <c r="A11924" s="104"/>
      <c r="B11924" s="104"/>
    </row>
    <row r="11925" spans="1:2" x14ac:dyDescent="0.25">
      <c r="A11925" s="104"/>
      <c r="B11925" s="104"/>
    </row>
    <row r="11926" spans="1:2" x14ac:dyDescent="0.25">
      <c r="A11926" s="104"/>
      <c r="B11926" s="104"/>
    </row>
    <row r="11927" spans="1:2" x14ac:dyDescent="0.25">
      <c r="A11927" s="104"/>
      <c r="B11927" s="104"/>
    </row>
    <row r="11928" spans="1:2" x14ac:dyDescent="0.25">
      <c r="A11928" s="104"/>
      <c r="B11928" s="104"/>
    </row>
    <row r="11929" spans="1:2" x14ac:dyDescent="0.25">
      <c r="A11929" s="104"/>
      <c r="B11929" s="104"/>
    </row>
    <row r="11930" spans="1:2" x14ac:dyDescent="0.25">
      <c r="A11930" s="104"/>
      <c r="B11930" s="104"/>
    </row>
    <row r="11931" spans="1:2" x14ac:dyDescent="0.25">
      <c r="A11931" s="104"/>
      <c r="B11931" s="104"/>
    </row>
    <row r="11932" spans="1:2" x14ac:dyDescent="0.25">
      <c r="A11932" s="104"/>
      <c r="B11932" s="104"/>
    </row>
    <row r="11933" spans="1:2" x14ac:dyDescent="0.25">
      <c r="A11933" s="104"/>
      <c r="B11933" s="104"/>
    </row>
    <row r="11934" spans="1:2" x14ac:dyDescent="0.25">
      <c r="A11934" s="104"/>
      <c r="B11934" s="104"/>
    </row>
    <row r="11935" spans="1:2" x14ac:dyDescent="0.25">
      <c r="A11935" s="104"/>
      <c r="B11935" s="104"/>
    </row>
    <row r="11936" spans="1:2" x14ac:dyDescent="0.25">
      <c r="A11936" s="104"/>
      <c r="B11936" s="104"/>
    </row>
    <row r="11937" spans="1:2" x14ac:dyDescent="0.25">
      <c r="A11937" s="104"/>
      <c r="B11937" s="104"/>
    </row>
    <row r="11938" spans="1:2" x14ac:dyDescent="0.25">
      <c r="A11938" s="104"/>
      <c r="B11938" s="104"/>
    </row>
    <row r="11939" spans="1:2" x14ac:dyDescent="0.25">
      <c r="A11939" s="104"/>
      <c r="B11939" s="104"/>
    </row>
    <row r="11940" spans="1:2" x14ac:dyDescent="0.25">
      <c r="A11940" s="104"/>
      <c r="B11940" s="104"/>
    </row>
    <row r="11941" spans="1:2" x14ac:dyDescent="0.25">
      <c r="A11941" s="104"/>
      <c r="B11941" s="104"/>
    </row>
    <row r="11942" spans="1:2" x14ac:dyDescent="0.25">
      <c r="A11942" s="104"/>
      <c r="B11942" s="104"/>
    </row>
    <row r="11943" spans="1:2" x14ac:dyDescent="0.25">
      <c r="A11943" s="104"/>
      <c r="B11943" s="104"/>
    </row>
    <row r="11944" spans="1:2" x14ac:dyDescent="0.25">
      <c r="A11944" s="104"/>
      <c r="B11944" s="104"/>
    </row>
    <row r="11945" spans="1:2" x14ac:dyDescent="0.25">
      <c r="A11945" s="104"/>
      <c r="B11945" s="104"/>
    </row>
    <row r="11946" spans="1:2" x14ac:dyDescent="0.25">
      <c r="A11946" s="104"/>
      <c r="B11946" s="104"/>
    </row>
    <row r="11947" spans="1:2" x14ac:dyDescent="0.25">
      <c r="A11947" s="104"/>
      <c r="B11947" s="104"/>
    </row>
    <row r="11948" spans="1:2" x14ac:dyDescent="0.25">
      <c r="A11948" s="104"/>
      <c r="B11948" s="104"/>
    </row>
    <row r="11949" spans="1:2" x14ac:dyDescent="0.25">
      <c r="A11949" s="104"/>
      <c r="B11949" s="104"/>
    </row>
    <row r="11950" spans="1:2" x14ac:dyDescent="0.25">
      <c r="A11950" s="104"/>
      <c r="B11950" s="104"/>
    </row>
    <row r="11951" spans="1:2" x14ac:dyDescent="0.25">
      <c r="A11951" s="104"/>
      <c r="B11951" s="104"/>
    </row>
    <row r="11952" spans="1:2" x14ac:dyDescent="0.25">
      <c r="A11952" s="104"/>
      <c r="B11952" s="104"/>
    </row>
    <row r="11953" spans="1:2" x14ac:dyDescent="0.25">
      <c r="A11953" s="104"/>
      <c r="B11953" s="104"/>
    </row>
    <row r="11954" spans="1:2" x14ac:dyDescent="0.25">
      <c r="A11954" s="104"/>
      <c r="B11954" s="104"/>
    </row>
    <row r="11955" spans="1:2" x14ac:dyDescent="0.25">
      <c r="A11955" s="104"/>
      <c r="B11955" s="104"/>
    </row>
    <row r="11956" spans="1:2" x14ac:dyDescent="0.25">
      <c r="A11956" s="104"/>
      <c r="B11956" s="104"/>
    </row>
    <row r="11957" spans="1:2" x14ac:dyDescent="0.25">
      <c r="A11957" s="104"/>
      <c r="B11957" s="104"/>
    </row>
    <row r="11958" spans="1:2" x14ac:dyDescent="0.25">
      <c r="A11958" s="104"/>
      <c r="B11958" s="104"/>
    </row>
    <row r="11959" spans="1:2" x14ac:dyDescent="0.25">
      <c r="A11959" s="104"/>
      <c r="B11959" s="104"/>
    </row>
    <row r="11960" spans="1:2" x14ac:dyDescent="0.25">
      <c r="A11960" s="104"/>
      <c r="B11960" s="104"/>
    </row>
    <row r="11961" spans="1:2" x14ac:dyDescent="0.25">
      <c r="A11961" s="104"/>
      <c r="B11961" s="104"/>
    </row>
    <row r="11962" spans="1:2" x14ac:dyDescent="0.25">
      <c r="A11962" s="104"/>
      <c r="B11962" s="104"/>
    </row>
    <row r="11963" spans="1:2" x14ac:dyDescent="0.25">
      <c r="A11963" s="104"/>
      <c r="B11963" s="104"/>
    </row>
    <row r="11964" spans="1:2" x14ac:dyDescent="0.25">
      <c r="A11964" s="104"/>
      <c r="B11964" s="104"/>
    </row>
    <row r="11965" spans="1:2" x14ac:dyDescent="0.25">
      <c r="A11965" s="104"/>
      <c r="B11965" s="104"/>
    </row>
    <row r="11966" spans="1:2" x14ac:dyDescent="0.25">
      <c r="A11966" s="104"/>
      <c r="B11966" s="104"/>
    </row>
    <row r="11967" spans="1:2" x14ac:dyDescent="0.25">
      <c r="A11967" s="104"/>
      <c r="B11967" s="104"/>
    </row>
    <row r="11968" spans="1:2" x14ac:dyDescent="0.25">
      <c r="A11968" s="104"/>
      <c r="B11968" s="104"/>
    </row>
    <row r="11969" spans="1:2" x14ac:dyDescent="0.25">
      <c r="A11969" s="104"/>
      <c r="B11969" s="104"/>
    </row>
    <row r="11970" spans="1:2" x14ac:dyDescent="0.25">
      <c r="A11970" s="104"/>
      <c r="B11970" s="104"/>
    </row>
    <row r="11971" spans="1:2" x14ac:dyDescent="0.25">
      <c r="A11971" s="104"/>
      <c r="B11971" s="104"/>
    </row>
    <row r="11972" spans="1:2" x14ac:dyDescent="0.25">
      <c r="A11972" s="104"/>
      <c r="B11972" s="104"/>
    </row>
    <row r="11973" spans="1:2" x14ac:dyDescent="0.25">
      <c r="A11973" s="104"/>
      <c r="B11973" s="104"/>
    </row>
    <row r="11974" spans="1:2" x14ac:dyDescent="0.25">
      <c r="A11974" s="104"/>
      <c r="B11974" s="104"/>
    </row>
    <row r="11975" spans="1:2" x14ac:dyDescent="0.25">
      <c r="A11975" s="104"/>
      <c r="B11975" s="104"/>
    </row>
    <row r="11976" spans="1:2" x14ac:dyDescent="0.25">
      <c r="A11976" s="104"/>
      <c r="B11976" s="104"/>
    </row>
    <row r="11977" spans="1:2" x14ac:dyDescent="0.25">
      <c r="A11977" s="104"/>
      <c r="B11977" s="104"/>
    </row>
    <row r="11978" spans="1:2" x14ac:dyDescent="0.25">
      <c r="A11978" s="104"/>
      <c r="B11978" s="104"/>
    </row>
    <row r="11979" spans="1:2" x14ac:dyDescent="0.25">
      <c r="A11979" s="104"/>
      <c r="B11979" s="104"/>
    </row>
    <row r="11980" spans="1:2" x14ac:dyDescent="0.25">
      <c r="A11980" s="104"/>
      <c r="B11980" s="104"/>
    </row>
    <row r="11981" spans="1:2" x14ac:dyDescent="0.25">
      <c r="A11981" s="104"/>
      <c r="B11981" s="104"/>
    </row>
    <row r="11982" spans="1:2" x14ac:dyDescent="0.25">
      <c r="A11982" s="104"/>
      <c r="B11982" s="104"/>
    </row>
    <row r="11983" spans="1:2" x14ac:dyDescent="0.25">
      <c r="A11983" s="104"/>
      <c r="B11983" s="104"/>
    </row>
    <row r="11984" spans="1:2" x14ac:dyDescent="0.25">
      <c r="A11984" s="104"/>
      <c r="B11984" s="104"/>
    </row>
    <row r="11985" spans="1:2" x14ac:dyDescent="0.25">
      <c r="A11985" s="104"/>
      <c r="B11985" s="104"/>
    </row>
    <row r="11986" spans="1:2" x14ac:dyDescent="0.25">
      <c r="A11986" s="104"/>
      <c r="B11986" s="104"/>
    </row>
    <row r="11987" spans="1:2" x14ac:dyDescent="0.25">
      <c r="A11987" s="104"/>
      <c r="B11987" s="104"/>
    </row>
    <row r="11988" spans="1:2" x14ac:dyDescent="0.25">
      <c r="A11988" s="104"/>
      <c r="B11988" s="104"/>
    </row>
    <row r="11989" spans="1:2" x14ac:dyDescent="0.25">
      <c r="A11989" s="104"/>
      <c r="B11989" s="104"/>
    </row>
    <row r="11990" spans="1:2" x14ac:dyDescent="0.25">
      <c r="A11990" s="104"/>
      <c r="B11990" s="104"/>
    </row>
    <row r="11991" spans="1:2" x14ac:dyDescent="0.25">
      <c r="A11991" s="104"/>
      <c r="B11991" s="104"/>
    </row>
    <row r="11992" spans="1:2" x14ac:dyDescent="0.25">
      <c r="A11992" s="104"/>
      <c r="B11992" s="104"/>
    </row>
    <row r="11993" spans="1:2" x14ac:dyDescent="0.25">
      <c r="A11993" s="104"/>
      <c r="B11993" s="104"/>
    </row>
    <row r="11994" spans="1:2" x14ac:dyDescent="0.25">
      <c r="A11994" s="104"/>
      <c r="B11994" s="104"/>
    </row>
    <row r="11995" spans="1:2" x14ac:dyDescent="0.25">
      <c r="A11995" s="104"/>
      <c r="B11995" s="104"/>
    </row>
    <row r="11996" spans="1:2" x14ac:dyDescent="0.25">
      <c r="A11996" s="104"/>
      <c r="B11996" s="104"/>
    </row>
    <row r="11997" spans="1:2" x14ac:dyDescent="0.25">
      <c r="A11997" s="104"/>
      <c r="B11997" s="104"/>
    </row>
    <row r="11998" spans="1:2" x14ac:dyDescent="0.25">
      <c r="A11998" s="104"/>
      <c r="B11998" s="104"/>
    </row>
    <row r="11999" spans="1:2" x14ac:dyDescent="0.25">
      <c r="A11999" s="104"/>
      <c r="B11999" s="104"/>
    </row>
    <row r="12000" spans="1:2" x14ac:dyDescent="0.25">
      <c r="A12000" s="104"/>
      <c r="B12000" s="104"/>
    </row>
    <row r="12001" spans="1:2" x14ac:dyDescent="0.25">
      <c r="A12001" s="104"/>
      <c r="B12001" s="104"/>
    </row>
    <row r="12002" spans="1:2" x14ac:dyDescent="0.25">
      <c r="A12002" s="104"/>
      <c r="B12002" s="104"/>
    </row>
    <row r="12003" spans="1:2" x14ac:dyDescent="0.25">
      <c r="A12003" s="104"/>
      <c r="B12003" s="104"/>
    </row>
    <row r="12004" spans="1:2" x14ac:dyDescent="0.25">
      <c r="A12004" s="104"/>
      <c r="B12004" s="104"/>
    </row>
    <row r="12005" spans="1:2" x14ac:dyDescent="0.25">
      <c r="A12005" s="104"/>
      <c r="B12005" s="104"/>
    </row>
    <row r="12006" spans="1:2" x14ac:dyDescent="0.25">
      <c r="A12006" s="104"/>
      <c r="B12006" s="104"/>
    </row>
    <row r="12007" spans="1:2" x14ac:dyDescent="0.25">
      <c r="A12007" s="104"/>
      <c r="B12007" s="104"/>
    </row>
    <row r="12008" spans="1:2" x14ac:dyDescent="0.25">
      <c r="A12008" s="104"/>
      <c r="B12008" s="104"/>
    </row>
    <row r="12009" spans="1:2" x14ac:dyDescent="0.25">
      <c r="A12009" s="104"/>
      <c r="B12009" s="104"/>
    </row>
    <row r="12010" spans="1:2" x14ac:dyDescent="0.25">
      <c r="A12010" s="104"/>
      <c r="B12010" s="104"/>
    </row>
    <row r="12011" spans="1:2" x14ac:dyDescent="0.25">
      <c r="A12011" s="104"/>
      <c r="B12011" s="104"/>
    </row>
    <row r="12012" spans="1:2" x14ac:dyDescent="0.25">
      <c r="A12012" s="104"/>
      <c r="B12012" s="104"/>
    </row>
    <row r="12013" spans="1:2" x14ac:dyDescent="0.25">
      <c r="A12013" s="104"/>
      <c r="B12013" s="104"/>
    </row>
    <row r="12014" spans="1:2" x14ac:dyDescent="0.25">
      <c r="A12014" s="104"/>
      <c r="B12014" s="104"/>
    </row>
    <row r="12015" spans="1:2" x14ac:dyDescent="0.25">
      <c r="A12015" s="104"/>
      <c r="B12015" s="104"/>
    </row>
    <row r="12016" spans="1:2" x14ac:dyDescent="0.25">
      <c r="A12016" s="104"/>
      <c r="B12016" s="104"/>
    </row>
    <row r="12017" spans="1:2" x14ac:dyDescent="0.25">
      <c r="A12017" s="104"/>
      <c r="B12017" s="104"/>
    </row>
    <row r="12018" spans="1:2" x14ac:dyDescent="0.25">
      <c r="A12018" s="104"/>
      <c r="B12018" s="104"/>
    </row>
    <row r="12019" spans="1:2" x14ac:dyDescent="0.25">
      <c r="A12019" s="104"/>
      <c r="B12019" s="104"/>
    </row>
    <row r="12020" spans="1:2" x14ac:dyDescent="0.25">
      <c r="A12020" s="104"/>
      <c r="B12020" s="104"/>
    </row>
    <row r="12021" spans="1:2" x14ac:dyDescent="0.25">
      <c r="A12021" s="104"/>
      <c r="B12021" s="104"/>
    </row>
    <row r="12022" spans="1:2" x14ac:dyDescent="0.25">
      <c r="A12022" s="104"/>
      <c r="B12022" s="104"/>
    </row>
    <row r="12023" spans="1:2" x14ac:dyDescent="0.25">
      <c r="A12023" s="104"/>
      <c r="B12023" s="104"/>
    </row>
    <row r="12024" spans="1:2" x14ac:dyDescent="0.25">
      <c r="A12024" s="104"/>
      <c r="B12024" s="104"/>
    </row>
    <row r="12025" spans="1:2" x14ac:dyDescent="0.25">
      <c r="A12025" s="104"/>
      <c r="B12025" s="104"/>
    </row>
    <row r="12026" spans="1:2" x14ac:dyDescent="0.25">
      <c r="A12026" s="104"/>
      <c r="B12026" s="104"/>
    </row>
    <row r="12027" spans="1:2" x14ac:dyDescent="0.25">
      <c r="A12027" s="104"/>
      <c r="B12027" s="104"/>
    </row>
    <row r="12028" spans="1:2" x14ac:dyDescent="0.25">
      <c r="A12028" s="104"/>
      <c r="B12028" s="104"/>
    </row>
    <row r="12029" spans="1:2" x14ac:dyDescent="0.25">
      <c r="A12029" s="104"/>
      <c r="B12029" s="104"/>
    </row>
    <row r="12030" spans="1:2" x14ac:dyDescent="0.25">
      <c r="A12030" s="104"/>
      <c r="B12030" s="104"/>
    </row>
    <row r="12031" spans="1:2" x14ac:dyDescent="0.25">
      <c r="A12031" s="104"/>
      <c r="B12031" s="104"/>
    </row>
    <row r="12032" spans="1:2" x14ac:dyDescent="0.25">
      <c r="A12032" s="104"/>
      <c r="B12032" s="104"/>
    </row>
    <row r="12033" spans="1:2" x14ac:dyDescent="0.25">
      <c r="A12033" s="104"/>
      <c r="B12033" s="104"/>
    </row>
    <row r="12034" spans="1:2" x14ac:dyDescent="0.25">
      <c r="A12034" s="104"/>
      <c r="B12034" s="104"/>
    </row>
    <row r="12035" spans="1:2" x14ac:dyDescent="0.25">
      <c r="A12035" s="104"/>
      <c r="B12035" s="104"/>
    </row>
    <row r="12036" spans="1:2" x14ac:dyDescent="0.25">
      <c r="A12036" s="104"/>
      <c r="B12036" s="104"/>
    </row>
    <row r="12037" spans="1:2" x14ac:dyDescent="0.25">
      <c r="A12037" s="104"/>
      <c r="B12037" s="104"/>
    </row>
    <row r="12038" spans="1:2" x14ac:dyDescent="0.25">
      <c r="A12038" s="104"/>
      <c r="B12038" s="104"/>
    </row>
    <row r="12039" spans="1:2" x14ac:dyDescent="0.25">
      <c r="A12039" s="104"/>
      <c r="B12039" s="104"/>
    </row>
    <row r="12040" spans="1:2" x14ac:dyDescent="0.25">
      <c r="A12040" s="104"/>
      <c r="B12040" s="104"/>
    </row>
    <row r="12041" spans="1:2" x14ac:dyDescent="0.25">
      <c r="A12041" s="104"/>
      <c r="B12041" s="104"/>
    </row>
    <row r="12042" spans="1:2" x14ac:dyDescent="0.25">
      <c r="A12042" s="104"/>
      <c r="B12042" s="104"/>
    </row>
    <row r="12043" spans="1:2" x14ac:dyDescent="0.25">
      <c r="A12043" s="104"/>
      <c r="B12043" s="104"/>
    </row>
    <row r="12044" spans="1:2" x14ac:dyDescent="0.25">
      <c r="A12044" s="104"/>
      <c r="B12044" s="104"/>
    </row>
    <row r="12045" spans="1:2" x14ac:dyDescent="0.25">
      <c r="A12045" s="104"/>
      <c r="B12045" s="104"/>
    </row>
    <row r="12046" spans="1:2" x14ac:dyDescent="0.25">
      <c r="A12046" s="104"/>
      <c r="B12046" s="104"/>
    </row>
    <row r="12047" spans="1:2" x14ac:dyDescent="0.25">
      <c r="A12047" s="104"/>
      <c r="B12047" s="104"/>
    </row>
    <row r="12048" spans="1:2" x14ac:dyDescent="0.25">
      <c r="A12048" s="104"/>
      <c r="B12048" s="104"/>
    </row>
    <row r="12049" spans="1:2" x14ac:dyDescent="0.25">
      <c r="A12049" s="104"/>
      <c r="B12049" s="104"/>
    </row>
    <row r="12050" spans="1:2" x14ac:dyDescent="0.25">
      <c r="A12050" s="104"/>
      <c r="B12050" s="104"/>
    </row>
    <row r="12051" spans="1:2" x14ac:dyDescent="0.25">
      <c r="A12051" s="104"/>
      <c r="B12051" s="104"/>
    </row>
    <row r="12052" spans="1:2" x14ac:dyDescent="0.25">
      <c r="A12052" s="104"/>
      <c r="B12052" s="104"/>
    </row>
    <row r="12053" spans="1:2" x14ac:dyDescent="0.25">
      <c r="A12053" s="104"/>
      <c r="B12053" s="104"/>
    </row>
    <row r="12054" spans="1:2" x14ac:dyDescent="0.25">
      <c r="A12054" s="104"/>
      <c r="B12054" s="104"/>
    </row>
    <row r="12055" spans="1:2" x14ac:dyDescent="0.25">
      <c r="A12055" s="104"/>
      <c r="B12055" s="104"/>
    </row>
    <row r="12056" spans="1:2" x14ac:dyDescent="0.25">
      <c r="A12056" s="104"/>
      <c r="B12056" s="104"/>
    </row>
    <row r="12057" spans="1:2" x14ac:dyDescent="0.25">
      <c r="A12057" s="104"/>
      <c r="B12057" s="104"/>
    </row>
    <row r="12058" spans="1:2" x14ac:dyDescent="0.25">
      <c r="A12058" s="104"/>
      <c r="B12058" s="104"/>
    </row>
    <row r="12059" spans="1:2" x14ac:dyDescent="0.25">
      <c r="A12059" s="104"/>
      <c r="B12059" s="104"/>
    </row>
    <row r="12060" spans="1:2" x14ac:dyDescent="0.25">
      <c r="A12060" s="104"/>
      <c r="B12060" s="104"/>
    </row>
    <row r="12061" spans="1:2" x14ac:dyDescent="0.25">
      <c r="A12061" s="104"/>
      <c r="B12061" s="104"/>
    </row>
    <row r="12062" spans="1:2" x14ac:dyDescent="0.25">
      <c r="A12062" s="104"/>
      <c r="B12062" s="104"/>
    </row>
    <row r="12063" spans="1:2" x14ac:dyDescent="0.25">
      <c r="A12063" s="104"/>
      <c r="B12063" s="104"/>
    </row>
    <row r="12064" spans="1:2" x14ac:dyDescent="0.25">
      <c r="A12064" s="104"/>
      <c r="B12064" s="104"/>
    </row>
    <row r="12065" spans="1:2" x14ac:dyDescent="0.25">
      <c r="A12065" s="104"/>
      <c r="B12065" s="104"/>
    </row>
    <row r="12066" spans="1:2" x14ac:dyDescent="0.25">
      <c r="A12066" s="104"/>
      <c r="B12066" s="104"/>
    </row>
    <row r="12067" spans="1:2" x14ac:dyDescent="0.25">
      <c r="A12067" s="104"/>
      <c r="B12067" s="104"/>
    </row>
    <row r="12068" spans="1:2" x14ac:dyDescent="0.25">
      <c r="A12068" s="104"/>
      <c r="B12068" s="104"/>
    </row>
    <row r="12069" spans="1:2" x14ac:dyDescent="0.25">
      <c r="A12069" s="104"/>
      <c r="B12069" s="104"/>
    </row>
    <row r="12070" spans="1:2" x14ac:dyDescent="0.25">
      <c r="A12070" s="104"/>
      <c r="B12070" s="104"/>
    </row>
    <row r="12071" spans="1:2" x14ac:dyDescent="0.25">
      <c r="A12071" s="104"/>
      <c r="B12071" s="104"/>
    </row>
    <row r="12072" spans="1:2" x14ac:dyDescent="0.25">
      <c r="A12072" s="104"/>
      <c r="B12072" s="104"/>
    </row>
    <row r="12073" spans="1:2" x14ac:dyDescent="0.25">
      <c r="A12073" s="104"/>
      <c r="B12073" s="104"/>
    </row>
    <row r="12074" spans="1:2" x14ac:dyDescent="0.25">
      <c r="A12074" s="104"/>
      <c r="B12074" s="104"/>
    </row>
    <row r="12075" spans="1:2" x14ac:dyDescent="0.25">
      <c r="A12075" s="104"/>
      <c r="B12075" s="104"/>
    </row>
    <row r="12076" spans="1:2" x14ac:dyDescent="0.25">
      <c r="A12076" s="104"/>
      <c r="B12076" s="104"/>
    </row>
    <row r="12077" spans="1:2" x14ac:dyDescent="0.25">
      <c r="A12077" s="104"/>
      <c r="B12077" s="104"/>
    </row>
    <row r="12078" spans="1:2" x14ac:dyDescent="0.25">
      <c r="A12078" s="104"/>
      <c r="B12078" s="104"/>
    </row>
    <row r="12079" spans="1:2" x14ac:dyDescent="0.25">
      <c r="A12079" s="104"/>
      <c r="B12079" s="104"/>
    </row>
    <row r="12080" spans="1:2" x14ac:dyDescent="0.25">
      <c r="A12080" s="104"/>
      <c r="B12080" s="104"/>
    </row>
    <row r="12081" spans="1:2" x14ac:dyDescent="0.25">
      <c r="A12081" s="104"/>
      <c r="B12081" s="104"/>
    </row>
    <row r="12082" spans="1:2" x14ac:dyDescent="0.25">
      <c r="A12082" s="104"/>
      <c r="B12082" s="104"/>
    </row>
    <row r="12083" spans="1:2" x14ac:dyDescent="0.25">
      <c r="A12083" s="104"/>
      <c r="B12083" s="104"/>
    </row>
    <row r="12084" spans="1:2" x14ac:dyDescent="0.25">
      <c r="A12084" s="104"/>
      <c r="B12084" s="104"/>
    </row>
    <row r="12085" spans="1:2" x14ac:dyDescent="0.25">
      <c r="A12085" s="104"/>
      <c r="B12085" s="104"/>
    </row>
    <row r="12086" spans="1:2" x14ac:dyDescent="0.25">
      <c r="A12086" s="104"/>
      <c r="B12086" s="104"/>
    </row>
    <row r="12087" spans="1:2" x14ac:dyDescent="0.25">
      <c r="A12087" s="104"/>
      <c r="B12087" s="104"/>
    </row>
    <row r="12088" spans="1:2" x14ac:dyDescent="0.25">
      <c r="A12088" s="104"/>
      <c r="B12088" s="104"/>
    </row>
    <row r="12089" spans="1:2" x14ac:dyDescent="0.25">
      <c r="A12089" s="104"/>
      <c r="B12089" s="104"/>
    </row>
    <row r="12090" spans="1:2" x14ac:dyDescent="0.25">
      <c r="A12090" s="104"/>
      <c r="B12090" s="104"/>
    </row>
    <row r="12091" spans="1:2" x14ac:dyDescent="0.25">
      <c r="A12091" s="104"/>
      <c r="B12091" s="104"/>
    </row>
    <row r="12092" spans="1:2" x14ac:dyDescent="0.25">
      <c r="A12092" s="104"/>
      <c r="B12092" s="104"/>
    </row>
    <row r="12093" spans="1:2" x14ac:dyDescent="0.25">
      <c r="A12093" s="104"/>
      <c r="B12093" s="104"/>
    </row>
    <row r="12094" spans="1:2" x14ac:dyDescent="0.25">
      <c r="A12094" s="104"/>
      <c r="B12094" s="104"/>
    </row>
    <row r="12095" spans="1:2" x14ac:dyDescent="0.25">
      <c r="A12095" s="104"/>
      <c r="B12095" s="104"/>
    </row>
    <row r="12096" spans="1:2" x14ac:dyDescent="0.25">
      <c r="A12096" s="104"/>
      <c r="B12096" s="104"/>
    </row>
    <row r="12097" spans="1:2" x14ac:dyDescent="0.25">
      <c r="A12097" s="104"/>
      <c r="B12097" s="104"/>
    </row>
    <row r="12098" spans="1:2" x14ac:dyDescent="0.25">
      <c r="A12098" s="104"/>
      <c r="B12098" s="104"/>
    </row>
    <row r="12099" spans="1:2" x14ac:dyDescent="0.25">
      <c r="A12099" s="104"/>
      <c r="B12099" s="104"/>
    </row>
    <row r="12100" spans="1:2" x14ac:dyDescent="0.25">
      <c r="A12100" s="104"/>
      <c r="B12100" s="104"/>
    </row>
    <row r="12101" spans="1:2" x14ac:dyDescent="0.25">
      <c r="A12101" s="104"/>
      <c r="B12101" s="104"/>
    </row>
    <row r="12102" spans="1:2" x14ac:dyDescent="0.25">
      <c r="A12102" s="104"/>
      <c r="B12102" s="104"/>
    </row>
    <row r="12103" spans="1:2" x14ac:dyDescent="0.25">
      <c r="A12103" s="104"/>
      <c r="B12103" s="104"/>
    </row>
    <row r="12104" spans="1:2" x14ac:dyDescent="0.25">
      <c r="A12104" s="104"/>
      <c r="B12104" s="104"/>
    </row>
    <row r="12105" spans="1:2" x14ac:dyDescent="0.25">
      <c r="A12105" s="104"/>
      <c r="B12105" s="104"/>
    </row>
    <row r="12106" spans="1:2" x14ac:dyDescent="0.25">
      <c r="A12106" s="104"/>
      <c r="B12106" s="104"/>
    </row>
    <row r="12107" spans="1:2" x14ac:dyDescent="0.25">
      <c r="A12107" s="104"/>
      <c r="B12107" s="104"/>
    </row>
    <row r="12108" spans="1:2" x14ac:dyDescent="0.25">
      <c r="A12108" s="104"/>
      <c r="B12108" s="104"/>
    </row>
    <row r="12109" spans="1:2" x14ac:dyDescent="0.25">
      <c r="A12109" s="104"/>
      <c r="B12109" s="104"/>
    </row>
    <row r="12110" spans="1:2" x14ac:dyDescent="0.25">
      <c r="A12110" s="104"/>
      <c r="B12110" s="104"/>
    </row>
    <row r="12111" spans="1:2" x14ac:dyDescent="0.25">
      <c r="A12111" s="104"/>
      <c r="B12111" s="104"/>
    </row>
    <row r="12112" spans="1:2" x14ac:dyDescent="0.25">
      <c r="A12112" s="104"/>
      <c r="B12112" s="104"/>
    </row>
    <row r="12113" spans="1:2" x14ac:dyDescent="0.25">
      <c r="A12113" s="104"/>
      <c r="B12113" s="104"/>
    </row>
    <row r="12114" spans="1:2" x14ac:dyDescent="0.25">
      <c r="A12114" s="104"/>
      <c r="B12114" s="104"/>
    </row>
    <row r="12115" spans="1:2" x14ac:dyDescent="0.25">
      <c r="A12115" s="104"/>
      <c r="B12115" s="104"/>
    </row>
    <row r="12116" spans="1:2" x14ac:dyDescent="0.25">
      <c r="A12116" s="104"/>
      <c r="B12116" s="104"/>
    </row>
    <row r="12117" spans="1:2" x14ac:dyDescent="0.25">
      <c r="A12117" s="104"/>
      <c r="B12117" s="104"/>
    </row>
    <row r="12118" spans="1:2" x14ac:dyDescent="0.25">
      <c r="A12118" s="104"/>
      <c r="B12118" s="104"/>
    </row>
    <row r="12119" spans="1:2" x14ac:dyDescent="0.25">
      <c r="A12119" s="104"/>
      <c r="B12119" s="104"/>
    </row>
    <row r="12120" spans="1:2" x14ac:dyDescent="0.25">
      <c r="A12120" s="104"/>
      <c r="B12120" s="104"/>
    </row>
    <row r="12121" spans="1:2" x14ac:dyDescent="0.25">
      <c r="A12121" s="104"/>
      <c r="B12121" s="104"/>
    </row>
    <row r="12122" spans="1:2" x14ac:dyDescent="0.25">
      <c r="A12122" s="104"/>
      <c r="B12122" s="104"/>
    </row>
    <row r="12123" spans="1:2" x14ac:dyDescent="0.25">
      <c r="A12123" s="104"/>
      <c r="B12123" s="104"/>
    </row>
    <row r="12124" spans="1:2" x14ac:dyDescent="0.25">
      <c r="A12124" s="104"/>
      <c r="B12124" s="104"/>
    </row>
    <row r="12125" spans="1:2" x14ac:dyDescent="0.25">
      <c r="A12125" s="104"/>
      <c r="B12125" s="104"/>
    </row>
    <row r="12126" spans="1:2" x14ac:dyDescent="0.25">
      <c r="A12126" s="104"/>
      <c r="B12126" s="104"/>
    </row>
    <row r="12127" spans="1:2" x14ac:dyDescent="0.25">
      <c r="A12127" s="104"/>
      <c r="B12127" s="104"/>
    </row>
    <row r="12128" spans="1:2" x14ac:dyDescent="0.25">
      <c r="A12128" s="104"/>
      <c r="B12128" s="104"/>
    </row>
    <row r="12129" spans="1:2" x14ac:dyDescent="0.25">
      <c r="A12129" s="104"/>
      <c r="B12129" s="104"/>
    </row>
    <row r="12130" spans="1:2" x14ac:dyDescent="0.25">
      <c r="A12130" s="104"/>
      <c r="B12130" s="104"/>
    </row>
    <row r="12131" spans="1:2" x14ac:dyDescent="0.25">
      <c r="A12131" s="104"/>
      <c r="B12131" s="104"/>
    </row>
    <row r="12132" spans="1:2" x14ac:dyDescent="0.25">
      <c r="A12132" s="104"/>
      <c r="B12132" s="104"/>
    </row>
    <row r="12133" spans="1:2" x14ac:dyDescent="0.25">
      <c r="A12133" s="104"/>
      <c r="B12133" s="104"/>
    </row>
    <row r="12134" spans="1:2" x14ac:dyDescent="0.25">
      <c r="A12134" s="104"/>
      <c r="B12134" s="104"/>
    </row>
    <row r="12135" spans="1:2" x14ac:dyDescent="0.25">
      <c r="A12135" s="104"/>
      <c r="B12135" s="104"/>
    </row>
    <row r="12136" spans="1:2" x14ac:dyDescent="0.25">
      <c r="A12136" s="104"/>
      <c r="B12136" s="104"/>
    </row>
    <row r="12137" spans="1:2" x14ac:dyDescent="0.25">
      <c r="A12137" s="104"/>
      <c r="B12137" s="104"/>
    </row>
    <row r="12138" spans="1:2" x14ac:dyDescent="0.25">
      <c r="A12138" s="104"/>
      <c r="B12138" s="104"/>
    </row>
    <row r="12139" spans="1:2" x14ac:dyDescent="0.25">
      <c r="A12139" s="104"/>
      <c r="B12139" s="104"/>
    </row>
    <row r="12140" spans="1:2" x14ac:dyDescent="0.25">
      <c r="A12140" s="104"/>
      <c r="B12140" s="104"/>
    </row>
    <row r="12141" spans="1:2" x14ac:dyDescent="0.25">
      <c r="A12141" s="104"/>
      <c r="B12141" s="104"/>
    </row>
    <row r="12142" spans="1:2" x14ac:dyDescent="0.25">
      <c r="A12142" s="104"/>
      <c r="B12142" s="104"/>
    </row>
    <row r="12143" spans="1:2" x14ac:dyDescent="0.25">
      <c r="A12143" s="104"/>
      <c r="B12143" s="104"/>
    </row>
    <row r="12144" spans="1:2" x14ac:dyDescent="0.25">
      <c r="A12144" s="104"/>
      <c r="B12144" s="104"/>
    </row>
    <row r="12145" spans="1:2" x14ac:dyDescent="0.25">
      <c r="A12145" s="104"/>
      <c r="B12145" s="104"/>
    </row>
    <row r="12146" spans="1:2" x14ac:dyDescent="0.25">
      <c r="A12146" s="104"/>
      <c r="B12146" s="104"/>
    </row>
    <row r="12147" spans="1:2" x14ac:dyDescent="0.25">
      <c r="A12147" s="104"/>
      <c r="B12147" s="104"/>
    </row>
    <row r="12148" spans="1:2" x14ac:dyDescent="0.25">
      <c r="A12148" s="104"/>
      <c r="B12148" s="104"/>
    </row>
    <row r="12149" spans="1:2" x14ac:dyDescent="0.25">
      <c r="A12149" s="104"/>
      <c r="B12149" s="104"/>
    </row>
    <row r="12150" spans="1:2" x14ac:dyDescent="0.25">
      <c r="A12150" s="104"/>
      <c r="B12150" s="104"/>
    </row>
    <row r="12151" spans="1:2" x14ac:dyDescent="0.25">
      <c r="A12151" s="104"/>
      <c r="B12151" s="104"/>
    </row>
    <row r="12152" spans="1:2" x14ac:dyDescent="0.25">
      <c r="A12152" s="104"/>
      <c r="B12152" s="104"/>
    </row>
    <row r="12153" spans="1:2" x14ac:dyDescent="0.25">
      <c r="A12153" s="104"/>
      <c r="B12153" s="104"/>
    </row>
    <row r="12154" spans="1:2" x14ac:dyDescent="0.25">
      <c r="A12154" s="104"/>
      <c r="B12154" s="104"/>
    </row>
    <row r="12155" spans="1:2" x14ac:dyDescent="0.25">
      <c r="A12155" s="104"/>
      <c r="B12155" s="104"/>
    </row>
    <row r="12156" spans="1:2" x14ac:dyDescent="0.25">
      <c r="A12156" s="104"/>
      <c r="B12156" s="104"/>
    </row>
    <row r="12157" spans="1:2" x14ac:dyDescent="0.25">
      <c r="A12157" s="104"/>
      <c r="B12157" s="104"/>
    </row>
    <row r="12158" spans="1:2" x14ac:dyDescent="0.25">
      <c r="A12158" s="104"/>
      <c r="B12158" s="104"/>
    </row>
    <row r="12159" spans="1:2" x14ac:dyDescent="0.25">
      <c r="A12159" s="104"/>
      <c r="B12159" s="104"/>
    </row>
    <row r="12160" spans="1:2" x14ac:dyDescent="0.25">
      <c r="A12160" s="104"/>
      <c r="B12160" s="104"/>
    </row>
    <row r="12161" spans="1:2" x14ac:dyDescent="0.25">
      <c r="A12161" s="104"/>
      <c r="B12161" s="104"/>
    </row>
    <row r="12162" spans="1:2" x14ac:dyDescent="0.25">
      <c r="A12162" s="104"/>
      <c r="B12162" s="104"/>
    </row>
    <row r="12163" spans="1:2" x14ac:dyDescent="0.25">
      <c r="A12163" s="104"/>
      <c r="B12163" s="104"/>
    </row>
    <row r="12164" spans="1:2" x14ac:dyDescent="0.25">
      <c r="A12164" s="104"/>
      <c r="B12164" s="104"/>
    </row>
    <row r="12165" spans="1:2" x14ac:dyDescent="0.25">
      <c r="A12165" s="104"/>
      <c r="B12165" s="104"/>
    </row>
    <row r="12166" spans="1:2" x14ac:dyDescent="0.25">
      <c r="A12166" s="104"/>
      <c r="B12166" s="104"/>
    </row>
    <row r="12167" spans="1:2" x14ac:dyDescent="0.25">
      <c r="A12167" s="104"/>
      <c r="B12167" s="104"/>
    </row>
    <row r="12168" spans="1:2" x14ac:dyDescent="0.25">
      <c r="A12168" s="104"/>
      <c r="B12168" s="104"/>
    </row>
    <row r="12169" spans="1:2" x14ac:dyDescent="0.25">
      <c r="A12169" s="104"/>
      <c r="B12169" s="104"/>
    </row>
    <row r="12170" spans="1:2" x14ac:dyDescent="0.25">
      <c r="A12170" s="104"/>
      <c r="B12170" s="104"/>
    </row>
    <row r="12171" spans="1:2" x14ac:dyDescent="0.25">
      <c r="A12171" s="104"/>
      <c r="B12171" s="104"/>
    </row>
    <row r="12172" spans="1:2" x14ac:dyDescent="0.25">
      <c r="A12172" s="104"/>
      <c r="B12172" s="104"/>
    </row>
    <row r="12173" spans="1:2" x14ac:dyDescent="0.25">
      <c r="A12173" s="104"/>
      <c r="B12173" s="104"/>
    </row>
    <row r="12174" spans="1:2" x14ac:dyDescent="0.25">
      <c r="A12174" s="104"/>
      <c r="B12174" s="104"/>
    </row>
    <row r="12175" spans="1:2" x14ac:dyDescent="0.25">
      <c r="A12175" s="104"/>
      <c r="B12175" s="104"/>
    </row>
    <row r="12176" spans="1:2" x14ac:dyDescent="0.25">
      <c r="A12176" s="104"/>
      <c r="B12176" s="104"/>
    </row>
    <row r="12177" spans="1:2" x14ac:dyDescent="0.25">
      <c r="A12177" s="104"/>
      <c r="B12177" s="104"/>
    </row>
    <row r="12178" spans="1:2" x14ac:dyDescent="0.25">
      <c r="A12178" s="104"/>
      <c r="B12178" s="104"/>
    </row>
    <row r="12179" spans="1:2" x14ac:dyDescent="0.25">
      <c r="A12179" s="104"/>
      <c r="B12179" s="104"/>
    </row>
    <row r="12180" spans="1:2" x14ac:dyDescent="0.25">
      <c r="A12180" s="104"/>
      <c r="B12180" s="104"/>
    </row>
    <row r="12181" spans="1:2" x14ac:dyDescent="0.25">
      <c r="A12181" s="104"/>
      <c r="B12181" s="104"/>
    </row>
    <row r="12182" spans="1:2" x14ac:dyDescent="0.25">
      <c r="A12182" s="104"/>
      <c r="B12182" s="104"/>
    </row>
    <row r="12183" spans="1:2" x14ac:dyDescent="0.25">
      <c r="A12183" s="104"/>
      <c r="B12183" s="104"/>
    </row>
    <row r="12184" spans="1:2" x14ac:dyDescent="0.25">
      <c r="A12184" s="104"/>
      <c r="B12184" s="104"/>
    </row>
    <row r="12185" spans="1:2" x14ac:dyDescent="0.25">
      <c r="A12185" s="104"/>
      <c r="B12185" s="104"/>
    </row>
    <row r="12186" spans="1:2" x14ac:dyDescent="0.25">
      <c r="A12186" s="104"/>
      <c r="B12186" s="104"/>
    </row>
    <row r="12187" spans="1:2" x14ac:dyDescent="0.25">
      <c r="A12187" s="104"/>
      <c r="B12187" s="104"/>
    </row>
    <row r="12188" spans="1:2" x14ac:dyDescent="0.25">
      <c r="A12188" s="104"/>
      <c r="B12188" s="104"/>
    </row>
    <row r="12189" spans="1:2" x14ac:dyDescent="0.25">
      <c r="A12189" s="104"/>
      <c r="B12189" s="104"/>
    </row>
    <row r="12190" spans="1:2" x14ac:dyDescent="0.25">
      <c r="A12190" s="104"/>
      <c r="B12190" s="104"/>
    </row>
    <row r="12191" spans="1:2" x14ac:dyDescent="0.25">
      <c r="A12191" s="104"/>
      <c r="B12191" s="104"/>
    </row>
    <row r="12192" spans="1:2" x14ac:dyDescent="0.25">
      <c r="A12192" s="104"/>
      <c r="B12192" s="104"/>
    </row>
    <row r="12193" spans="1:2" x14ac:dyDescent="0.25">
      <c r="A12193" s="104"/>
      <c r="B12193" s="104"/>
    </row>
    <row r="12194" spans="1:2" x14ac:dyDescent="0.25">
      <c r="A12194" s="104"/>
      <c r="B12194" s="104"/>
    </row>
    <row r="12195" spans="1:2" x14ac:dyDescent="0.25">
      <c r="A12195" s="104"/>
      <c r="B12195" s="104"/>
    </row>
    <row r="12196" spans="1:2" x14ac:dyDescent="0.25">
      <c r="A12196" s="104"/>
      <c r="B12196" s="104"/>
    </row>
    <row r="12197" spans="1:2" x14ac:dyDescent="0.25">
      <c r="A12197" s="104"/>
      <c r="B12197" s="104"/>
    </row>
    <row r="12198" spans="1:2" x14ac:dyDescent="0.25">
      <c r="A12198" s="104"/>
      <c r="B12198" s="104"/>
    </row>
    <row r="12199" spans="1:2" x14ac:dyDescent="0.25">
      <c r="A12199" s="104"/>
      <c r="B12199" s="104"/>
    </row>
    <row r="12200" spans="1:2" x14ac:dyDescent="0.25">
      <c r="A12200" s="104"/>
      <c r="B12200" s="104"/>
    </row>
    <row r="12201" spans="1:2" x14ac:dyDescent="0.25">
      <c r="A12201" s="104"/>
      <c r="B12201" s="104"/>
    </row>
    <row r="12202" spans="1:2" x14ac:dyDescent="0.25">
      <c r="A12202" s="104"/>
      <c r="B12202" s="104"/>
    </row>
    <row r="12203" spans="1:2" x14ac:dyDescent="0.25">
      <c r="A12203" s="104"/>
      <c r="B12203" s="104"/>
    </row>
    <row r="12204" spans="1:2" x14ac:dyDescent="0.25">
      <c r="A12204" s="104"/>
      <c r="B12204" s="104"/>
    </row>
    <row r="12205" spans="1:2" x14ac:dyDescent="0.25">
      <c r="A12205" s="104"/>
      <c r="B12205" s="104"/>
    </row>
    <row r="12206" spans="1:2" x14ac:dyDescent="0.25">
      <c r="A12206" s="104"/>
      <c r="B12206" s="104"/>
    </row>
    <row r="12207" spans="1:2" x14ac:dyDescent="0.25">
      <c r="A12207" s="104"/>
      <c r="B12207" s="104"/>
    </row>
    <row r="12208" spans="1:2" x14ac:dyDescent="0.25">
      <c r="A12208" s="104"/>
      <c r="B12208" s="104"/>
    </row>
    <row r="12209" spans="1:2" x14ac:dyDescent="0.25">
      <c r="A12209" s="104"/>
      <c r="B12209" s="104"/>
    </row>
    <row r="12210" spans="1:2" x14ac:dyDescent="0.25">
      <c r="A12210" s="104"/>
      <c r="B12210" s="104"/>
    </row>
    <row r="12211" spans="1:2" x14ac:dyDescent="0.25">
      <c r="A12211" s="104"/>
      <c r="B12211" s="104"/>
    </row>
    <row r="12212" spans="1:2" x14ac:dyDescent="0.25">
      <c r="A12212" s="104"/>
      <c r="B12212" s="104"/>
    </row>
    <row r="12213" spans="1:2" x14ac:dyDescent="0.25">
      <c r="A12213" s="104"/>
      <c r="B12213" s="104"/>
    </row>
    <row r="12214" spans="1:2" x14ac:dyDescent="0.25">
      <c r="A12214" s="104"/>
      <c r="B12214" s="104"/>
    </row>
    <row r="12215" spans="1:2" x14ac:dyDescent="0.25">
      <c r="A12215" s="104"/>
      <c r="B12215" s="104"/>
    </row>
    <row r="12216" spans="1:2" x14ac:dyDescent="0.25">
      <c r="A12216" s="104"/>
      <c r="B12216" s="104"/>
    </row>
    <row r="12217" spans="1:2" x14ac:dyDescent="0.25">
      <c r="A12217" s="104"/>
      <c r="B12217" s="104"/>
    </row>
    <row r="12218" spans="1:2" x14ac:dyDescent="0.25">
      <c r="A12218" s="104"/>
      <c r="B12218" s="104"/>
    </row>
    <row r="12219" spans="1:2" x14ac:dyDescent="0.25">
      <c r="A12219" s="104"/>
      <c r="B12219" s="104"/>
    </row>
    <row r="12220" spans="1:2" x14ac:dyDescent="0.25">
      <c r="A12220" s="104"/>
      <c r="B12220" s="104"/>
    </row>
    <row r="12221" spans="1:2" x14ac:dyDescent="0.25">
      <c r="A12221" s="104"/>
      <c r="B12221" s="104"/>
    </row>
    <row r="12222" spans="1:2" x14ac:dyDescent="0.25">
      <c r="A12222" s="104"/>
      <c r="B12222" s="104"/>
    </row>
    <row r="12223" spans="1:2" x14ac:dyDescent="0.25">
      <c r="A12223" s="104"/>
      <c r="B12223" s="104"/>
    </row>
    <row r="12224" spans="1:2" x14ac:dyDescent="0.25">
      <c r="A12224" s="104"/>
      <c r="B12224" s="104"/>
    </row>
    <row r="12225" spans="1:2" x14ac:dyDescent="0.25">
      <c r="A12225" s="104"/>
      <c r="B12225" s="104"/>
    </row>
    <row r="12226" spans="1:2" x14ac:dyDescent="0.25">
      <c r="A12226" s="104"/>
      <c r="B12226" s="104"/>
    </row>
    <row r="12227" spans="1:2" x14ac:dyDescent="0.25">
      <c r="A12227" s="104"/>
      <c r="B12227" s="104"/>
    </row>
    <row r="12228" spans="1:2" x14ac:dyDescent="0.25">
      <c r="A12228" s="104"/>
      <c r="B12228" s="104"/>
    </row>
    <row r="12229" spans="1:2" x14ac:dyDescent="0.25">
      <c r="A12229" s="104"/>
      <c r="B12229" s="104"/>
    </row>
    <row r="12230" spans="1:2" x14ac:dyDescent="0.25">
      <c r="A12230" s="104"/>
      <c r="B12230" s="104"/>
    </row>
    <row r="12231" spans="1:2" x14ac:dyDescent="0.25">
      <c r="A12231" s="104"/>
      <c r="B12231" s="104"/>
    </row>
    <row r="12232" spans="1:2" x14ac:dyDescent="0.25">
      <c r="A12232" s="104"/>
      <c r="B12232" s="104"/>
    </row>
    <row r="12233" spans="1:2" x14ac:dyDescent="0.25">
      <c r="A12233" s="104"/>
      <c r="B12233" s="104"/>
    </row>
    <row r="12234" spans="1:2" x14ac:dyDescent="0.25">
      <c r="A12234" s="104"/>
      <c r="B12234" s="104"/>
    </row>
    <row r="12235" spans="1:2" x14ac:dyDescent="0.25">
      <c r="A12235" s="104"/>
      <c r="B12235" s="104"/>
    </row>
    <row r="12236" spans="1:2" x14ac:dyDescent="0.25">
      <c r="A12236" s="104"/>
      <c r="B12236" s="104"/>
    </row>
    <row r="12237" spans="1:2" x14ac:dyDescent="0.25">
      <c r="A12237" s="104"/>
      <c r="B12237" s="104"/>
    </row>
    <row r="12238" spans="1:2" x14ac:dyDescent="0.25">
      <c r="A12238" s="104"/>
      <c r="B12238" s="104"/>
    </row>
    <row r="12239" spans="1:2" x14ac:dyDescent="0.25">
      <c r="A12239" s="104"/>
      <c r="B12239" s="104"/>
    </row>
    <row r="12240" spans="1:2" x14ac:dyDescent="0.25">
      <c r="A12240" s="104"/>
      <c r="B12240" s="104"/>
    </row>
    <row r="12241" spans="1:2" x14ac:dyDescent="0.25">
      <c r="A12241" s="104"/>
      <c r="B12241" s="104"/>
    </row>
    <row r="12242" spans="1:2" x14ac:dyDescent="0.25">
      <c r="A12242" s="104"/>
      <c r="B12242" s="104"/>
    </row>
    <row r="12243" spans="1:2" x14ac:dyDescent="0.25">
      <c r="A12243" s="104"/>
      <c r="B12243" s="104"/>
    </row>
    <row r="12244" spans="1:2" x14ac:dyDescent="0.25">
      <c r="A12244" s="104"/>
      <c r="B12244" s="104"/>
    </row>
    <row r="12245" spans="1:2" x14ac:dyDescent="0.25">
      <c r="A12245" s="104"/>
      <c r="B12245" s="104"/>
    </row>
    <row r="12246" spans="1:2" x14ac:dyDescent="0.25">
      <c r="A12246" s="104"/>
      <c r="B12246" s="104"/>
    </row>
    <row r="12247" spans="1:2" x14ac:dyDescent="0.25">
      <c r="A12247" s="104"/>
      <c r="B12247" s="104"/>
    </row>
    <row r="12248" spans="1:2" x14ac:dyDescent="0.25">
      <c r="A12248" s="104"/>
      <c r="B12248" s="104"/>
    </row>
    <row r="12249" spans="1:2" x14ac:dyDescent="0.25">
      <c r="A12249" s="104"/>
      <c r="B12249" s="104"/>
    </row>
    <row r="12250" spans="1:2" x14ac:dyDescent="0.25">
      <c r="A12250" s="104"/>
      <c r="B12250" s="104"/>
    </row>
    <row r="12251" spans="1:2" x14ac:dyDescent="0.25">
      <c r="A12251" s="104"/>
      <c r="B12251" s="104"/>
    </row>
    <row r="12252" spans="1:2" x14ac:dyDescent="0.25">
      <c r="A12252" s="104"/>
      <c r="B12252" s="104"/>
    </row>
    <row r="12253" spans="1:2" x14ac:dyDescent="0.25">
      <c r="A12253" s="104"/>
      <c r="B12253" s="104"/>
    </row>
    <row r="12254" spans="1:2" x14ac:dyDescent="0.25">
      <c r="A12254" s="104"/>
      <c r="B12254" s="104"/>
    </row>
    <row r="12255" spans="1:2" x14ac:dyDescent="0.25">
      <c r="A12255" s="104"/>
      <c r="B12255" s="104"/>
    </row>
    <row r="12256" spans="1:2" x14ac:dyDescent="0.25">
      <c r="A12256" s="104"/>
      <c r="B12256" s="104"/>
    </row>
    <row r="12257" spans="1:2" x14ac:dyDescent="0.25">
      <c r="A12257" s="104"/>
      <c r="B12257" s="104"/>
    </row>
    <row r="12258" spans="1:2" x14ac:dyDescent="0.25">
      <c r="A12258" s="104"/>
      <c r="B12258" s="104"/>
    </row>
    <row r="12259" spans="1:2" x14ac:dyDescent="0.25">
      <c r="A12259" s="104"/>
      <c r="B12259" s="104"/>
    </row>
    <row r="12260" spans="1:2" x14ac:dyDescent="0.25">
      <c r="A12260" s="104"/>
      <c r="B12260" s="104"/>
    </row>
    <row r="12261" spans="1:2" x14ac:dyDescent="0.25">
      <c r="A12261" s="104"/>
      <c r="B12261" s="104"/>
    </row>
    <row r="12262" spans="1:2" x14ac:dyDescent="0.25">
      <c r="A12262" s="104"/>
      <c r="B12262" s="104"/>
    </row>
    <row r="12263" spans="1:2" x14ac:dyDescent="0.25">
      <c r="A12263" s="104"/>
      <c r="B12263" s="104"/>
    </row>
    <row r="12264" spans="1:2" x14ac:dyDescent="0.25">
      <c r="A12264" s="104"/>
      <c r="B12264" s="104"/>
    </row>
    <row r="12265" spans="1:2" x14ac:dyDescent="0.25">
      <c r="A12265" s="104"/>
      <c r="B12265" s="104"/>
    </row>
    <row r="12266" spans="1:2" x14ac:dyDescent="0.25">
      <c r="A12266" s="104"/>
      <c r="B12266" s="104"/>
    </row>
    <row r="12267" spans="1:2" x14ac:dyDescent="0.25">
      <c r="A12267" s="104"/>
      <c r="B12267" s="104"/>
    </row>
    <row r="12268" spans="1:2" x14ac:dyDescent="0.25">
      <c r="A12268" s="104"/>
      <c r="B12268" s="104"/>
    </row>
    <row r="12269" spans="1:2" x14ac:dyDescent="0.25">
      <c r="A12269" s="104"/>
      <c r="B12269" s="104"/>
    </row>
    <row r="12270" spans="1:2" x14ac:dyDescent="0.25">
      <c r="A12270" s="104"/>
      <c r="B12270" s="104"/>
    </row>
    <row r="12271" spans="1:2" x14ac:dyDescent="0.25">
      <c r="A12271" s="104"/>
      <c r="B12271" s="104"/>
    </row>
    <row r="12272" spans="1:2" x14ac:dyDescent="0.25">
      <c r="A12272" s="104"/>
      <c r="B12272" s="104"/>
    </row>
    <row r="12273" spans="1:2" x14ac:dyDescent="0.25">
      <c r="A12273" s="104"/>
      <c r="B12273" s="104"/>
    </row>
    <row r="12274" spans="1:2" x14ac:dyDescent="0.25">
      <c r="A12274" s="104"/>
      <c r="B12274" s="104"/>
    </row>
    <row r="12275" spans="1:2" x14ac:dyDescent="0.25">
      <c r="A12275" s="104"/>
      <c r="B12275" s="104"/>
    </row>
    <row r="12276" spans="1:2" x14ac:dyDescent="0.25">
      <c r="A12276" s="104"/>
      <c r="B12276" s="104"/>
    </row>
    <row r="12277" spans="1:2" x14ac:dyDescent="0.25">
      <c r="A12277" s="104"/>
      <c r="B12277" s="104"/>
    </row>
    <row r="12278" spans="1:2" x14ac:dyDescent="0.25">
      <c r="A12278" s="104"/>
      <c r="B12278" s="104"/>
    </row>
    <row r="12279" spans="1:2" x14ac:dyDescent="0.25">
      <c r="A12279" s="104"/>
      <c r="B12279" s="104"/>
    </row>
    <row r="12280" spans="1:2" x14ac:dyDescent="0.25">
      <c r="A12280" s="104"/>
      <c r="B12280" s="104"/>
    </row>
    <row r="12281" spans="1:2" x14ac:dyDescent="0.25">
      <c r="A12281" s="104"/>
      <c r="B12281" s="104"/>
    </row>
    <row r="12282" spans="1:2" x14ac:dyDescent="0.25">
      <c r="A12282" s="104"/>
      <c r="B12282" s="104"/>
    </row>
    <row r="12283" spans="1:2" x14ac:dyDescent="0.25">
      <c r="A12283" s="104"/>
      <c r="B12283" s="104"/>
    </row>
    <row r="12284" spans="1:2" x14ac:dyDescent="0.25">
      <c r="A12284" s="104"/>
      <c r="B12284" s="104"/>
    </row>
    <row r="12285" spans="1:2" x14ac:dyDescent="0.25">
      <c r="A12285" s="104"/>
      <c r="B12285" s="104"/>
    </row>
    <row r="12286" spans="1:2" x14ac:dyDescent="0.25">
      <c r="A12286" s="104"/>
      <c r="B12286" s="104"/>
    </row>
    <row r="12287" spans="1:2" x14ac:dyDescent="0.25">
      <c r="A12287" s="104"/>
      <c r="B12287" s="104"/>
    </row>
    <row r="12288" spans="1:2" x14ac:dyDescent="0.25">
      <c r="A12288" s="104"/>
      <c r="B12288" s="104"/>
    </row>
    <row r="12289" spans="1:2" x14ac:dyDescent="0.25">
      <c r="A12289" s="104"/>
      <c r="B12289" s="104"/>
    </row>
    <row r="12290" spans="1:2" x14ac:dyDescent="0.25">
      <c r="A12290" s="104"/>
      <c r="B12290" s="104"/>
    </row>
    <row r="12291" spans="1:2" x14ac:dyDescent="0.25">
      <c r="A12291" s="104"/>
      <c r="B12291" s="104"/>
    </row>
    <row r="12292" spans="1:2" x14ac:dyDescent="0.25">
      <c r="A12292" s="104"/>
      <c r="B12292" s="104"/>
    </row>
    <row r="12293" spans="1:2" x14ac:dyDescent="0.25">
      <c r="A12293" s="104"/>
      <c r="B12293" s="104"/>
    </row>
    <row r="12294" spans="1:2" x14ac:dyDescent="0.25">
      <c r="A12294" s="104"/>
      <c r="B12294" s="104"/>
    </row>
    <row r="12295" spans="1:2" x14ac:dyDescent="0.25">
      <c r="A12295" s="104"/>
      <c r="B12295" s="104"/>
    </row>
    <row r="12296" spans="1:2" x14ac:dyDescent="0.25">
      <c r="A12296" s="104"/>
      <c r="B12296" s="104"/>
    </row>
    <row r="12297" spans="1:2" x14ac:dyDescent="0.25">
      <c r="A12297" s="104"/>
      <c r="B12297" s="104"/>
    </row>
    <row r="12298" spans="1:2" x14ac:dyDescent="0.25">
      <c r="A12298" s="104"/>
      <c r="B12298" s="104"/>
    </row>
    <row r="12299" spans="1:2" x14ac:dyDescent="0.25">
      <c r="A12299" s="104"/>
      <c r="B12299" s="104"/>
    </row>
    <row r="12300" spans="1:2" x14ac:dyDescent="0.25">
      <c r="A12300" s="104"/>
      <c r="B12300" s="104"/>
    </row>
    <row r="12301" spans="1:2" x14ac:dyDescent="0.25">
      <c r="A12301" s="104"/>
      <c r="B12301" s="104"/>
    </row>
    <row r="12302" spans="1:2" x14ac:dyDescent="0.25">
      <c r="A12302" s="104"/>
      <c r="B12302" s="104"/>
    </row>
    <row r="12303" spans="1:2" x14ac:dyDescent="0.25">
      <c r="A12303" s="104"/>
      <c r="B12303" s="104"/>
    </row>
    <row r="12304" spans="1:2" x14ac:dyDescent="0.25">
      <c r="A12304" s="104"/>
      <c r="B12304" s="104"/>
    </row>
    <row r="12305" spans="1:2" x14ac:dyDescent="0.25">
      <c r="A12305" s="104"/>
      <c r="B12305" s="104"/>
    </row>
    <row r="12306" spans="1:2" x14ac:dyDescent="0.25">
      <c r="A12306" s="104"/>
      <c r="B12306" s="104"/>
    </row>
    <row r="12307" spans="1:2" x14ac:dyDescent="0.25">
      <c r="A12307" s="104"/>
      <c r="B12307" s="104"/>
    </row>
    <row r="12308" spans="1:2" x14ac:dyDescent="0.25">
      <c r="A12308" s="104"/>
      <c r="B12308" s="104"/>
    </row>
    <row r="12309" spans="1:2" x14ac:dyDescent="0.25">
      <c r="A12309" s="104"/>
      <c r="B12309" s="104"/>
    </row>
    <row r="12310" spans="1:2" x14ac:dyDescent="0.25">
      <c r="A12310" s="104"/>
      <c r="B12310" s="104"/>
    </row>
    <row r="12311" spans="1:2" x14ac:dyDescent="0.25">
      <c r="A12311" s="104"/>
      <c r="B12311" s="104"/>
    </row>
    <row r="12312" spans="1:2" x14ac:dyDescent="0.25">
      <c r="A12312" s="104"/>
      <c r="B12312" s="104"/>
    </row>
    <row r="12313" spans="1:2" x14ac:dyDescent="0.25">
      <c r="A12313" s="104"/>
      <c r="B12313" s="104"/>
    </row>
    <row r="12314" spans="1:2" x14ac:dyDescent="0.25">
      <c r="A12314" s="104"/>
      <c r="B12314" s="104"/>
    </row>
    <row r="12315" spans="1:2" x14ac:dyDescent="0.25">
      <c r="A12315" s="104"/>
      <c r="B12315" s="104"/>
    </row>
    <row r="12316" spans="1:2" x14ac:dyDescent="0.25">
      <c r="A12316" s="104"/>
      <c r="B12316" s="104"/>
    </row>
    <row r="12317" spans="1:2" x14ac:dyDescent="0.25">
      <c r="A12317" s="104"/>
      <c r="B12317" s="104"/>
    </row>
    <row r="12318" spans="1:2" x14ac:dyDescent="0.25">
      <c r="A12318" s="104"/>
      <c r="B12318" s="104"/>
    </row>
    <row r="12319" spans="1:2" x14ac:dyDescent="0.25">
      <c r="A12319" s="104"/>
      <c r="B12319" s="104"/>
    </row>
    <row r="12320" spans="1:2" x14ac:dyDescent="0.25">
      <c r="A12320" s="104"/>
      <c r="B12320" s="104"/>
    </row>
    <row r="12321" spans="1:2" x14ac:dyDescent="0.25">
      <c r="A12321" s="104"/>
      <c r="B12321" s="104"/>
    </row>
    <row r="12322" spans="1:2" x14ac:dyDescent="0.25">
      <c r="A12322" s="104"/>
      <c r="B12322" s="104"/>
    </row>
    <row r="12323" spans="1:2" x14ac:dyDescent="0.25">
      <c r="A12323" s="104"/>
      <c r="B12323" s="104"/>
    </row>
    <row r="12324" spans="1:2" x14ac:dyDescent="0.25">
      <c r="A12324" s="104"/>
      <c r="B12324" s="104"/>
    </row>
    <row r="12325" spans="1:2" x14ac:dyDescent="0.25">
      <c r="A12325" s="104"/>
      <c r="B12325" s="104"/>
    </row>
    <row r="12326" spans="1:2" x14ac:dyDescent="0.25">
      <c r="A12326" s="104"/>
      <c r="B12326" s="104"/>
    </row>
    <row r="12327" spans="1:2" x14ac:dyDescent="0.25">
      <c r="A12327" s="104"/>
      <c r="B12327" s="104"/>
    </row>
    <row r="12328" spans="1:2" x14ac:dyDescent="0.25">
      <c r="A12328" s="104"/>
      <c r="B12328" s="104"/>
    </row>
    <row r="12329" spans="1:2" x14ac:dyDescent="0.25">
      <c r="A12329" s="104"/>
      <c r="B12329" s="104"/>
    </row>
    <row r="12330" spans="1:2" x14ac:dyDescent="0.25">
      <c r="A12330" s="104"/>
      <c r="B12330" s="104"/>
    </row>
    <row r="12331" spans="1:2" x14ac:dyDescent="0.25">
      <c r="A12331" s="104"/>
      <c r="B12331" s="104"/>
    </row>
    <row r="12332" spans="1:2" x14ac:dyDescent="0.25">
      <c r="A12332" s="104"/>
      <c r="B12332" s="104"/>
    </row>
    <row r="12333" spans="1:2" x14ac:dyDescent="0.25">
      <c r="A12333" s="104"/>
      <c r="B12333" s="104"/>
    </row>
    <row r="12334" spans="1:2" x14ac:dyDescent="0.25">
      <c r="A12334" s="104"/>
      <c r="B12334" s="104"/>
    </row>
    <row r="12335" spans="1:2" x14ac:dyDescent="0.25">
      <c r="A12335" s="104"/>
      <c r="B12335" s="104"/>
    </row>
    <row r="12336" spans="1:2" x14ac:dyDescent="0.25">
      <c r="A12336" s="104"/>
      <c r="B12336" s="104"/>
    </row>
    <row r="12337" spans="1:2" x14ac:dyDescent="0.25">
      <c r="A12337" s="104"/>
      <c r="B12337" s="104"/>
    </row>
    <row r="12338" spans="1:2" x14ac:dyDescent="0.25">
      <c r="A12338" s="104"/>
      <c r="B12338" s="104"/>
    </row>
    <row r="12339" spans="1:2" x14ac:dyDescent="0.25">
      <c r="A12339" s="104"/>
      <c r="B12339" s="104"/>
    </row>
    <row r="12340" spans="1:2" x14ac:dyDescent="0.25">
      <c r="A12340" s="104"/>
      <c r="B12340" s="104"/>
    </row>
    <row r="12341" spans="1:2" x14ac:dyDescent="0.25">
      <c r="A12341" s="104"/>
      <c r="B12341" s="104"/>
    </row>
    <row r="12342" spans="1:2" x14ac:dyDescent="0.25">
      <c r="A12342" s="104"/>
      <c r="B12342" s="104"/>
    </row>
    <row r="12343" spans="1:2" x14ac:dyDescent="0.25">
      <c r="A12343" s="104"/>
      <c r="B12343" s="104"/>
    </row>
    <row r="12344" spans="1:2" x14ac:dyDescent="0.25">
      <c r="A12344" s="104"/>
      <c r="B12344" s="104"/>
    </row>
    <row r="12345" spans="1:2" x14ac:dyDescent="0.25">
      <c r="A12345" s="104"/>
      <c r="B12345" s="104"/>
    </row>
    <row r="12346" spans="1:2" x14ac:dyDescent="0.25">
      <c r="A12346" s="104"/>
      <c r="B12346" s="104"/>
    </row>
    <row r="12347" spans="1:2" x14ac:dyDescent="0.25">
      <c r="A12347" s="104"/>
      <c r="B12347" s="104"/>
    </row>
    <row r="12348" spans="1:2" x14ac:dyDescent="0.25">
      <c r="A12348" s="104"/>
      <c r="B12348" s="104"/>
    </row>
    <row r="12349" spans="1:2" x14ac:dyDescent="0.25">
      <c r="A12349" s="104"/>
      <c r="B12349" s="104"/>
    </row>
    <row r="12350" spans="1:2" x14ac:dyDescent="0.25">
      <c r="A12350" s="104"/>
      <c r="B12350" s="104"/>
    </row>
    <row r="12351" spans="1:2" x14ac:dyDescent="0.25">
      <c r="A12351" s="104"/>
      <c r="B12351" s="104"/>
    </row>
    <row r="12352" spans="1:2" x14ac:dyDescent="0.25">
      <c r="A12352" s="104"/>
      <c r="B12352" s="104"/>
    </row>
    <row r="12353" spans="1:2" x14ac:dyDescent="0.25">
      <c r="A12353" s="104"/>
      <c r="B12353" s="104"/>
    </row>
    <row r="12354" spans="1:2" x14ac:dyDescent="0.25">
      <c r="A12354" s="104"/>
      <c r="B12354" s="104"/>
    </row>
    <row r="12355" spans="1:2" x14ac:dyDescent="0.25">
      <c r="A12355" s="104"/>
      <c r="B12355" s="104"/>
    </row>
    <row r="12356" spans="1:2" x14ac:dyDescent="0.25">
      <c r="A12356" s="104"/>
      <c r="B12356" s="104"/>
    </row>
    <row r="12357" spans="1:2" x14ac:dyDescent="0.25">
      <c r="A12357" s="104"/>
      <c r="B12357" s="104"/>
    </row>
    <row r="12358" spans="1:2" x14ac:dyDescent="0.25">
      <c r="A12358" s="104"/>
      <c r="B12358" s="104"/>
    </row>
    <row r="12359" spans="1:2" x14ac:dyDescent="0.25">
      <c r="A12359" s="104"/>
      <c r="B12359" s="104"/>
    </row>
    <row r="12360" spans="1:2" x14ac:dyDescent="0.25">
      <c r="A12360" s="104"/>
      <c r="B12360" s="104"/>
    </row>
    <row r="12361" spans="1:2" x14ac:dyDescent="0.25">
      <c r="A12361" s="104"/>
      <c r="B12361" s="104"/>
    </row>
    <row r="12362" spans="1:2" x14ac:dyDescent="0.25">
      <c r="A12362" s="104"/>
      <c r="B12362" s="104"/>
    </row>
    <row r="12363" spans="1:2" x14ac:dyDescent="0.25">
      <c r="A12363" s="104"/>
      <c r="B12363" s="104"/>
    </row>
    <row r="12364" spans="1:2" x14ac:dyDescent="0.25">
      <c r="A12364" s="104"/>
      <c r="B12364" s="104"/>
    </row>
    <row r="12365" spans="1:2" x14ac:dyDescent="0.25">
      <c r="A12365" s="104"/>
      <c r="B12365" s="104"/>
    </row>
    <row r="12366" spans="1:2" x14ac:dyDescent="0.25">
      <c r="A12366" s="104"/>
      <c r="B12366" s="104"/>
    </row>
    <row r="12367" spans="1:2" x14ac:dyDescent="0.25">
      <c r="A12367" s="104"/>
      <c r="B12367" s="104"/>
    </row>
    <row r="12368" spans="1:2" x14ac:dyDescent="0.25">
      <c r="A12368" s="104"/>
      <c r="B12368" s="104"/>
    </row>
    <row r="12369" spans="1:2" x14ac:dyDescent="0.25">
      <c r="A12369" s="104"/>
      <c r="B12369" s="104"/>
    </row>
    <row r="12370" spans="1:2" x14ac:dyDescent="0.25">
      <c r="A12370" s="104"/>
      <c r="B12370" s="104"/>
    </row>
    <row r="12371" spans="1:2" x14ac:dyDescent="0.25">
      <c r="A12371" s="104"/>
      <c r="B12371" s="104"/>
    </row>
    <row r="12372" spans="1:2" x14ac:dyDescent="0.25">
      <c r="A12372" s="104"/>
      <c r="B12372" s="104"/>
    </row>
    <row r="12373" spans="1:2" x14ac:dyDescent="0.25">
      <c r="A12373" s="104"/>
      <c r="B12373" s="104"/>
    </row>
    <row r="12374" spans="1:2" x14ac:dyDescent="0.25">
      <c r="A12374" s="104"/>
      <c r="B12374" s="104"/>
    </row>
    <row r="12375" spans="1:2" x14ac:dyDescent="0.25">
      <c r="A12375" s="104"/>
      <c r="B12375" s="104"/>
    </row>
    <row r="12376" spans="1:2" x14ac:dyDescent="0.25">
      <c r="A12376" s="104"/>
      <c r="B12376" s="104"/>
    </row>
    <row r="12377" spans="1:2" x14ac:dyDescent="0.25">
      <c r="A12377" s="104"/>
      <c r="B12377" s="104"/>
    </row>
    <row r="12378" spans="1:2" x14ac:dyDescent="0.25">
      <c r="A12378" s="104"/>
      <c r="B12378" s="104"/>
    </row>
    <row r="12379" spans="1:2" x14ac:dyDescent="0.25">
      <c r="A12379" s="104"/>
      <c r="B12379" s="104"/>
    </row>
    <row r="12380" spans="1:2" x14ac:dyDescent="0.25">
      <c r="A12380" s="104"/>
      <c r="B12380" s="104"/>
    </row>
    <row r="12381" spans="1:2" x14ac:dyDescent="0.25">
      <c r="A12381" s="104"/>
      <c r="B12381" s="104"/>
    </row>
    <row r="12382" spans="1:2" x14ac:dyDescent="0.25">
      <c r="A12382" s="104"/>
      <c r="B12382" s="104"/>
    </row>
    <row r="12383" spans="1:2" x14ac:dyDescent="0.25">
      <c r="A12383" s="104"/>
      <c r="B12383" s="104"/>
    </row>
    <row r="12384" spans="1:2" x14ac:dyDescent="0.25">
      <c r="A12384" s="104"/>
      <c r="B12384" s="104"/>
    </row>
    <row r="12385" spans="1:2" x14ac:dyDescent="0.25">
      <c r="A12385" s="104"/>
      <c r="B12385" s="104"/>
    </row>
    <row r="12386" spans="1:2" x14ac:dyDescent="0.25">
      <c r="A12386" s="104"/>
      <c r="B12386" s="104"/>
    </row>
    <row r="12387" spans="1:2" x14ac:dyDescent="0.25">
      <c r="A12387" s="104"/>
      <c r="B12387" s="104"/>
    </row>
    <row r="12388" spans="1:2" x14ac:dyDescent="0.25">
      <c r="A12388" s="104"/>
      <c r="B12388" s="104"/>
    </row>
    <row r="12389" spans="1:2" x14ac:dyDescent="0.25">
      <c r="A12389" s="104"/>
      <c r="B12389" s="104"/>
    </row>
    <row r="12390" spans="1:2" x14ac:dyDescent="0.25">
      <c r="A12390" s="104"/>
      <c r="B12390" s="104"/>
    </row>
    <row r="12391" spans="1:2" x14ac:dyDescent="0.25">
      <c r="A12391" s="104"/>
      <c r="B12391" s="104"/>
    </row>
    <row r="12392" spans="1:2" x14ac:dyDescent="0.25">
      <c r="A12392" s="104"/>
      <c r="B12392" s="104"/>
    </row>
    <row r="12393" spans="1:2" x14ac:dyDescent="0.25">
      <c r="A12393" s="104"/>
      <c r="B12393" s="104"/>
    </row>
    <row r="12394" spans="1:2" x14ac:dyDescent="0.25">
      <c r="A12394" s="104"/>
      <c r="B12394" s="104"/>
    </row>
    <row r="12395" spans="1:2" x14ac:dyDescent="0.25">
      <c r="A12395" s="104"/>
      <c r="B12395" s="104"/>
    </row>
    <row r="12396" spans="1:2" x14ac:dyDescent="0.25">
      <c r="A12396" s="104"/>
      <c r="B12396" s="104"/>
    </row>
    <row r="12397" spans="1:2" x14ac:dyDescent="0.25">
      <c r="A12397" s="104"/>
      <c r="B12397" s="104"/>
    </row>
    <row r="12398" spans="1:2" x14ac:dyDescent="0.25">
      <c r="A12398" s="104"/>
      <c r="B12398" s="104"/>
    </row>
    <row r="12399" spans="1:2" x14ac:dyDescent="0.25">
      <c r="A12399" s="104"/>
      <c r="B12399" s="104"/>
    </row>
    <row r="12400" spans="1:2" x14ac:dyDescent="0.25">
      <c r="A12400" s="104"/>
      <c r="B12400" s="104"/>
    </row>
    <row r="12401" spans="1:2" x14ac:dyDescent="0.25">
      <c r="A12401" s="104"/>
      <c r="B12401" s="104"/>
    </row>
    <row r="12402" spans="1:2" x14ac:dyDescent="0.25">
      <c r="A12402" s="104"/>
      <c r="B12402" s="104"/>
    </row>
    <row r="12403" spans="1:2" x14ac:dyDescent="0.25">
      <c r="A12403" s="104"/>
      <c r="B12403" s="104"/>
    </row>
    <row r="12404" spans="1:2" x14ac:dyDescent="0.25">
      <c r="A12404" s="104"/>
      <c r="B12404" s="104"/>
    </row>
    <row r="12405" spans="1:2" x14ac:dyDescent="0.25">
      <c r="A12405" s="104"/>
      <c r="B12405" s="104"/>
    </row>
    <row r="12406" spans="1:2" x14ac:dyDescent="0.25">
      <c r="A12406" s="104"/>
      <c r="B12406" s="104"/>
    </row>
    <row r="12407" spans="1:2" x14ac:dyDescent="0.25">
      <c r="A12407" s="104"/>
      <c r="B12407" s="104"/>
    </row>
    <row r="12408" spans="1:2" x14ac:dyDescent="0.25">
      <c r="A12408" s="104"/>
      <c r="B12408" s="104"/>
    </row>
    <row r="12409" spans="1:2" x14ac:dyDescent="0.25">
      <c r="A12409" s="104"/>
      <c r="B12409" s="104"/>
    </row>
    <row r="12410" spans="1:2" x14ac:dyDescent="0.25">
      <c r="A12410" s="104"/>
      <c r="B12410" s="104"/>
    </row>
    <row r="12411" spans="1:2" x14ac:dyDescent="0.25">
      <c r="A12411" s="104"/>
      <c r="B12411" s="104"/>
    </row>
    <row r="12412" spans="1:2" x14ac:dyDescent="0.25">
      <c r="A12412" s="104"/>
      <c r="B12412" s="104"/>
    </row>
    <row r="12413" spans="1:2" x14ac:dyDescent="0.25">
      <c r="A12413" s="104"/>
      <c r="B12413" s="104"/>
    </row>
    <row r="12414" spans="1:2" x14ac:dyDescent="0.25">
      <c r="A12414" s="104"/>
      <c r="B12414" s="104"/>
    </row>
    <row r="12415" spans="1:2" x14ac:dyDescent="0.25">
      <c r="A12415" s="104"/>
      <c r="B12415" s="104"/>
    </row>
    <row r="12416" spans="1:2" x14ac:dyDescent="0.25">
      <c r="A12416" s="104"/>
      <c r="B12416" s="104"/>
    </row>
    <row r="12417" spans="1:2" x14ac:dyDescent="0.25">
      <c r="A12417" s="104"/>
      <c r="B12417" s="104"/>
    </row>
    <row r="12418" spans="1:2" x14ac:dyDescent="0.25">
      <c r="A12418" s="104"/>
      <c r="B12418" s="104"/>
    </row>
    <row r="12419" spans="1:2" x14ac:dyDescent="0.25">
      <c r="A12419" s="104"/>
      <c r="B12419" s="104"/>
    </row>
    <row r="12420" spans="1:2" x14ac:dyDescent="0.25">
      <c r="A12420" s="104"/>
      <c r="B12420" s="104"/>
    </row>
    <row r="12421" spans="1:2" x14ac:dyDescent="0.25">
      <c r="A12421" s="104"/>
      <c r="B12421" s="104"/>
    </row>
    <row r="12422" spans="1:2" x14ac:dyDescent="0.25">
      <c r="A12422" s="104"/>
      <c r="B12422" s="104"/>
    </row>
    <row r="12423" spans="1:2" x14ac:dyDescent="0.25">
      <c r="A12423" s="104"/>
      <c r="B12423" s="104"/>
    </row>
    <row r="12424" spans="1:2" x14ac:dyDescent="0.25">
      <c r="A12424" s="104"/>
      <c r="B12424" s="104"/>
    </row>
    <row r="12425" spans="1:2" x14ac:dyDescent="0.25">
      <c r="A12425" s="104"/>
      <c r="B12425" s="104"/>
    </row>
    <row r="12426" spans="1:2" x14ac:dyDescent="0.25">
      <c r="A12426" s="104"/>
      <c r="B12426" s="104"/>
    </row>
    <row r="12427" spans="1:2" x14ac:dyDescent="0.25">
      <c r="A12427" s="104"/>
      <c r="B12427" s="104"/>
    </row>
    <row r="12428" spans="1:2" x14ac:dyDescent="0.25">
      <c r="A12428" s="104"/>
      <c r="B12428" s="104"/>
    </row>
    <row r="12429" spans="1:2" x14ac:dyDescent="0.25">
      <c r="A12429" s="104"/>
      <c r="B12429" s="104"/>
    </row>
    <row r="12430" spans="1:2" x14ac:dyDescent="0.25">
      <c r="A12430" s="104"/>
      <c r="B12430" s="104"/>
    </row>
    <row r="12431" spans="1:2" x14ac:dyDescent="0.25">
      <c r="A12431" s="104"/>
      <c r="B12431" s="104"/>
    </row>
    <row r="12432" spans="1:2" x14ac:dyDescent="0.25">
      <c r="A12432" s="104"/>
      <c r="B12432" s="104"/>
    </row>
    <row r="12433" spans="1:2" x14ac:dyDescent="0.25">
      <c r="A12433" s="104"/>
      <c r="B12433" s="104"/>
    </row>
    <row r="12434" spans="1:2" x14ac:dyDescent="0.25">
      <c r="A12434" s="104"/>
      <c r="B12434" s="104"/>
    </row>
    <row r="12435" spans="1:2" x14ac:dyDescent="0.25">
      <c r="A12435" s="104"/>
      <c r="B12435" s="104"/>
    </row>
    <row r="12436" spans="1:2" x14ac:dyDescent="0.25">
      <c r="A12436" s="104"/>
      <c r="B12436" s="104"/>
    </row>
    <row r="12437" spans="1:2" x14ac:dyDescent="0.25">
      <c r="A12437" s="104"/>
      <c r="B12437" s="104"/>
    </row>
    <row r="12438" spans="1:2" x14ac:dyDescent="0.25">
      <c r="A12438" s="104"/>
      <c r="B12438" s="104"/>
    </row>
    <row r="12439" spans="1:2" x14ac:dyDescent="0.25">
      <c r="A12439" s="104"/>
      <c r="B12439" s="104"/>
    </row>
    <row r="12440" spans="1:2" x14ac:dyDescent="0.25">
      <c r="A12440" s="104"/>
      <c r="B12440" s="104"/>
    </row>
    <row r="12441" spans="1:2" x14ac:dyDescent="0.25">
      <c r="A12441" s="104"/>
      <c r="B12441" s="104"/>
    </row>
    <row r="12442" spans="1:2" x14ac:dyDescent="0.25">
      <c r="A12442" s="104"/>
      <c r="B12442" s="104"/>
    </row>
    <row r="12443" spans="1:2" x14ac:dyDescent="0.25">
      <c r="A12443" s="104"/>
      <c r="B12443" s="104"/>
    </row>
    <row r="12444" spans="1:2" x14ac:dyDescent="0.25">
      <c r="A12444" s="104"/>
      <c r="B12444" s="104"/>
    </row>
    <row r="12445" spans="1:2" x14ac:dyDescent="0.25">
      <c r="A12445" s="104"/>
      <c r="B12445" s="104"/>
    </row>
    <row r="12446" spans="1:2" x14ac:dyDescent="0.25">
      <c r="A12446" s="104"/>
      <c r="B12446" s="104"/>
    </row>
    <row r="12447" spans="1:2" x14ac:dyDescent="0.25">
      <c r="A12447" s="104"/>
      <c r="B12447" s="104"/>
    </row>
    <row r="12448" spans="1:2" x14ac:dyDescent="0.25">
      <c r="A12448" s="104"/>
      <c r="B12448" s="104"/>
    </row>
    <row r="12449" spans="1:2" x14ac:dyDescent="0.25">
      <c r="A12449" s="104"/>
      <c r="B12449" s="104"/>
    </row>
    <row r="12450" spans="1:2" x14ac:dyDescent="0.25">
      <c r="A12450" s="104"/>
      <c r="B12450" s="104"/>
    </row>
    <row r="12451" spans="1:2" x14ac:dyDescent="0.25">
      <c r="A12451" s="104"/>
      <c r="B12451" s="104"/>
    </row>
    <row r="12452" spans="1:2" x14ac:dyDescent="0.25">
      <c r="A12452" s="104"/>
      <c r="B12452" s="104"/>
    </row>
    <row r="12453" spans="1:2" x14ac:dyDescent="0.25">
      <c r="A12453" s="104"/>
      <c r="B12453" s="104"/>
    </row>
    <row r="12454" spans="1:2" x14ac:dyDescent="0.25">
      <c r="A12454" s="104"/>
      <c r="B12454" s="104"/>
    </row>
    <row r="12455" spans="1:2" x14ac:dyDescent="0.25">
      <c r="A12455" s="104"/>
      <c r="B12455" s="104"/>
    </row>
    <row r="12456" spans="1:2" x14ac:dyDescent="0.25">
      <c r="A12456" s="104"/>
      <c r="B12456" s="104"/>
    </row>
    <row r="12457" spans="1:2" x14ac:dyDescent="0.25">
      <c r="A12457" s="104"/>
      <c r="B12457" s="104"/>
    </row>
    <row r="12458" spans="1:2" x14ac:dyDescent="0.25">
      <c r="A12458" s="104"/>
      <c r="B12458" s="104"/>
    </row>
    <row r="12459" spans="1:2" x14ac:dyDescent="0.25">
      <c r="A12459" s="104"/>
      <c r="B12459" s="104"/>
    </row>
    <row r="12460" spans="1:2" x14ac:dyDescent="0.25">
      <c r="A12460" s="104"/>
      <c r="B12460" s="104"/>
    </row>
    <row r="12461" spans="1:2" x14ac:dyDescent="0.25">
      <c r="A12461" s="104"/>
      <c r="B12461" s="104"/>
    </row>
    <row r="12462" spans="1:2" x14ac:dyDescent="0.25">
      <c r="A12462" s="104"/>
      <c r="B12462" s="104"/>
    </row>
    <row r="12463" spans="1:2" x14ac:dyDescent="0.25">
      <c r="A12463" s="104"/>
      <c r="B12463" s="104"/>
    </row>
    <row r="12464" spans="1:2" x14ac:dyDescent="0.25">
      <c r="A12464" s="104"/>
      <c r="B12464" s="104"/>
    </row>
    <row r="12465" spans="1:2" x14ac:dyDescent="0.25">
      <c r="A12465" s="104"/>
      <c r="B12465" s="104"/>
    </row>
    <row r="12466" spans="1:2" x14ac:dyDescent="0.25">
      <c r="A12466" s="104"/>
      <c r="B12466" s="104"/>
    </row>
    <row r="12467" spans="1:2" x14ac:dyDescent="0.25">
      <c r="A12467" s="104"/>
      <c r="B12467" s="104"/>
    </row>
    <row r="12468" spans="1:2" x14ac:dyDescent="0.25">
      <c r="A12468" s="104"/>
      <c r="B12468" s="104"/>
    </row>
    <row r="12469" spans="1:2" x14ac:dyDescent="0.25">
      <c r="A12469" s="104"/>
      <c r="B12469" s="104"/>
    </row>
    <row r="12470" spans="1:2" x14ac:dyDescent="0.25">
      <c r="A12470" s="104"/>
      <c r="B12470" s="104"/>
    </row>
    <row r="12471" spans="1:2" x14ac:dyDescent="0.25">
      <c r="A12471" s="104"/>
      <c r="B12471" s="104"/>
    </row>
    <row r="12472" spans="1:2" x14ac:dyDescent="0.25">
      <c r="A12472" s="104"/>
      <c r="B12472" s="104"/>
    </row>
    <row r="12473" spans="1:2" x14ac:dyDescent="0.25">
      <c r="A12473" s="104"/>
      <c r="B12473" s="104"/>
    </row>
    <row r="12474" spans="1:2" x14ac:dyDescent="0.25">
      <c r="A12474" s="104"/>
      <c r="B12474" s="104"/>
    </row>
    <row r="12475" spans="1:2" x14ac:dyDescent="0.25">
      <c r="A12475" s="104"/>
      <c r="B12475" s="104"/>
    </row>
    <row r="12476" spans="1:2" x14ac:dyDescent="0.25">
      <c r="A12476" s="104"/>
      <c r="B12476" s="104"/>
    </row>
    <row r="12477" spans="1:2" x14ac:dyDescent="0.25">
      <c r="A12477" s="104"/>
      <c r="B12477" s="104"/>
    </row>
    <row r="12478" spans="1:2" x14ac:dyDescent="0.25">
      <c r="A12478" s="104"/>
      <c r="B12478" s="104"/>
    </row>
    <row r="12479" spans="1:2" x14ac:dyDescent="0.25">
      <c r="A12479" s="104"/>
      <c r="B12479" s="104"/>
    </row>
    <row r="12480" spans="1:2" x14ac:dyDescent="0.25">
      <c r="A12480" s="104"/>
      <c r="B12480" s="104"/>
    </row>
    <row r="12481" spans="1:2" x14ac:dyDescent="0.25">
      <c r="A12481" s="104"/>
      <c r="B12481" s="104"/>
    </row>
    <row r="12482" spans="1:2" x14ac:dyDescent="0.25">
      <c r="A12482" s="104"/>
      <c r="B12482" s="104"/>
    </row>
    <row r="12483" spans="1:2" x14ac:dyDescent="0.25">
      <c r="A12483" s="104"/>
      <c r="B12483" s="104"/>
    </row>
    <row r="12484" spans="1:2" x14ac:dyDescent="0.25">
      <c r="A12484" s="104"/>
      <c r="B12484" s="104"/>
    </row>
    <row r="12485" spans="1:2" x14ac:dyDescent="0.25">
      <c r="A12485" s="104"/>
      <c r="B12485" s="104"/>
    </row>
    <row r="12486" spans="1:2" x14ac:dyDescent="0.25">
      <c r="A12486" s="104"/>
      <c r="B12486" s="104"/>
    </row>
    <row r="12487" spans="1:2" x14ac:dyDescent="0.25">
      <c r="A12487" s="104"/>
      <c r="B12487" s="104"/>
    </row>
    <row r="12488" spans="1:2" x14ac:dyDescent="0.25">
      <c r="A12488" s="104"/>
      <c r="B12488" s="104"/>
    </row>
    <row r="12489" spans="1:2" x14ac:dyDescent="0.25">
      <c r="A12489" s="104"/>
      <c r="B12489" s="104"/>
    </row>
    <row r="12490" spans="1:2" x14ac:dyDescent="0.25">
      <c r="A12490" s="104"/>
      <c r="B12490" s="104"/>
    </row>
    <row r="12491" spans="1:2" x14ac:dyDescent="0.25">
      <c r="A12491" s="104"/>
      <c r="B12491" s="104"/>
    </row>
    <row r="12492" spans="1:2" x14ac:dyDescent="0.25">
      <c r="A12492" s="104"/>
      <c r="B12492" s="104"/>
    </row>
    <row r="12493" spans="1:2" x14ac:dyDescent="0.25">
      <c r="A12493" s="104"/>
      <c r="B12493" s="104"/>
    </row>
    <row r="12494" spans="1:2" x14ac:dyDescent="0.25">
      <c r="A12494" s="104"/>
      <c r="B12494" s="104"/>
    </row>
    <row r="12495" spans="1:2" x14ac:dyDescent="0.25">
      <c r="A12495" s="104"/>
      <c r="B12495" s="104"/>
    </row>
    <row r="12496" spans="1:2" x14ac:dyDescent="0.25">
      <c r="A12496" s="104"/>
      <c r="B12496" s="104"/>
    </row>
    <row r="12497" spans="1:2" x14ac:dyDescent="0.25">
      <c r="A12497" s="104"/>
      <c r="B12497" s="104"/>
    </row>
    <row r="12498" spans="1:2" x14ac:dyDescent="0.25">
      <c r="A12498" s="104"/>
      <c r="B12498" s="104"/>
    </row>
    <row r="12499" spans="1:2" x14ac:dyDescent="0.25">
      <c r="A12499" s="104"/>
      <c r="B12499" s="104"/>
    </row>
    <row r="12500" spans="1:2" x14ac:dyDescent="0.25">
      <c r="A12500" s="104"/>
      <c r="B12500" s="104"/>
    </row>
    <row r="12501" spans="1:2" x14ac:dyDescent="0.25">
      <c r="A12501" s="104"/>
      <c r="B12501" s="104"/>
    </row>
    <row r="12502" spans="1:2" x14ac:dyDescent="0.25">
      <c r="A12502" s="104"/>
      <c r="B12502" s="104"/>
    </row>
    <row r="12503" spans="1:2" x14ac:dyDescent="0.25">
      <c r="A12503" s="104"/>
      <c r="B12503" s="104"/>
    </row>
    <row r="12504" spans="1:2" x14ac:dyDescent="0.25">
      <c r="A12504" s="104"/>
      <c r="B12504" s="104"/>
    </row>
    <row r="12505" spans="1:2" x14ac:dyDescent="0.25">
      <c r="A12505" s="104"/>
      <c r="B12505" s="104"/>
    </row>
    <row r="12506" spans="1:2" x14ac:dyDescent="0.25">
      <c r="A12506" s="104"/>
      <c r="B12506" s="104"/>
    </row>
    <row r="12507" spans="1:2" x14ac:dyDescent="0.25">
      <c r="A12507" s="104"/>
      <c r="B12507" s="104"/>
    </row>
    <row r="12508" spans="1:2" x14ac:dyDescent="0.25">
      <c r="A12508" s="104"/>
      <c r="B12508" s="104"/>
    </row>
    <row r="12509" spans="1:2" x14ac:dyDescent="0.25">
      <c r="A12509" s="104"/>
      <c r="B12509" s="104"/>
    </row>
    <row r="12510" spans="1:2" x14ac:dyDescent="0.25">
      <c r="A12510" s="104"/>
      <c r="B12510" s="104"/>
    </row>
    <row r="12511" spans="1:2" x14ac:dyDescent="0.25">
      <c r="A12511" s="104"/>
      <c r="B12511" s="104"/>
    </row>
    <row r="12512" spans="1:2" x14ac:dyDescent="0.25">
      <c r="A12512" s="104"/>
      <c r="B12512" s="104"/>
    </row>
    <row r="12513" spans="1:2" x14ac:dyDescent="0.25">
      <c r="A12513" s="104"/>
      <c r="B12513" s="104"/>
    </row>
    <row r="12514" spans="1:2" x14ac:dyDescent="0.25">
      <c r="A12514" s="104"/>
      <c r="B12514" s="104"/>
    </row>
    <row r="12515" spans="1:2" x14ac:dyDescent="0.25">
      <c r="A12515" s="104"/>
      <c r="B12515" s="104"/>
    </row>
    <row r="12516" spans="1:2" x14ac:dyDescent="0.25">
      <c r="A12516" s="104"/>
      <c r="B12516" s="104"/>
    </row>
    <row r="12517" spans="1:2" x14ac:dyDescent="0.25">
      <c r="A12517" s="104"/>
      <c r="B12517" s="104"/>
    </row>
    <row r="12518" spans="1:2" x14ac:dyDescent="0.25">
      <c r="A12518" s="104"/>
      <c r="B12518" s="104"/>
    </row>
    <row r="12519" spans="1:2" x14ac:dyDescent="0.25">
      <c r="A12519" s="104"/>
      <c r="B12519" s="104"/>
    </row>
    <row r="12520" spans="1:2" x14ac:dyDescent="0.25">
      <c r="A12520" s="104"/>
      <c r="B12520" s="104"/>
    </row>
    <row r="12521" spans="1:2" x14ac:dyDescent="0.25">
      <c r="A12521" s="104"/>
      <c r="B12521" s="104"/>
    </row>
    <row r="12522" spans="1:2" x14ac:dyDescent="0.25">
      <c r="A12522" s="104"/>
      <c r="B12522" s="104"/>
    </row>
    <row r="12523" spans="1:2" x14ac:dyDescent="0.25">
      <c r="A12523" s="104"/>
      <c r="B12523" s="104"/>
    </row>
    <row r="12524" spans="1:2" x14ac:dyDescent="0.25">
      <c r="A12524" s="104"/>
      <c r="B12524" s="104"/>
    </row>
    <row r="12525" spans="1:2" x14ac:dyDescent="0.25">
      <c r="A12525" s="104"/>
      <c r="B12525" s="104"/>
    </row>
    <row r="12526" spans="1:2" x14ac:dyDescent="0.25">
      <c r="A12526" s="104"/>
      <c r="B12526" s="104"/>
    </row>
    <row r="12527" spans="1:2" x14ac:dyDescent="0.25">
      <c r="A12527" s="104"/>
      <c r="B12527" s="104"/>
    </row>
    <row r="12528" spans="1:2" x14ac:dyDescent="0.25">
      <c r="A12528" s="104"/>
      <c r="B12528" s="104"/>
    </row>
    <row r="12529" spans="1:2" x14ac:dyDescent="0.25">
      <c r="A12529" s="104"/>
      <c r="B12529" s="104"/>
    </row>
    <row r="12530" spans="1:2" x14ac:dyDescent="0.25">
      <c r="A12530" s="104"/>
      <c r="B12530" s="104"/>
    </row>
    <row r="12531" spans="1:2" x14ac:dyDescent="0.25">
      <c r="A12531" s="104"/>
      <c r="B12531" s="104"/>
    </row>
    <row r="12532" spans="1:2" x14ac:dyDescent="0.25">
      <c r="A12532" s="104"/>
      <c r="B12532" s="104"/>
    </row>
    <row r="12533" spans="1:2" x14ac:dyDescent="0.25">
      <c r="A12533" s="104"/>
      <c r="B12533" s="104"/>
    </row>
    <row r="12534" spans="1:2" x14ac:dyDescent="0.25">
      <c r="A12534" s="104"/>
      <c r="B12534" s="104"/>
    </row>
    <row r="12535" spans="1:2" x14ac:dyDescent="0.25">
      <c r="A12535" s="104"/>
      <c r="B12535" s="104"/>
    </row>
    <row r="12536" spans="1:2" x14ac:dyDescent="0.25">
      <c r="A12536" s="104"/>
      <c r="B12536" s="104"/>
    </row>
    <row r="12537" spans="1:2" x14ac:dyDescent="0.25">
      <c r="A12537" s="104"/>
      <c r="B12537" s="104"/>
    </row>
    <row r="12538" spans="1:2" x14ac:dyDescent="0.25">
      <c r="A12538" s="104"/>
      <c r="B12538" s="104"/>
    </row>
    <row r="12539" spans="1:2" x14ac:dyDescent="0.25">
      <c r="A12539" s="104"/>
      <c r="B12539" s="104"/>
    </row>
    <row r="12540" spans="1:2" x14ac:dyDescent="0.25">
      <c r="A12540" s="104"/>
      <c r="B12540" s="104"/>
    </row>
    <row r="12541" spans="1:2" x14ac:dyDescent="0.25">
      <c r="A12541" s="104"/>
      <c r="B12541" s="104"/>
    </row>
    <row r="12542" spans="1:2" x14ac:dyDescent="0.25">
      <c r="A12542" s="104"/>
      <c r="B12542" s="104"/>
    </row>
    <row r="12543" spans="1:2" x14ac:dyDescent="0.25">
      <c r="A12543" s="104"/>
      <c r="B12543" s="104"/>
    </row>
    <row r="12544" spans="1:2" x14ac:dyDescent="0.25">
      <c r="A12544" s="104"/>
      <c r="B12544" s="104"/>
    </row>
    <row r="12545" spans="1:2" x14ac:dyDescent="0.25">
      <c r="A12545" s="104"/>
      <c r="B12545" s="104"/>
    </row>
    <row r="12546" spans="1:2" x14ac:dyDescent="0.25">
      <c r="A12546" s="104"/>
      <c r="B12546" s="104"/>
    </row>
    <row r="12547" spans="1:2" x14ac:dyDescent="0.25">
      <c r="A12547" s="104"/>
      <c r="B12547" s="104"/>
    </row>
    <row r="12548" spans="1:2" x14ac:dyDescent="0.25">
      <c r="A12548" s="104"/>
      <c r="B12548" s="104"/>
    </row>
    <row r="12549" spans="1:2" x14ac:dyDescent="0.25">
      <c r="A12549" s="104"/>
      <c r="B12549" s="104"/>
    </row>
    <row r="12550" spans="1:2" x14ac:dyDescent="0.25">
      <c r="A12550" s="104"/>
      <c r="B12550" s="104"/>
    </row>
    <row r="12551" spans="1:2" x14ac:dyDescent="0.25">
      <c r="A12551" s="104"/>
      <c r="B12551" s="104"/>
    </row>
    <row r="12552" spans="1:2" x14ac:dyDescent="0.25">
      <c r="A12552" s="104"/>
      <c r="B12552" s="104"/>
    </row>
    <row r="12553" spans="1:2" x14ac:dyDescent="0.25">
      <c r="A12553" s="104"/>
      <c r="B12553" s="104"/>
    </row>
    <row r="12554" spans="1:2" x14ac:dyDescent="0.25">
      <c r="A12554" s="104"/>
      <c r="B12554" s="104"/>
    </row>
    <row r="12555" spans="1:2" x14ac:dyDescent="0.25">
      <c r="A12555" s="104"/>
      <c r="B12555" s="104"/>
    </row>
    <row r="12556" spans="1:2" x14ac:dyDescent="0.25">
      <c r="A12556" s="104"/>
      <c r="B12556" s="104"/>
    </row>
    <row r="12557" spans="1:2" x14ac:dyDescent="0.25">
      <c r="A12557" s="104"/>
      <c r="B12557" s="104"/>
    </row>
    <row r="12558" spans="1:2" x14ac:dyDescent="0.25">
      <c r="A12558" s="104"/>
      <c r="B12558" s="104"/>
    </row>
    <row r="12559" spans="1:2" x14ac:dyDescent="0.25">
      <c r="A12559" s="104"/>
      <c r="B12559" s="104"/>
    </row>
    <row r="12560" spans="1:2" x14ac:dyDescent="0.25">
      <c r="A12560" s="104"/>
      <c r="B12560" s="104"/>
    </row>
    <row r="12561" spans="1:2" x14ac:dyDescent="0.25">
      <c r="A12561" s="104"/>
      <c r="B12561" s="104"/>
    </row>
    <row r="12562" spans="1:2" x14ac:dyDescent="0.25">
      <c r="A12562" s="104"/>
      <c r="B12562" s="104"/>
    </row>
    <row r="12563" spans="1:2" x14ac:dyDescent="0.25">
      <c r="A12563" s="104"/>
      <c r="B12563" s="104"/>
    </row>
    <row r="12564" spans="1:2" x14ac:dyDescent="0.25">
      <c r="A12564" s="104"/>
      <c r="B12564" s="104"/>
    </row>
    <row r="12565" spans="1:2" x14ac:dyDescent="0.25">
      <c r="A12565" s="104"/>
      <c r="B12565" s="104"/>
    </row>
    <row r="12566" spans="1:2" x14ac:dyDescent="0.25">
      <c r="A12566" s="104"/>
      <c r="B12566" s="104"/>
    </row>
    <row r="12567" spans="1:2" x14ac:dyDescent="0.25">
      <c r="A12567" s="104"/>
      <c r="B12567" s="104"/>
    </row>
    <row r="12568" spans="1:2" x14ac:dyDescent="0.25">
      <c r="A12568" s="104"/>
      <c r="B12568" s="104"/>
    </row>
    <row r="12569" spans="1:2" x14ac:dyDescent="0.25">
      <c r="A12569" s="104"/>
      <c r="B12569" s="104"/>
    </row>
    <row r="12570" spans="1:2" x14ac:dyDescent="0.25">
      <c r="A12570" s="104"/>
      <c r="B12570" s="104"/>
    </row>
    <row r="12571" spans="1:2" x14ac:dyDescent="0.25">
      <c r="A12571" s="104"/>
      <c r="B12571" s="104"/>
    </row>
    <row r="12572" spans="1:2" x14ac:dyDescent="0.25">
      <c r="A12572" s="104"/>
      <c r="B12572" s="104"/>
    </row>
    <row r="12573" spans="1:2" x14ac:dyDescent="0.25">
      <c r="A12573" s="104"/>
      <c r="B12573" s="104"/>
    </row>
    <row r="12574" spans="1:2" x14ac:dyDescent="0.25">
      <c r="A12574" s="104"/>
      <c r="B12574" s="104"/>
    </row>
    <row r="12575" spans="1:2" x14ac:dyDescent="0.25">
      <c r="A12575" s="104"/>
      <c r="B12575" s="104"/>
    </row>
    <row r="12576" spans="1:2" x14ac:dyDescent="0.25">
      <c r="A12576" s="104"/>
      <c r="B12576" s="104"/>
    </row>
    <row r="12577" spans="1:2" x14ac:dyDescent="0.25">
      <c r="A12577" s="104"/>
      <c r="B12577" s="104"/>
    </row>
    <row r="12578" spans="1:2" x14ac:dyDescent="0.25">
      <c r="A12578" s="104"/>
      <c r="B12578" s="104"/>
    </row>
    <row r="12579" spans="1:2" x14ac:dyDescent="0.25">
      <c r="A12579" s="104"/>
      <c r="B12579" s="104"/>
    </row>
    <row r="12580" spans="1:2" x14ac:dyDescent="0.25">
      <c r="A12580" s="104"/>
      <c r="B12580" s="104"/>
    </row>
    <row r="12581" spans="1:2" x14ac:dyDescent="0.25">
      <c r="A12581" s="104"/>
      <c r="B12581" s="104"/>
    </row>
    <row r="12582" spans="1:2" x14ac:dyDescent="0.25">
      <c r="A12582" s="104"/>
      <c r="B12582" s="104"/>
    </row>
    <row r="12583" spans="1:2" x14ac:dyDescent="0.25">
      <c r="A12583" s="104"/>
      <c r="B12583" s="104"/>
    </row>
    <row r="12584" spans="1:2" x14ac:dyDescent="0.25">
      <c r="A12584" s="104"/>
      <c r="B12584" s="104"/>
    </row>
    <row r="12585" spans="1:2" x14ac:dyDescent="0.25">
      <c r="A12585" s="104"/>
      <c r="B12585" s="104"/>
    </row>
    <row r="12586" spans="1:2" x14ac:dyDescent="0.25">
      <c r="A12586" s="104"/>
      <c r="B12586" s="104"/>
    </row>
    <row r="12587" spans="1:2" x14ac:dyDescent="0.25">
      <c r="A12587" s="104"/>
      <c r="B12587" s="104"/>
    </row>
    <row r="12588" spans="1:2" x14ac:dyDescent="0.25">
      <c r="A12588" s="104"/>
      <c r="B12588" s="104"/>
    </row>
    <row r="12589" spans="1:2" x14ac:dyDescent="0.25">
      <c r="A12589" s="104"/>
      <c r="B12589" s="104"/>
    </row>
    <row r="12590" spans="1:2" x14ac:dyDescent="0.25">
      <c r="A12590" s="104"/>
      <c r="B12590" s="104"/>
    </row>
    <row r="12591" spans="1:2" x14ac:dyDescent="0.25">
      <c r="A12591" s="104"/>
      <c r="B12591" s="104"/>
    </row>
    <row r="12592" spans="1:2" x14ac:dyDescent="0.25">
      <c r="A12592" s="104"/>
      <c r="B12592" s="104"/>
    </row>
    <row r="12593" spans="1:2" x14ac:dyDescent="0.25">
      <c r="A12593" s="104"/>
      <c r="B12593" s="104"/>
    </row>
    <row r="12594" spans="1:2" x14ac:dyDescent="0.25">
      <c r="A12594" s="104"/>
      <c r="B12594" s="104"/>
    </row>
    <row r="12595" spans="1:2" x14ac:dyDescent="0.25">
      <c r="A12595" s="104"/>
      <c r="B12595" s="104"/>
    </row>
    <row r="12596" spans="1:2" x14ac:dyDescent="0.25">
      <c r="A12596" s="104"/>
      <c r="B12596" s="104"/>
    </row>
    <row r="12597" spans="1:2" x14ac:dyDescent="0.25">
      <c r="A12597" s="104"/>
      <c r="B12597" s="104"/>
    </row>
    <row r="12598" spans="1:2" x14ac:dyDescent="0.25">
      <c r="A12598" s="104"/>
      <c r="B12598" s="104"/>
    </row>
    <row r="12599" spans="1:2" x14ac:dyDescent="0.25">
      <c r="A12599" s="104"/>
      <c r="B12599" s="104"/>
    </row>
    <row r="12600" spans="1:2" x14ac:dyDescent="0.25">
      <c r="A12600" s="104"/>
      <c r="B12600" s="104"/>
    </row>
    <row r="12601" spans="1:2" x14ac:dyDescent="0.25">
      <c r="A12601" s="104"/>
      <c r="B12601" s="104"/>
    </row>
    <row r="12602" spans="1:2" x14ac:dyDescent="0.25">
      <c r="A12602" s="104"/>
      <c r="B12602" s="104"/>
    </row>
    <row r="12603" spans="1:2" x14ac:dyDescent="0.25">
      <c r="A12603" s="104"/>
      <c r="B12603" s="104"/>
    </row>
    <row r="12604" spans="1:2" x14ac:dyDescent="0.25">
      <c r="A12604" s="104"/>
      <c r="B12604" s="104"/>
    </row>
    <row r="12605" spans="1:2" x14ac:dyDescent="0.25">
      <c r="A12605" s="104"/>
      <c r="B12605" s="104"/>
    </row>
    <row r="12606" spans="1:2" x14ac:dyDescent="0.25">
      <c r="A12606" s="104"/>
      <c r="B12606" s="104"/>
    </row>
    <row r="12607" spans="1:2" x14ac:dyDescent="0.25">
      <c r="A12607" s="104"/>
      <c r="B12607" s="104"/>
    </row>
    <row r="12608" spans="1:2" x14ac:dyDescent="0.25">
      <c r="A12608" s="104"/>
      <c r="B12608" s="104"/>
    </row>
    <row r="12609" spans="1:2" x14ac:dyDescent="0.25">
      <c r="A12609" s="104"/>
      <c r="B12609" s="104"/>
    </row>
    <row r="12610" spans="1:2" x14ac:dyDescent="0.25">
      <c r="A12610" s="104"/>
      <c r="B12610" s="104"/>
    </row>
    <row r="12611" spans="1:2" x14ac:dyDescent="0.25">
      <c r="A12611" s="104"/>
      <c r="B12611" s="104"/>
    </row>
    <row r="12612" spans="1:2" x14ac:dyDescent="0.25">
      <c r="A12612" s="104"/>
      <c r="B12612" s="104"/>
    </row>
    <row r="12613" spans="1:2" x14ac:dyDescent="0.25">
      <c r="A12613" s="104"/>
      <c r="B12613" s="104"/>
    </row>
    <row r="12614" spans="1:2" x14ac:dyDescent="0.25">
      <c r="A12614" s="104"/>
      <c r="B12614" s="104"/>
    </row>
    <row r="12615" spans="1:2" x14ac:dyDescent="0.25">
      <c r="A12615" s="104"/>
      <c r="B12615" s="104"/>
    </row>
    <row r="12616" spans="1:2" x14ac:dyDescent="0.25">
      <c r="A12616" s="104"/>
      <c r="B12616" s="104"/>
    </row>
    <row r="12617" spans="1:2" x14ac:dyDescent="0.25">
      <c r="A12617" s="104"/>
      <c r="B12617" s="104"/>
    </row>
    <row r="12618" spans="1:2" x14ac:dyDescent="0.25">
      <c r="A12618" s="104"/>
      <c r="B12618" s="104"/>
    </row>
    <row r="12619" spans="1:2" x14ac:dyDescent="0.25">
      <c r="A12619" s="104"/>
      <c r="B12619" s="104"/>
    </row>
    <row r="12620" spans="1:2" x14ac:dyDescent="0.25">
      <c r="A12620" s="104"/>
      <c r="B12620" s="104"/>
    </row>
    <row r="12621" spans="1:2" x14ac:dyDescent="0.25">
      <c r="A12621" s="104"/>
      <c r="B12621" s="104"/>
    </row>
    <row r="12622" spans="1:2" x14ac:dyDescent="0.25">
      <c r="A12622" s="104"/>
      <c r="B12622" s="104"/>
    </row>
    <row r="12623" spans="1:2" x14ac:dyDescent="0.25">
      <c r="A12623" s="104"/>
      <c r="B12623" s="104"/>
    </row>
    <row r="12624" spans="1:2" x14ac:dyDescent="0.25">
      <c r="A12624" s="104"/>
      <c r="B12624" s="104"/>
    </row>
    <row r="12625" spans="1:2" x14ac:dyDescent="0.25">
      <c r="A12625" s="104"/>
      <c r="B12625" s="104"/>
    </row>
    <row r="12626" spans="1:2" x14ac:dyDescent="0.25">
      <c r="A12626" s="104"/>
      <c r="B12626" s="104"/>
    </row>
    <row r="12627" spans="1:2" x14ac:dyDescent="0.25">
      <c r="A12627" s="104"/>
      <c r="B12627" s="104"/>
    </row>
    <row r="12628" spans="1:2" x14ac:dyDescent="0.25">
      <c r="A12628" s="104"/>
      <c r="B12628" s="104"/>
    </row>
    <row r="12629" spans="1:2" x14ac:dyDescent="0.25">
      <c r="A12629" s="104"/>
      <c r="B12629" s="104"/>
    </row>
    <row r="12630" spans="1:2" x14ac:dyDescent="0.25">
      <c r="A12630" s="104"/>
      <c r="B12630" s="104"/>
    </row>
    <row r="12631" spans="1:2" x14ac:dyDescent="0.25">
      <c r="A12631" s="104"/>
      <c r="B12631" s="104"/>
    </row>
    <row r="12632" spans="1:2" x14ac:dyDescent="0.25">
      <c r="A12632" s="104"/>
      <c r="B12632" s="104"/>
    </row>
    <row r="12633" spans="1:2" x14ac:dyDescent="0.25">
      <c r="A12633" s="104"/>
      <c r="B12633" s="104"/>
    </row>
    <row r="12634" spans="1:2" x14ac:dyDescent="0.25">
      <c r="A12634" s="104"/>
      <c r="B12634" s="104"/>
    </row>
    <row r="12635" spans="1:2" x14ac:dyDescent="0.25">
      <c r="A12635" s="104"/>
      <c r="B12635" s="104"/>
    </row>
    <row r="12636" spans="1:2" x14ac:dyDescent="0.25">
      <c r="A12636" s="104"/>
      <c r="B12636" s="104"/>
    </row>
    <row r="12637" spans="1:2" x14ac:dyDescent="0.25">
      <c r="A12637" s="104"/>
      <c r="B12637" s="104"/>
    </row>
    <row r="12638" spans="1:2" x14ac:dyDescent="0.25">
      <c r="A12638" s="104"/>
      <c r="B12638" s="104"/>
    </row>
    <row r="12639" spans="1:2" x14ac:dyDescent="0.25">
      <c r="A12639" s="104"/>
      <c r="B12639" s="104"/>
    </row>
    <row r="12640" spans="1:2" x14ac:dyDescent="0.25">
      <c r="A12640" s="104"/>
      <c r="B12640" s="104"/>
    </row>
    <row r="12641" spans="1:2" x14ac:dyDescent="0.25">
      <c r="A12641" s="104"/>
      <c r="B12641" s="104"/>
    </row>
    <row r="12642" spans="1:2" x14ac:dyDescent="0.25">
      <c r="A12642" s="104"/>
      <c r="B12642" s="104"/>
    </row>
    <row r="12643" spans="1:2" x14ac:dyDescent="0.25">
      <c r="A12643" s="104"/>
      <c r="B12643" s="104"/>
    </row>
    <row r="12644" spans="1:2" x14ac:dyDescent="0.25">
      <c r="A12644" s="104"/>
      <c r="B12644" s="104"/>
    </row>
    <row r="12645" spans="1:2" x14ac:dyDescent="0.25">
      <c r="A12645" s="104"/>
      <c r="B12645" s="104"/>
    </row>
    <row r="12646" spans="1:2" x14ac:dyDescent="0.25">
      <c r="A12646" s="104"/>
      <c r="B12646" s="104"/>
    </row>
    <row r="12647" spans="1:2" x14ac:dyDescent="0.25">
      <c r="A12647" s="104"/>
      <c r="B12647" s="104"/>
    </row>
    <row r="12648" spans="1:2" x14ac:dyDescent="0.25">
      <c r="A12648" s="104"/>
      <c r="B12648" s="104"/>
    </row>
    <row r="12649" spans="1:2" x14ac:dyDescent="0.25">
      <c r="A12649" s="104"/>
      <c r="B12649" s="104"/>
    </row>
    <row r="12650" spans="1:2" x14ac:dyDescent="0.25">
      <c r="A12650" s="104"/>
      <c r="B12650" s="104"/>
    </row>
    <row r="12651" spans="1:2" x14ac:dyDescent="0.25">
      <c r="A12651" s="104"/>
      <c r="B12651" s="104"/>
    </row>
    <row r="12652" spans="1:2" x14ac:dyDescent="0.25">
      <c r="A12652" s="104"/>
      <c r="B12652" s="104"/>
    </row>
    <row r="12653" spans="1:2" x14ac:dyDescent="0.25">
      <c r="A12653" s="104"/>
      <c r="B12653" s="104"/>
    </row>
    <row r="12654" spans="1:2" x14ac:dyDescent="0.25">
      <c r="A12654" s="104"/>
      <c r="B12654" s="104"/>
    </row>
    <row r="12655" spans="1:2" x14ac:dyDescent="0.25">
      <c r="A12655" s="104"/>
      <c r="B12655" s="104"/>
    </row>
    <row r="12656" spans="1:2" x14ac:dyDescent="0.25">
      <c r="A12656" s="104"/>
      <c r="B12656" s="104"/>
    </row>
    <row r="12657" spans="1:2" x14ac:dyDescent="0.25">
      <c r="A12657" s="104"/>
      <c r="B12657" s="104"/>
    </row>
    <row r="12658" spans="1:2" x14ac:dyDescent="0.25">
      <c r="A12658" s="104"/>
      <c r="B12658" s="104"/>
    </row>
    <row r="12659" spans="1:2" x14ac:dyDescent="0.25">
      <c r="A12659" s="104"/>
      <c r="B12659" s="104"/>
    </row>
    <row r="12660" spans="1:2" x14ac:dyDescent="0.25">
      <c r="A12660" s="104"/>
      <c r="B12660" s="104"/>
    </row>
    <row r="12661" spans="1:2" x14ac:dyDescent="0.25">
      <c r="A12661" s="104"/>
      <c r="B12661" s="104"/>
    </row>
    <row r="12662" spans="1:2" x14ac:dyDescent="0.25">
      <c r="A12662" s="104"/>
      <c r="B12662" s="104"/>
    </row>
    <row r="12663" spans="1:2" x14ac:dyDescent="0.25">
      <c r="A12663" s="104"/>
      <c r="B12663" s="104"/>
    </row>
    <row r="12664" spans="1:2" x14ac:dyDescent="0.25">
      <c r="A12664" s="104"/>
      <c r="B12664" s="104"/>
    </row>
    <row r="12665" spans="1:2" x14ac:dyDescent="0.25">
      <c r="A12665" s="104"/>
      <c r="B12665" s="104"/>
    </row>
    <row r="12666" spans="1:2" x14ac:dyDescent="0.25">
      <c r="A12666" s="104"/>
      <c r="B12666" s="104"/>
    </row>
    <row r="12667" spans="1:2" x14ac:dyDescent="0.25">
      <c r="A12667" s="104"/>
      <c r="B12667" s="104"/>
    </row>
    <row r="12668" spans="1:2" x14ac:dyDescent="0.25">
      <c r="A12668" s="104"/>
      <c r="B12668" s="104"/>
    </row>
    <row r="12669" spans="1:2" x14ac:dyDescent="0.25">
      <c r="A12669" s="104"/>
      <c r="B12669" s="104"/>
    </row>
    <row r="12670" spans="1:2" x14ac:dyDescent="0.25">
      <c r="A12670" s="104"/>
      <c r="B12670" s="104"/>
    </row>
    <row r="12671" spans="1:2" x14ac:dyDescent="0.25">
      <c r="A12671" s="104"/>
      <c r="B12671" s="104"/>
    </row>
    <row r="12672" spans="1:2" x14ac:dyDescent="0.25">
      <c r="A12672" s="104"/>
      <c r="B12672" s="104"/>
    </row>
    <row r="12673" spans="1:2" x14ac:dyDescent="0.25">
      <c r="A12673" s="104"/>
      <c r="B12673" s="104"/>
    </row>
    <row r="12674" spans="1:2" x14ac:dyDescent="0.25">
      <c r="A12674" s="104"/>
      <c r="B12674" s="104"/>
    </row>
    <row r="12675" spans="1:2" x14ac:dyDescent="0.25">
      <c r="A12675" s="104"/>
      <c r="B12675" s="104"/>
    </row>
    <row r="12676" spans="1:2" x14ac:dyDescent="0.25">
      <c r="A12676" s="104"/>
      <c r="B12676" s="104"/>
    </row>
    <row r="12677" spans="1:2" x14ac:dyDescent="0.25">
      <c r="A12677" s="104"/>
      <c r="B12677" s="104"/>
    </row>
    <row r="12678" spans="1:2" x14ac:dyDescent="0.25">
      <c r="A12678" s="104"/>
      <c r="B12678" s="104"/>
    </row>
    <row r="12679" spans="1:2" x14ac:dyDescent="0.25">
      <c r="A12679" s="104"/>
      <c r="B12679" s="104"/>
    </row>
    <row r="12680" spans="1:2" x14ac:dyDescent="0.25">
      <c r="A12680" s="104"/>
      <c r="B12680" s="104"/>
    </row>
    <row r="12681" spans="1:2" x14ac:dyDescent="0.25">
      <c r="A12681" s="104"/>
      <c r="B12681" s="104"/>
    </row>
    <row r="12682" spans="1:2" x14ac:dyDescent="0.25">
      <c r="A12682" s="104"/>
      <c r="B12682" s="104"/>
    </row>
    <row r="12683" spans="1:2" x14ac:dyDescent="0.25">
      <c r="A12683" s="104"/>
      <c r="B12683" s="104"/>
    </row>
    <row r="12684" spans="1:2" x14ac:dyDescent="0.25">
      <c r="A12684" s="104"/>
      <c r="B12684" s="104"/>
    </row>
    <row r="12685" spans="1:2" x14ac:dyDescent="0.25">
      <c r="A12685" s="104"/>
      <c r="B12685" s="104"/>
    </row>
    <row r="12686" spans="1:2" x14ac:dyDescent="0.25">
      <c r="A12686" s="104"/>
      <c r="B12686" s="104"/>
    </row>
    <row r="12687" spans="1:2" x14ac:dyDescent="0.25">
      <c r="A12687" s="104"/>
      <c r="B12687" s="104"/>
    </row>
    <row r="12688" spans="1:2" x14ac:dyDescent="0.25">
      <c r="A12688" s="104"/>
      <c r="B12688" s="104"/>
    </row>
    <row r="12689" spans="1:2" x14ac:dyDescent="0.25">
      <c r="A12689" s="104"/>
      <c r="B12689" s="104"/>
    </row>
    <row r="12690" spans="1:2" x14ac:dyDescent="0.25">
      <c r="A12690" s="104"/>
      <c r="B12690" s="104"/>
    </row>
    <row r="12691" spans="1:2" x14ac:dyDescent="0.25">
      <c r="A12691" s="104"/>
      <c r="B12691" s="104"/>
    </row>
    <row r="12692" spans="1:2" x14ac:dyDescent="0.25">
      <c r="A12692" s="104"/>
      <c r="B12692" s="104"/>
    </row>
    <row r="12693" spans="1:2" x14ac:dyDescent="0.25">
      <c r="A12693" s="104"/>
      <c r="B12693" s="104"/>
    </row>
    <row r="12694" spans="1:2" x14ac:dyDescent="0.25">
      <c r="A12694" s="104"/>
      <c r="B12694" s="104"/>
    </row>
    <row r="12695" spans="1:2" x14ac:dyDescent="0.25">
      <c r="A12695" s="104"/>
      <c r="B12695" s="104"/>
    </row>
    <row r="12696" spans="1:2" x14ac:dyDescent="0.25">
      <c r="A12696" s="104"/>
      <c r="B12696" s="104"/>
    </row>
    <row r="12697" spans="1:2" x14ac:dyDescent="0.25">
      <c r="A12697" s="104"/>
      <c r="B12697" s="104"/>
    </row>
    <row r="12698" spans="1:2" x14ac:dyDescent="0.25">
      <c r="A12698" s="104"/>
      <c r="B12698" s="104"/>
    </row>
    <row r="12699" spans="1:2" x14ac:dyDescent="0.25">
      <c r="A12699" s="104"/>
      <c r="B12699" s="104"/>
    </row>
    <row r="12700" spans="1:2" x14ac:dyDescent="0.25">
      <c r="A12700" s="104"/>
      <c r="B12700" s="104"/>
    </row>
    <row r="12701" spans="1:2" x14ac:dyDescent="0.25">
      <c r="A12701" s="104"/>
      <c r="B12701" s="104"/>
    </row>
    <row r="12702" spans="1:2" x14ac:dyDescent="0.25">
      <c r="A12702" s="104"/>
      <c r="B12702" s="104"/>
    </row>
    <row r="12703" spans="1:2" x14ac:dyDescent="0.25">
      <c r="A12703" s="104"/>
      <c r="B12703" s="104"/>
    </row>
    <row r="12704" spans="1:2" x14ac:dyDescent="0.25">
      <c r="A12704" s="104"/>
      <c r="B12704" s="104"/>
    </row>
    <row r="12705" spans="1:2" x14ac:dyDescent="0.25">
      <c r="A12705" s="104"/>
      <c r="B12705" s="104"/>
    </row>
    <row r="12706" spans="1:2" x14ac:dyDescent="0.25">
      <c r="A12706" s="104"/>
      <c r="B12706" s="104"/>
    </row>
    <row r="12707" spans="1:2" x14ac:dyDescent="0.25">
      <c r="A12707" s="104"/>
      <c r="B12707" s="104"/>
    </row>
    <row r="12708" spans="1:2" x14ac:dyDescent="0.25">
      <c r="A12708" s="104"/>
      <c r="B12708" s="104"/>
    </row>
    <row r="12709" spans="1:2" x14ac:dyDescent="0.25">
      <c r="A12709" s="104"/>
      <c r="B12709" s="104"/>
    </row>
    <row r="12710" spans="1:2" x14ac:dyDescent="0.25">
      <c r="A12710" s="104"/>
      <c r="B12710" s="104"/>
    </row>
    <row r="12711" spans="1:2" x14ac:dyDescent="0.25">
      <c r="A12711" s="104"/>
      <c r="B12711" s="104"/>
    </row>
    <row r="12712" spans="1:2" x14ac:dyDescent="0.25">
      <c r="A12712" s="104"/>
      <c r="B12712" s="104"/>
    </row>
    <row r="12713" spans="1:2" x14ac:dyDescent="0.25">
      <c r="A12713" s="104"/>
      <c r="B12713" s="104"/>
    </row>
    <row r="12714" spans="1:2" x14ac:dyDescent="0.25">
      <c r="A12714" s="104"/>
      <c r="B12714" s="104"/>
    </row>
    <row r="12715" spans="1:2" x14ac:dyDescent="0.25">
      <c r="A12715" s="104"/>
      <c r="B12715" s="104"/>
    </row>
    <row r="12716" spans="1:2" x14ac:dyDescent="0.25">
      <c r="A12716" s="104"/>
      <c r="B12716" s="104"/>
    </row>
    <row r="12717" spans="1:2" x14ac:dyDescent="0.25">
      <c r="A12717" s="104"/>
      <c r="B12717" s="104"/>
    </row>
    <row r="12718" spans="1:2" x14ac:dyDescent="0.25">
      <c r="A12718" s="104"/>
      <c r="B12718" s="104"/>
    </row>
    <row r="12719" spans="1:2" x14ac:dyDescent="0.25">
      <c r="A12719" s="104"/>
      <c r="B12719" s="104"/>
    </row>
    <row r="12720" spans="1:2" x14ac:dyDescent="0.25">
      <c r="A12720" s="104"/>
      <c r="B12720" s="104"/>
    </row>
    <row r="12721" spans="1:2" x14ac:dyDescent="0.25">
      <c r="A12721" s="104"/>
      <c r="B12721" s="104"/>
    </row>
    <row r="12722" spans="1:2" x14ac:dyDescent="0.25">
      <c r="A12722" s="104"/>
      <c r="B12722" s="104"/>
    </row>
    <row r="12723" spans="1:2" x14ac:dyDescent="0.25">
      <c r="A12723" s="104"/>
      <c r="B12723" s="104"/>
    </row>
    <row r="12724" spans="1:2" x14ac:dyDescent="0.25">
      <c r="A12724" s="104"/>
      <c r="B12724" s="104"/>
    </row>
    <row r="12725" spans="1:2" x14ac:dyDescent="0.25">
      <c r="A12725" s="104"/>
      <c r="B12725" s="104"/>
    </row>
    <row r="12726" spans="1:2" x14ac:dyDescent="0.25">
      <c r="A12726" s="104"/>
      <c r="B12726" s="104"/>
    </row>
    <row r="12727" spans="1:2" x14ac:dyDescent="0.25">
      <c r="A12727" s="104"/>
      <c r="B12727" s="104"/>
    </row>
    <row r="12728" spans="1:2" x14ac:dyDescent="0.25">
      <c r="A12728" s="104"/>
      <c r="B12728" s="104"/>
    </row>
    <row r="12729" spans="1:2" x14ac:dyDescent="0.25">
      <c r="A12729" s="104"/>
      <c r="B12729" s="104"/>
    </row>
    <row r="12730" spans="1:2" x14ac:dyDescent="0.25">
      <c r="A12730" s="104"/>
      <c r="B12730" s="104"/>
    </row>
    <row r="12731" spans="1:2" x14ac:dyDescent="0.25">
      <c r="A12731" s="104"/>
      <c r="B12731" s="104"/>
    </row>
    <row r="12732" spans="1:2" x14ac:dyDescent="0.25">
      <c r="A12732" s="104"/>
      <c r="B12732" s="104"/>
    </row>
    <row r="12733" spans="1:2" x14ac:dyDescent="0.25">
      <c r="A12733" s="104"/>
      <c r="B12733" s="104"/>
    </row>
    <row r="12734" spans="1:2" x14ac:dyDescent="0.25">
      <c r="A12734" s="104"/>
      <c r="B12734" s="104"/>
    </row>
    <row r="12735" spans="1:2" x14ac:dyDescent="0.25">
      <c r="A12735" s="104"/>
      <c r="B12735" s="104"/>
    </row>
    <row r="12736" spans="1:2" x14ac:dyDescent="0.25">
      <c r="A12736" s="104"/>
      <c r="B12736" s="104"/>
    </row>
    <row r="12737" spans="1:2" x14ac:dyDescent="0.25">
      <c r="A12737" s="104"/>
      <c r="B12737" s="104"/>
    </row>
    <row r="12738" spans="1:2" x14ac:dyDescent="0.25">
      <c r="A12738" s="104"/>
      <c r="B12738" s="104"/>
    </row>
    <row r="12739" spans="1:2" x14ac:dyDescent="0.25">
      <c r="A12739" s="104"/>
      <c r="B12739" s="104"/>
    </row>
    <row r="12740" spans="1:2" x14ac:dyDescent="0.25">
      <c r="A12740" s="104"/>
      <c r="B12740" s="104"/>
    </row>
    <row r="12741" spans="1:2" x14ac:dyDescent="0.25">
      <c r="A12741" s="104"/>
      <c r="B12741" s="104"/>
    </row>
    <row r="12742" spans="1:2" x14ac:dyDescent="0.25">
      <c r="A12742" s="104"/>
      <c r="B12742" s="104"/>
    </row>
    <row r="12743" spans="1:2" x14ac:dyDescent="0.25">
      <c r="A12743" s="104"/>
      <c r="B12743" s="104"/>
    </row>
    <row r="12744" spans="1:2" x14ac:dyDescent="0.25">
      <c r="A12744" s="104"/>
      <c r="B12744" s="104"/>
    </row>
    <row r="12745" spans="1:2" x14ac:dyDescent="0.25">
      <c r="A12745" s="104"/>
      <c r="B12745" s="104"/>
    </row>
    <row r="12746" spans="1:2" x14ac:dyDescent="0.25">
      <c r="A12746" s="104"/>
      <c r="B12746" s="104"/>
    </row>
    <row r="12747" spans="1:2" x14ac:dyDescent="0.25">
      <c r="A12747" s="104"/>
      <c r="B12747" s="104"/>
    </row>
    <row r="12748" spans="1:2" x14ac:dyDescent="0.25">
      <c r="A12748" s="104"/>
      <c r="B12748" s="104"/>
    </row>
    <row r="12749" spans="1:2" x14ac:dyDescent="0.25">
      <c r="A12749" s="104"/>
      <c r="B12749" s="104"/>
    </row>
    <row r="12750" spans="1:2" x14ac:dyDescent="0.25">
      <c r="A12750" s="104"/>
      <c r="B12750" s="104"/>
    </row>
    <row r="12751" spans="1:2" x14ac:dyDescent="0.25">
      <c r="A12751" s="104"/>
      <c r="B12751" s="104"/>
    </row>
    <row r="12752" spans="1:2" x14ac:dyDescent="0.25">
      <c r="A12752" s="104"/>
      <c r="B12752" s="104"/>
    </row>
    <row r="12753" spans="1:2" x14ac:dyDescent="0.25">
      <c r="A12753" s="104"/>
      <c r="B12753" s="104"/>
    </row>
    <row r="12754" spans="1:2" x14ac:dyDescent="0.25">
      <c r="A12754" s="104"/>
      <c r="B12754" s="104"/>
    </row>
    <row r="12755" spans="1:2" x14ac:dyDescent="0.25">
      <c r="A12755" s="104"/>
      <c r="B12755" s="104"/>
    </row>
    <row r="12756" spans="1:2" x14ac:dyDescent="0.25">
      <c r="A12756" s="104"/>
      <c r="B12756" s="104"/>
    </row>
    <row r="12757" spans="1:2" x14ac:dyDescent="0.25">
      <c r="A12757" s="104"/>
      <c r="B12757" s="104"/>
    </row>
    <row r="12758" spans="1:2" x14ac:dyDescent="0.25">
      <c r="A12758" s="104"/>
      <c r="B12758" s="104"/>
    </row>
    <row r="12759" spans="1:2" x14ac:dyDescent="0.25">
      <c r="A12759" s="104"/>
      <c r="B12759" s="104"/>
    </row>
    <row r="12760" spans="1:2" x14ac:dyDescent="0.25">
      <c r="A12760" s="104"/>
      <c r="B12760" s="104"/>
    </row>
    <row r="12761" spans="1:2" x14ac:dyDescent="0.25">
      <c r="A12761" s="104"/>
      <c r="B12761" s="104"/>
    </row>
    <row r="12762" spans="1:2" x14ac:dyDescent="0.25">
      <c r="A12762" s="104"/>
      <c r="B12762" s="104"/>
    </row>
    <row r="12763" spans="1:2" x14ac:dyDescent="0.25">
      <c r="A12763" s="104"/>
      <c r="B12763" s="104"/>
    </row>
    <row r="12764" spans="1:2" x14ac:dyDescent="0.25">
      <c r="A12764" s="104"/>
      <c r="B12764" s="104"/>
    </row>
    <row r="12765" spans="1:2" x14ac:dyDescent="0.25">
      <c r="A12765" s="104"/>
      <c r="B12765" s="104"/>
    </row>
    <row r="12766" spans="1:2" x14ac:dyDescent="0.25">
      <c r="A12766" s="104"/>
      <c r="B12766" s="104"/>
    </row>
    <row r="12767" spans="1:2" x14ac:dyDescent="0.25">
      <c r="A12767" s="104"/>
      <c r="B12767" s="104"/>
    </row>
    <row r="12768" spans="1:2" x14ac:dyDescent="0.25">
      <c r="A12768" s="104"/>
      <c r="B12768" s="104"/>
    </row>
    <row r="12769" spans="1:2" x14ac:dyDescent="0.25">
      <c r="A12769" s="104"/>
      <c r="B12769" s="104"/>
    </row>
    <row r="12770" spans="1:2" x14ac:dyDescent="0.25">
      <c r="A12770" s="104"/>
      <c r="B12770" s="104"/>
    </row>
    <row r="12771" spans="1:2" x14ac:dyDescent="0.25">
      <c r="A12771" s="104"/>
      <c r="B12771" s="104"/>
    </row>
    <row r="12772" spans="1:2" x14ac:dyDescent="0.25">
      <c r="A12772" s="104"/>
      <c r="B12772" s="104"/>
    </row>
    <row r="12773" spans="1:2" x14ac:dyDescent="0.25">
      <c r="A12773" s="104"/>
      <c r="B12773" s="104"/>
    </row>
    <row r="12774" spans="1:2" x14ac:dyDescent="0.25">
      <c r="A12774" s="104"/>
      <c r="B12774" s="104"/>
    </row>
    <row r="12775" spans="1:2" x14ac:dyDescent="0.25">
      <c r="A12775" s="104"/>
      <c r="B12775" s="104"/>
    </row>
    <row r="12776" spans="1:2" x14ac:dyDescent="0.25">
      <c r="A12776" s="104"/>
      <c r="B12776" s="104"/>
    </row>
    <row r="12777" spans="1:2" x14ac:dyDescent="0.25">
      <c r="A12777" s="104"/>
      <c r="B12777" s="104"/>
    </row>
    <row r="12778" spans="1:2" x14ac:dyDescent="0.25">
      <c r="A12778" s="104"/>
      <c r="B12778" s="104"/>
    </row>
    <row r="12779" spans="1:2" x14ac:dyDescent="0.25">
      <c r="A12779" s="104"/>
      <c r="B12779" s="104"/>
    </row>
    <row r="12780" spans="1:2" x14ac:dyDescent="0.25">
      <c r="A12780" s="104"/>
      <c r="B12780" s="104"/>
    </row>
    <row r="12781" spans="1:2" x14ac:dyDescent="0.25">
      <c r="A12781" s="104"/>
      <c r="B12781" s="104"/>
    </row>
    <row r="12782" spans="1:2" x14ac:dyDescent="0.25">
      <c r="A12782" s="104"/>
      <c r="B12782" s="104"/>
    </row>
    <row r="12783" spans="1:2" x14ac:dyDescent="0.25">
      <c r="A12783" s="104"/>
      <c r="B12783" s="104"/>
    </row>
    <row r="12784" spans="1:2" x14ac:dyDescent="0.25">
      <c r="A12784" s="104"/>
      <c r="B12784" s="104"/>
    </row>
    <row r="12785" spans="1:2" x14ac:dyDescent="0.25">
      <c r="A12785" s="104"/>
      <c r="B12785" s="104"/>
    </row>
    <row r="12786" spans="1:2" x14ac:dyDescent="0.25">
      <c r="A12786" s="104"/>
      <c r="B12786" s="104"/>
    </row>
    <row r="12787" spans="1:2" x14ac:dyDescent="0.25">
      <c r="A12787" s="104"/>
      <c r="B12787" s="104"/>
    </row>
    <row r="12788" spans="1:2" x14ac:dyDescent="0.25">
      <c r="A12788" s="104"/>
      <c r="B12788" s="104"/>
    </row>
    <row r="12789" spans="1:2" x14ac:dyDescent="0.25">
      <c r="A12789" s="104"/>
      <c r="B12789" s="104"/>
    </row>
    <row r="12790" spans="1:2" x14ac:dyDescent="0.25">
      <c r="A12790" s="104"/>
      <c r="B12790" s="104"/>
    </row>
    <row r="12791" spans="1:2" x14ac:dyDescent="0.25">
      <c r="A12791" s="104"/>
      <c r="B12791" s="104"/>
    </row>
    <row r="12792" spans="1:2" x14ac:dyDescent="0.25">
      <c r="A12792" s="104"/>
      <c r="B12792" s="104"/>
    </row>
    <row r="12793" spans="1:2" x14ac:dyDescent="0.25">
      <c r="A12793" s="104"/>
      <c r="B12793" s="104"/>
    </row>
    <row r="12794" spans="1:2" x14ac:dyDescent="0.25">
      <c r="A12794" s="104"/>
      <c r="B12794" s="104"/>
    </row>
    <row r="12795" spans="1:2" x14ac:dyDescent="0.25">
      <c r="A12795" s="104"/>
      <c r="B12795" s="104"/>
    </row>
    <row r="12796" spans="1:2" x14ac:dyDescent="0.25">
      <c r="A12796" s="104"/>
      <c r="B12796" s="104"/>
    </row>
    <row r="12797" spans="1:2" x14ac:dyDescent="0.25">
      <c r="A12797" s="104"/>
      <c r="B12797" s="104"/>
    </row>
    <row r="12798" spans="1:2" x14ac:dyDescent="0.25">
      <c r="A12798" s="104"/>
      <c r="B12798" s="104"/>
    </row>
    <row r="12799" spans="1:2" x14ac:dyDescent="0.25">
      <c r="A12799" s="104"/>
      <c r="B12799" s="104"/>
    </row>
    <row r="12800" spans="1:2" x14ac:dyDescent="0.25">
      <c r="A12800" s="104"/>
      <c r="B12800" s="104"/>
    </row>
    <row r="12801" spans="1:2" x14ac:dyDescent="0.25">
      <c r="A12801" s="104"/>
      <c r="B12801" s="104"/>
    </row>
    <row r="12802" spans="1:2" x14ac:dyDescent="0.25">
      <c r="A12802" s="104"/>
      <c r="B12802" s="104"/>
    </row>
    <row r="12803" spans="1:2" x14ac:dyDescent="0.25">
      <c r="A12803" s="104"/>
      <c r="B12803" s="104"/>
    </row>
    <row r="12804" spans="1:2" x14ac:dyDescent="0.25">
      <c r="A12804" s="104"/>
      <c r="B12804" s="104"/>
    </row>
    <row r="12805" spans="1:2" x14ac:dyDescent="0.25">
      <c r="A12805" s="104"/>
      <c r="B12805" s="104"/>
    </row>
    <row r="12806" spans="1:2" x14ac:dyDescent="0.25">
      <c r="A12806" s="104"/>
      <c r="B12806" s="104"/>
    </row>
    <row r="12807" spans="1:2" x14ac:dyDescent="0.25">
      <c r="A12807" s="104"/>
      <c r="B12807" s="104"/>
    </row>
    <row r="12808" spans="1:2" x14ac:dyDescent="0.25">
      <c r="A12808" s="104"/>
      <c r="B12808" s="104"/>
    </row>
    <row r="12809" spans="1:2" x14ac:dyDescent="0.25">
      <c r="A12809" s="104"/>
      <c r="B12809" s="104"/>
    </row>
    <row r="12810" spans="1:2" x14ac:dyDescent="0.25">
      <c r="A12810" s="104"/>
      <c r="B12810" s="104"/>
    </row>
    <row r="12811" spans="1:2" x14ac:dyDescent="0.25">
      <c r="A12811" s="104"/>
      <c r="B12811" s="104"/>
    </row>
    <row r="12812" spans="1:2" x14ac:dyDescent="0.25">
      <c r="A12812" s="104"/>
      <c r="B12812" s="104"/>
    </row>
    <row r="12813" spans="1:2" x14ac:dyDescent="0.25">
      <c r="A12813" s="104"/>
      <c r="B12813" s="104"/>
    </row>
    <row r="12814" spans="1:2" x14ac:dyDescent="0.25">
      <c r="A12814" s="104"/>
      <c r="B12814" s="104"/>
    </row>
    <row r="12815" spans="1:2" x14ac:dyDescent="0.25">
      <c r="A12815" s="104"/>
      <c r="B12815" s="104"/>
    </row>
    <row r="12816" spans="1:2" x14ac:dyDescent="0.25">
      <c r="A12816" s="104"/>
      <c r="B12816" s="104"/>
    </row>
    <row r="12817" spans="1:2" x14ac:dyDescent="0.25">
      <c r="A12817" s="104"/>
      <c r="B12817" s="104"/>
    </row>
    <row r="12818" spans="1:2" x14ac:dyDescent="0.25">
      <c r="A12818" s="104"/>
      <c r="B12818" s="104"/>
    </row>
    <row r="12819" spans="1:2" x14ac:dyDescent="0.25">
      <c r="A12819" s="104"/>
      <c r="B12819" s="104"/>
    </row>
    <row r="12820" spans="1:2" x14ac:dyDescent="0.25">
      <c r="A12820" s="104"/>
      <c r="B12820" s="104"/>
    </row>
    <row r="12821" spans="1:2" x14ac:dyDescent="0.25">
      <c r="A12821" s="104"/>
      <c r="B12821" s="104"/>
    </row>
    <row r="12822" spans="1:2" x14ac:dyDescent="0.25">
      <c r="A12822" s="104"/>
      <c r="B12822" s="104"/>
    </row>
    <row r="12823" spans="1:2" x14ac:dyDescent="0.25">
      <c r="A12823" s="104"/>
      <c r="B12823" s="104"/>
    </row>
    <row r="12824" spans="1:2" x14ac:dyDescent="0.25">
      <c r="A12824" s="104"/>
      <c r="B12824" s="104"/>
    </row>
    <row r="12825" spans="1:2" x14ac:dyDescent="0.25">
      <c r="A12825" s="104"/>
      <c r="B12825" s="104"/>
    </row>
    <row r="12826" spans="1:2" x14ac:dyDescent="0.25">
      <c r="A12826" s="104"/>
      <c r="B12826" s="104"/>
    </row>
    <row r="12827" spans="1:2" x14ac:dyDescent="0.25">
      <c r="A12827" s="104"/>
      <c r="B12827" s="104"/>
    </row>
    <row r="12828" spans="1:2" x14ac:dyDescent="0.25">
      <c r="A12828" s="104"/>
      <c r="B12828" s="104"/>
    </row>
    <row r="12829" spans="1:2" x14ac:dyDescent="0.25">
      <c r="A12829" s="104"/>
      <c r="B12829" s="104"/>
    </row>
    <row r="12830" spans="1:2" x14ac:dyDescent="0.25">
      <c r="A12830" s="104"/>
      <c r="B12830" s="104"/>
    </row>
    <row r="12831" spans="1:2" x14ac:dyDescent="0.25">
      <c r="A12831" s="104"/>
      <c r="B12831" s="104"/>
    </row>
    <row r="12832" spans="1:2" x14ac:dyDescent="0.25">
      <c r="A12832" s="104"/>
      <c r="B12832" s="104"/>
    </row>
    <row r="12833" spans="1:2" x14ac:dyDescent="0.25">
      <c r="A12833" s="104"/>
      <c r="B12833" s="104"/>
    </row>
    <row r="12834" spans="1:2" x14ac:dyDescent="0.25">
      <c r="A12834" s="104"/>
      <c r="B12834" s="104"/>
    </row>
    <row r="12835" spans="1:2" x14ac:dyDescent="0.25">
      <c r="A12835" s="104"/>
      <c r="B12835" s="104"/>
    </row>
    <row r="12836" spans="1:2" x14ac:dyDescent="0.25">
      <c r="A12836" s="104"/>
      <c r="B12836" s="104"/>
    </row>
    <row r="12837" spans="1:2" x14ac:dyDescent="0.25">
      <c r="A12837" s="104"/>
      <c r="B12837" s="104"/>
    </row>
    <row r="12838" spans="1:2" x14ac:dyDescent="0.25">
      <c r="A12838" s="104"/>
      <c r="B12838" s="104"/>
    </row>
    <row r="12839" spans="1:2" x14ac:dyDescent="0.25">
      <c r="A12839" s="104"/>
      <c r="B12839" s="104"/>
    </row>
    <row r="12840" spans="1:2" x14ac:dyDescent="0.25">
      <c r="A12840" s="104"/>
      <c r="B12840" s="104"/>
    </row>
    <row r="12841" spans="1:2" x14ac:dyDescent="0.25">
      <c r="A12841" s="104"/>
      <c r="B12841" s="104"/>
    </row>
    <row r="12842" spans="1:2" x14ac:dyDescent="0.25">
      <c r="A12842" s="104"/>
      <c r="B12842" s="104"/>
    </row>
    <row r="12843" spans="1:2" x14ac:dyDescent="0.25">
      <c r="A12843" s="104"/>
      <c r="B12843" s="104"/>
    </row>
    <row r="12844" spans="1:2" x14ac:dyDescent="0.25">
      <c r="A12844" s="104"/>
      <c r="B12844" s="104"/>
    </row>
    <row r="12845" spans="1:2" x14ac:dyDescent="0.25">
      <c r="A12845" s="104"/>
      <c r="B12845" s="104"/>
    </row>
    <row r="12846" spans="1:2" x14ac:dyDescent="0.25">
      <c r="A12846" s="104"/>
      <c r="B12846" s="104"/>
    </row>
    <row r="12847" spans="1:2" x14ac:dyDescent="0.25">
      <c r="A12847" s="104"/>
      <c r="B12847" s="104"/>
    </row>
    <row r="12848" spans="1:2" x14ac:dyDescent="0.25">
      <c r="A12848" s="104"/>
      <c r="B12848" s="104"/>
    </row>
    <row r="12849" spans="1:2" x14ac:dyDescent="0.25">
      <c r="A12849" s="104"/>
      <c r="B12849" s="104"/>
    </row>
    <row r="12850" spans="1:2" x14ac:dyDescent="0.25">
      <c r="A12850" s="104"/>
      <c r="B12850" s="104"/>
    </row>
    <row r="12851" spans="1:2" x14ac:dyDescent="0.25">
      <c r="A12851" s="104"/>
      <c r="B12851" s="104"/>
    </row>
    <row r="12852" spans="1:2" x14ac:dyDescent="0.25">
      <c r="A12852" s="104"/>
      <c r="B12852" s="104"/>
    </row>
    <row r="12853" spans="1:2" x14ac:dyDescent="0.25">
      <c r="A12853" s="104"/>
      <c r="B12853" s="104"/>
    </row>
    <row r="12854" spans="1:2" x14ac:dyDescent="0.25">
      <c r="A12854" s="104"/>
      <c r="B12854" s="104"/>
    </row>
    <row r="12855" spans="1:2" x14ac:dyDescent="0.25">
      <c r="A12855" s="104"/>
      <c r="B12855" s="104"/>
    </row>
    <row r="12856" spans="1:2" x14ac:dyDescent="0.25">
      <c r="A12856" s="104"/>
      <c r="B12856" s="104"/>
    </row>
    <row r="12857" spans="1:2" x14ac:dyDescent="0.25">
      <c r="A12857" s="104"/>
      <c r="B12857" s="104"/>
    </row>
    <row r="12858" spans="1:2" x14ac:dyDescent="0.25">
      <c r="A12858" s="104"/>
      <c r="B12858" s="104"/>
    </row>
    <row r="12859" spans="1:2" x14ac:dyDescent="0.25">
      <c r="A12859" s="104"/>
      <c r="B12859" s="104"/>
    </row>
    <row r="12860" spans="1:2" x14ac:dyDescent="0.25">
      <c r="A12860" s="104"/>
      <c r="B12860" s="104"/>
    </row>
    <row r="12861" spans="1:2" x14ac:dyDescent="0.25">
      <c r="A12861" s="104"/>
      <c r="B12861" s="104"/>
    </row>
    <row r="12862" spans="1:2" x14ac:dyDescent="0.25">
      <c r="A12862" s="104"/>
      <c r="B12862" s="104"/>
    </row>
    <row r="12863" spans="1:2" x14ac:dyDescent="0.25">
      <c r="A12863" s="104"/>
      <c r="B12863" s="104"/>
    </row>
    <row r="12864" spans="1:2" x14ac:dyDescent="0.25">
      <c r="A12864" s="104"/>
      <c r="B12864" s="104"/>
    </row>
    <row r="12865" spans="1:2" x14ac:dyDescent="0.25">
      <c r="A12865" s="104"/>
      <c r="B12865" s="104"/>
    </row>
    <row r="12866" spans="1:2" x14ac:dyDescent="0.25">
      <c r="A12866" s="104"/>
      <c r="B12866" s="104"/>
    </row>
    <row r="12867" spans="1:2" x14ac:dyDescent="0.25">
      <c r="A12867" s="104"/>
      <c r="B12867" s="104"/>
    </row>
    <row r="12868" spans="1:2" x14ac:dyDescent="0.25">
      <c r="A12868" s="104"/>
      <c r="B12868" s="104"/>
    </row>
    <row r="12869" spans="1:2" x14ac:dyDescent="0.25">
      <c r="A12869" s="104"/>
      <c r="B12869" s="104"/>
    </row>
    <row r="12870" spans="1:2" x14ac:dyDescent="0.25">
      <c r="A12870" s="104"/>
      <c r="B12870" s="104"/>
    </row>
    <row r="12871" spans="1:2" x14ac:dyDescent="0.25">
      <c r="A12871" s="104"/>
      <c r="B12871" s="104"/>
    </row>
    <row r="12872" spans="1:2" x14ac:dyDescent="0.25">
      <c r="A12872" s="104"/>
      <c r="B12872" s="104"/>
    </row>
    <row r="12873" spans="1:2" x14ac:dyDescent="0.25">
      <c r="A12873" s="104"/>
      <c r="B12873" s="104"/>
    </row>
    <row r="12874" spans="1:2" x14ac:dyDescent="0.25">
      <c r="A12874" s="104"/>
      <c r="B12874" s="104"/>
    </row>
    <row r="12875" spans="1:2" x14ac:dyDescent="0.25">
      <c r="A12875" s="104"/>
      <c r="B12875" s="104"/>
    </row>
    <row r="12876" spans="1:2" x14ac:dyDescent="0.25">
      <c r="A12876" s="104"/>
      <c r="B12876" s="104"/>
    </row>
    <row r="12877" spans="1:2" x14ac:dyDescent="0.25">
      <c r="A12877" s="104"/>
      <c r="B12877" s="104"/>
    </row>
    <row r="12878" spans="1:2" x14ac:dyDescent="0.25">
      <c r="A12878" s="104"/>
      <c r="B12878" s="104"/>
    </row>
    <row r="12879" spans="1:2" x14ac:dyDescent="0.25">
      <c r="A12879" s="104"/>
      <c r="B12879" s="104"/>
    </row>
    <row r="12880" spans="1:2" x14ac:dyDescent="0.25">
      <c r="A12880" s="104"/>
      <c r="B12880" s="104"/>
    </row>
    <row r="12881" spans="1:2" x14ac:dyDescent="0.25">
      <c r="A12881" s="104"/>
      <c r="B12881" s="104"/>
    </row>
    <row r="12882" spans="1:2" x14ac:dyDescent="0.25">
      <c r="A12882" s="104"/>
      <c r="B12882" s="104"/>
    </row>
    <row r="12883" spans="1:2" x14ac:dyDescent="0.25">
      <c r="A12883" s="104"/>
      <c r="B12883" s="104"/>
    </row>
    <row r="12884" spans="1:2" x14ac:dyDescent="0.25">
      <c r="A12884" s="104"/>
      <c r="B12884" s="104"/>
    </row>
    <row r="12885" spans="1:2" x14ac:dyDescent="0.25">
      <c r="A12885" s="104"/>
      <c r="B12885" s="104"/>
    </row>
    <row r="12886" spans="1:2" x14ac:dyDescent="0.25">
      <c r="A12886" s="104"/>
      <c r="B12886" s="104"/>
    </row>
    <row r="12887" spans="1:2" x14ac:dyDescent="0.25">
      <c r="A12887" s="104"/>
      <c r="B12887" s="104"/>
    </row>
    <row r="12888" spans="1:2" x14ac:dyDescent="0.25">
      <c r="A12888" s="104"/>
      <c r="B12888" s="104"/>
    </row>
    <row r="12889" spans="1:2" x14ac:dyDescent="0.25">
      <c r="A12889" s="104"/>
      <c r="B12889" s="104"/>
    </row>
    <row r="12890" spans="1:2" x14ac:dyDescent="0.25">
      <c r="A12890" s="104"/>
      <c r="B12890" s="104"/>
    </row>
    <row r="12891" spans="1:2" x14ac:dyDescent="0.25">
      <c r="A12891" s="104"/>
      <c r="B12891" s="104"/>
    </row>
    <row r="12892" spans="1:2" x14ac:dyDescent="0.25">
      <c r="A12892" s="104"/>
      <c r="B12892" s="104"/>
    </row>
    <row r="12893" spans="1:2" x14ac:dyDescent="0.25">
      <c r="A12893" s="104"/>
      <c r="B12893" s="104"/>
    </row>
    <row r="12894" spans="1:2" x14ac:dyDescent="0.25">
      <c r="A12894" s="104"/>
      <c r="B12894" s="104"/>
    </row>
    <row r="12895" spans="1:2" x14ac:dyDescent="0.25">
      <c r="A12895" s="104"/>
      <c r="B12895" s="104"/>
    </row>
    <row r="12896" spans="1:2" x14ac:dyDescent="0.25">
      <c r="A12896" s="104"/>
      <c r="B12896" s="104"/>
    </row>
    <row r="12897" spans="1:2" x14ac:dyDescent="0.25">
      <c r="A12897" s="104"/>
      <c r="B12897" s="104"/>
    </row>
    <row r="12898" spans="1:2" x14ac:dyDescent="0.25">
      <c r="A12898" s="104"/>
      <c r="B12898" s="104"/>
    </row>
    <row r="12899" spans="1:2" x14ac:dyDescent="0.25">
      <c r="A12899" s="104"/>
      <c r="B12899" s="104"/>
    </row>
    <row r="12900" spans="1:2" x14ac:dyDescent="0.25">
      <c r="A12900" s="104"/>
      <c r="B12900" s="104"/>
    </row>
    <row r="12901" spans="1:2" x14ac:dyDescent="0.25">
      <c r="A12901" s="104"/>
      <c r="B12901" s="104"/>
    </row>
    <row r="12902" spans="1:2" x14ac:dyDescent="0.25">
      <c r="A12902" s="104"/>
      <c r="B12902" s="104"/>
    </row>
    <row r="12903" spans="1:2" x14ac:dyDescent="0.25">
      <c r="A12903" s="104"/>
      <c r="B12903" s="104"/>
    </row>
    <row r="12904" spans="1:2" x14ac:dyDescent="0.25">
      <c r="A12904" s="104"/>
      <c r="B12904" s="104"/>
    </row>
    <row r="12905" spans="1:2" x14ac:dyDescent="0.25">
      <c r="A12905" s="104"/>
      <c r="B12905" s="104"/>
    </row>
    <row r="12906" spans="1:2" x14ac:dyDescent="0.25">
      <c r="A12906" s="104"/>
      <c r="B12906" s="104"/>
    </row>
    <row r="12907" spans="1:2" x14ac:dyDescent="0.25">
      <c r="A12907" s="104"/>
      <c r="B12907" s="104"/>
    </row>
    <row r="12908" spans="1:2" x14ac:dyDescent="0.25">
      <c r="A12908" s="104"/>
      <c r="B12908" s="104"/>
    </row>
    <row r="12909" spans="1:2" x14ac:dyDescent="0.25">
      <c r="A12909" s="104"/>
      <c r="B12909" s="104"/>
    </row>
    <row r="12910" spans="1:2" x14ac:dyDescent="0.25">
      <c r="A12910" s="104"/>
      <c r="B12910" s="104"/>
    </row>
    <row r="12911" spans="1:2" x14ac:dyDescent="0.25">
      <c r="A12911" s="104"/>
      <c r="B12911" s="104"/>
    </row>
    <row r="12912" spans="1:2" x14ac:dyDescent="0.25">
      <c r="A12912" s="104"/>
      <c r="B12912" s="104"/>
    </row>
    <row r="12913" spans="1:2" x14ac:dyDescent="0.25">
      <c r="A12913" s="104"/>
      <c r="B12913" s="104"/>
    </row>
    <row r="12914" spans="1:2" x14ac:dyDescent="0.25">
      <c r="A12914" s="104"/>
      <c r="B12914" s="104"/>
    </row>
    <row r="12915" spans="1:2" x14ac:dyDescent="0.25">
      <c r="A12915" s="104"/>
      <c r="B12915" s="104"/>
    </row>
    <row r="12916" spans="1:2" x14ac:dyDescent="0.25">
      <c r="A12916" s="104"/>
      <c r="B12916" s="104"/>
    </row>
    <row r="12917" spans="1:2" x14ac:dyDescent="0.25">
      <c r="A12917" s="104"/>
      <c r="B12917" s="104"/>
    </row>
    <row r="12918" spans="1:2" x14ac:dyDescent="0.25">
      <c r="A12918" s="104"/>
      <c r="B12918" s="104"/>
    </row>
    <row r="12919" spans="1:2" x14ac:dyDescent="0.25">
      <c r="A12919" s="104"/>
      <c r="B12919" s="104"/>
    </row>
    <row r="12920" spans="1:2" x14ac:dyDescent="0.25">
      <c r="A12920" s="104"/>
      <c r="B12920" s="104"/>
    </row>
    <row r="12921" spans="1:2" x14ac:dyDescent="0.25">
      <c r="A12921" s="104"/>
      <c r="B12921" s="104"/>
    </row>
    <row r="12922" spans="1:2" x14ac:dyDescent="0.25">
      <c r="A12922" s="104"/>
      <c r="B12922" s="104"/>
    </row>
    <row r="12923" spans="1:2" x14ac:dyDescent="0.25">
      <c r="A12923" s="104"/>
      <c r="B12923" s="104"/>
    </row>
    <row r="12924" spans="1:2" x14ac:dyDescent="0.25">
      <c r="A12924" s="104"/>
      <c r="B12924" s="104"/>
    </row>
    <row r="12925" spans="1:2" x14ac:dyDescent="0.25">
      <c r="A12925" s="104"/>
      <c r="B12925" s="104"/>
    </row>
    <row r="12926" spans="1:2" x14ac:dyDescent="0.25">
      <c r="A12926" s="104"/>
      <c r="B12926" s="104"/>
    </row>
    <row r="12927" spans="1:2" x14ac:dyDescent="0.25">
      <c r="A12927" s="104"/>
      <c r="B12927" s="104"/>
    </row>
    <row r="12928" spans="1:2" x14ac:dyDescent="0.25">
      <c r="A12928" s="104"/>
      <c r="B12928" s="104"/>
    </row>
    <row r="12929" spans="1:2" x14ac:dyDescent="0.25">
      <c r="A12929" s="104"/>
      <c r="B12929" s="104"/>
    </row>
    <row r="12930" spans="1:2" x14ac:dyDescent="0.25">
      <c r="A12930" s="104"/>
      <c r="B12930" s="104"/>
    </row>
    <row r="12931" spans="1:2" x14ac:dyDescent="0.25">
      <c r="A12931" s="104"/>
      <c r="B12931" s="104"/>
    </row>
    <row r="12932" spans="1:2" x14ac:dyDescent="0.25">
      <c r="A12932" s="104"/>
      <c r="B12932" s="104"/>
    </row>
    <row r="12933" spans="1:2" x14ac:dyDescent="0.25">
      <c r="A12933" s="104"/>
      <c r="B12933" s="104"/>
    </row>
    <row r="12934" spans="1:2" x14ac:dyDescent="0.25">
      <c r="A12934" s="104"/>
      <c r="B12934" s="104"/>
    </row>
    <row r="12935" spans="1:2" x14ac:dyDescent="0.25">
      <c r="A12935" s="104"/>
      <c r="B12935" s="104"/>
    </row>
    <row r="12936" spans="1:2" x14ac:dyDescent="0.25">
      <c r="A12936" s="104"/>
      <c r="B12936" s="104"/>
    </row>
    <row r="12937" spans="1:2" x14ac:dyDescent="0.25">
      <c r="A12937" s="104"/>
      <c r="B12937" s="104"/>
    </row>
    <row r="12938" spans="1:2" x14ac:dyDescent="0.25">
      <c r="A12938" s="104"/>
      <c r="B12938" s="104"/>
    </row>
    <row r="12939" spans="1:2" x14ac:dyDescent="0.25">
      <c r="A12939" s="104"/>
      <c r="B12939" s="104"/>
    </row>
    <row r="12940" spans="1:2" x14ac:dyDescent="0.25">
      <c r="A12940" s="104"/>
      <c r="B12940" s="104"/>
    </row>
    <row r="12941" spans="1:2" x14ac:dyDescent="0.25">
      <c r="A12941" s="104"/>
      <c r="B12941" s="104"/>
    </row>
    <row r="12942" spans="1:2" x14ac:dyDescent="0.25">
      <c r="A12942" s="104"/>
      <c r="B12942" s="104"/>
    </row>
    <row r="12943" spans="1:2" x14ac:dyDescent="0.25">
      <c r="A12943" s="104"/>
      <c r="B12943" s="104"/>
    </row>
    <row r="12944" spans="1:2" x14ac:dyDescent="0.25">
      <c r="A12944" s="104"/>
      <c r="B12944" s="104"/>
    </row>
    <row r="12945" spans="1:2" x14ac:dyDescent="0.25">
      <c r="A12945" s="104"/>
      <c r="B12945" s="104"/>
    </row>
    <row r="12946" spans="1:2" x14ac:dyDescent="0.25">
      <c r="A12946" s="104"/>
      <c r="B12946" s="104"/>
    </row>
    <row r="12947" spans="1:2" x14ac:dyDescent="0.25">
      <c r="A12947" s="104"/>
      <c r="B12947" s="104"/>
    </row>
    <row r="12948" spans="1:2" x14ac:dyDescent="0.25">
      <c r="A12948" s="104"/>
      <c r="B12948" s="104"/>
    </row>
    <row r="12949" spans="1:2" x14ac:dyDescent="0.25">
      <c r="A12949" s="104"/>
      <c r="B12949" s="104"/>
    </row>
    <row r="12950" spans="1:2" x14ac:dyDescent="0.25">
      <c r="A12950" s="104"/>
      <c r="B12950" s="104"/>
    </row>
    <row r="12951" spans="1:2" x14ac:dyDescent="0.25">
      <c r="A12951" s="104"/>
      <c r="B12951" s="104"/>
    </row>
    <row r="12952" spans="1:2" x14ac:dyDescent="0.25">
      <c r="A12952" s="104"/>
      <c r="B12952" s="104"/>
    </row>
    <row r="12953" spans="1:2" x14ac:dyDescent="0.25">
      <c r="A12953" s="104"/>
      <c r="B12953" s="104"/>
    </row>
    <row r="12954" spans="1:2" x14ac:dyDescent="0.25">
      <c r="A12954" s="104"/>
      <c r="B12954" s="104"/>
    </row>
    <row r="12955" spans="1:2" x14ac:dyDescent="0.25">
      <c r="A12955" s="104"/>
      <c r="B12955" s="104"/>
    </row>
    <row r="12956" spans="1:2" x14ac:dyDescent="0.25">
      <c r="A12956" s="104"/>
      <c r="B12956" s="104"/>
    </row>
    <row r="12957" spans="1:2" x14ac:dyDescent="0.25">
      <c r="A12957" s="104"/>
      <c r="B12957" s="104"/>
    </row>
    <row r="12958" spans="1:2" x14ac:dyDescent="0.25">
      <c r="A12958" s="104"/>
      <c r="B12958" s="104"/>
    </row>
    <row r="12959" spans="1:2" x14ac:dyDescent="0.25">
      <c r="A12959" s="104"/>
      <c r="B12959" s="104"/>
    </row>
    <row r="12960" spans="1:2" x14ac:dyDescent="0.25">
      <c r="A12960" s="104"/>
      <c r="B12960" s="104"/>
    </row>
    <row r="12961" spans="1:2" x14ac:dyDescent="0.25">
      <c r="A12961" s="104"/>
      <c r="B12961" s="104"/>
    </row>
    <row r="12962" spans="1:2" x14ac:dyDescent="0.25">
      <c r="A12962" s="104"/>
      <c r="B12962" s="104"/>
    </row>
    <row r="12963" spans="1:2" x14ac:dyDescent="0.25">
      <c r="A12963" s="104"/>
      <c r="B12963" s="104"/>
    </row>
    <row r="12964" spans="1:2" x14ac:dyDescent="0.25">
      <c r="A12964" s="104"/>
      <c r="B12964" s="104"/>
    </row>
    <row r="12965" spans="1:2" x14ac:dyDescent="0.25">
      <c r="A12965" s="104"/>
      <c r="B12965" s="104"/>
    </row>
    <row r="12966" spans="1:2" x14ac:dyDescent="0.25">
      <c r="A12966" s="104"/>
      <c r="B12966" s="104"/>
    </row>
    <row r="12967" spans="1:2" x14ac:dyDescent="0.25">
      <c r="A12967" s="104"/>
      <c r="B12967" s="104"/>
    </row>
    <row r="12968" spans="1:2" x14ac:dyDescent="0.25">
      <c r="A12968" s="104"/>
      <c r="B12968" s="104"/>
    </row>
    <row r="12969" spans="1:2" x14ac:dyDescent="0.25">
      <c r="A12969" s="104"/>
      <c r="B12969" s="104"/>
    </row>
    <row r="12970" spans="1:2" x14ac:dyDescent="0.25">
      <c r="A12970" s="104"/>
      <c r="B12970" s="104"/>
    </row>
    <row r="12971" spans="1:2" x14ac:dyDescent="0.25">
      <c r="A12971" s="104"/>
      <c r="B12971" s="104"/>
    </row>
    <row r="12972" spans="1:2" x14ac:dyDescent="0.25">
      <c r="A12972" s="104"/>
      <c r="B12972" s="104"/>
    </row>
    <row r="12973" spans="1:2" x14ac:dyDescent="0.25">
      <c r="A12973" s="104"/>
      <c r="B12973" s="104"/>
    </row>
    <row r="12974" spans="1:2" x14ac:dyDescent="0.25">
      <c r="A12974" s="104"/>
      <c r="B12974" s="104"/>
    </row>
    <row r="12975" spans="1:2" x14ac:dyDescent="0.25">
      <c r="A12975" s="104"/>
      <c r="B12975" s="104"/>
    </row>
    <row r="12976" spans="1:2" x14ac:dyDescent="0.25">
      <c r="A12976" s="104"/>
      <c r="B12976" s="104"/>
    </row>
    <row r="12977" spans="1:2" x14ac:dyDescent="0.25">
      <c r="A12977" s="104"/>
      <c r="B12977" s="104"/>
    </row>
    <row r="12978" spans="1:2" x14ac:dyDescent="0.25">
      <c r="A12978" s="104"/>
      <c r="B12978" s="104"/>
    </row>
    <row r="12979" spans="1:2" x14ac:dyDescent="0.25">
      <c r="A12979" s="104"/>
      <c r="B12979" s="104"/>
    </row>
    <row r="12980" spans="1:2" x14ac:dyDescent="0.25">
      <c r="A12980" s="104"/>
      <c r="B12980" s="104"/>
    </row>
    <row r="12981" spans="1:2" x14ac:dyDescent="0.25">
      <c r="A12981" s="104"/>
      <c r="B12981" s="104"/>
    </row>
    <row r="12982" spans="1:2" x14ac:dyDescent="0.25">
      <c r="A12982" s="104"/>
      <c r="B12982" s="104"/>
    </row>
    <row r="12983" spans="1:2" x14ac:dyDescent="0.25">
      <c r="A12983" s="104"/>
      <c r="B12983" s="104"/>
    </row>
    <row r="12984" spans="1:2" x14ac:dyDescent="0.25">
      <c r="A12984" s="104"/>
      <c r="B12984" s="104"/>
    </row>
    <row r="12985" spans="1:2" x14ac:dyDescent="0.25">
      <c r="A12985" s="104"/>
      <c r="B12985" s="104"/>
    </row>
    <row r="12986" spans="1:2" x14ac:dyDescent="0.25">
      <c r="A12986" s="104"/>
      <c r="B12986" s="104"/>
    </row>
    <row r="12987" spans="1:2" x14ac:dyDescent="0.25">
      <c r="A12987" s="104"/>
      <c r="B12987" s="104"/>
    </row>
    <row r="12988" spans="1:2" x14ac:dyDescent="0.25">
      <c r="A12988" s="104"/>
      <c r="B12988" s="104"/>
    </row>
    <row r="12989" spans="1:2" x14ac:dyDescent="0.25">
      <c r="A12989" s="104"/>
      <c r="B12989" s="104"/>
    </row>
    <row r="12990" spans="1:2" x14ac:dyDescent="0.25">
      <c r="A12990" s="104"/>
      <c r="B12990" s="104"/>
    </row>
    <row r="12991" spans="1:2" x14ac:dyDescent="0.25">
      <c r="A12991" s="104"/>
      <c r="B12991" s="104"/>
    </row>
    <row r="12992" spans="1:2" x14ac:dyDescent="0.25">
      <c r="A12992" s="104"/>
      <c r="B12992" s="104"/>
    </row>
    <row r="12993" spans="1:2" x14ac:dyDescent="0.25">
      <c r="A12993" s="104"/>
      <c r="B12993" s="104"/>
    </row>
    <row r="12994" spans="1:2" x14ac:dyDescent="0.25">
      <c r="A12994" s="104"/>
      <c r="B12994" s="104"/>
    </row>
    <row r="12995" spans="1:2" x14ac:dyDescent="0.25">
      <c r="A12995" s="104"/>
      <c r="B12995" s="104"/>
    </row>
    <row r="12996" spans="1:2" x14ac:dyDescent="0.25">
      <c r="A12996" s="104"/>
      <c r="B12996" s="104"/>
    </row>
    <row r="12997" spans="1:2" x14ac:dyDescent="0.25">
      <c r="A12997" s="104"/>
      <c r="B12997" s="104"/>
    </row>
    <row r="12998" spans="1:2" x14ac:dyDescent="0.25">
      <c r="A12998" s="104"/>
      <c r="B12998" s="104"/>
    </row>
    <row r="12999" spans="1:2" x14ac:dyDescent="0.25">
      <c r="A12999" s="104"/>
      <c r="B12999" s="104"/>
    </row>
    <row r="13000" spans="1:2" x14ac:dyDescent="0.25">
      <c r="A13000" s="104"/>
      <c r="B13000" s="104"/>
    </row>
    <row r="13001" spans="1:2" x14ac:dyDescent="0.25">
      <c r="A13001" s="104"/>
      <c r="B13001" s="104"/>
    </row>
    <row r="13002" spans="1:2" x14ac:dyDescent="0.25">
      <c r="A13002" s="104"/>
      <c r="B13002" s="104"/>
    </row>
    <row r="13003" spans="1:2" x14ac:dyDescent="0.25">
      <c r="A13003" s="104"/>
      <c r="B13003" s="104"/>
    </row>
    <row r="13004" spans="1:2" x14ac:dyDescent="0.25">
      <c r="A13004" s="104"/>
      <c r="B13004" s="104"/>
    </row>
    <row r="13005" spans="1:2" x14ac:dyDescent="0.25">
      <c r="A13005" s="104"/>
      <c r="B13005" s="104"/>
    </row>
    <row r="13006" spans="1:2" x14ac:dyDescent="0.25">
      <c r="A13006" s="104"/>
      <c r="B13006" s="104"/>
    </row>
    <row r="13007" spans="1:2" x14ac:dyDescent="0.25">
      <c r="A13007" s="104"/>
      <c r="B13007" s="104"/>
    </row>
    <row r="13008" spans="1:2" x14ac:dyDescent="0.25">
      <c r="A13008" s="104"/>
      <c r="B13008" s="104"/>
    </row>
    <row r="13009" spans="1:2" x14ac:dyDescent="0.25">
      <c r="A13009" s="104"/>
      <c r="B13009" s="104"/>
    </row>
    <row r="13010" spans="1:2" x14ac:dyDescent="0.25">
      <c r="A13010" s="104"/>
      <c r="B13010" s="104"/>
    </row>
    <row r="13011" spans="1:2" x14ac:dyDescent="0.25">
      <c r="A13011" s="104"/>
      <c r="B13011" s="104"/>
    </row>
    <row r="13012" spans="1:2" x14ac:dyDescent="0.25">
      <c r="A13012" s="104"/>
      <c r="B13012" s="104"/>
    </row>
    <row r="13013" spans="1:2" x14ac:dyDescent="0.25">
      <c r="A13013" s="104"/>
      <c r="B13013" s="104"/>
    </row>
    <row r="13014" spans="1:2" x14ac:dyDescent="0.25">
      <c r="A13014" s="104"/>
      <c r="B13014" s="104"/>
    </row>
    <row r="13015" spans="1:2" x14ac:dyDescent="0.25">
      <c r="A13015" s="104"/>
      <c r="B13015" s="104"/>
    </row>
    <row r="13016" spans="1:2" x14ac:dyDescent="0.25">
      <c r="A13016" s="104"/>
      <c r="B13016" s="104"/>
    </row>
    <row r="13017" spans="1:2" x14ac:dyDescent="0.25">
      <c r="A13017" s="104"/>
      <c r="B13017" s="104"/>
    </row>
    <row r="13018" spans="1:2" x14ac:dyDescent="0.25">
      <c r="A13018" s="104"/>
      <c r="B13018" s="104"/>
    </row>
    <row r="13019" spans="1:2" x14ac:dyDescent="0.25">
      <c r="A13019" s="104"/>
      <c r="B13019" s="104"/>
    </row>
    <row r="13020" spans="1:2" x14ac:dyDescent="0.25">
      <c r="A13020" s="104"/>
      <c r="B13020" s="104"/>
    </row>
    <row r="13021" spans="1:2" x14ac:dyDescent="0.25">
      <c r="A13021" s="104"/>
      <c r="B13021" s="104"/>
    </row>
    <row r="13022" spans="1:2" x14ac:dyDescent="0.25">
      <c r="A13022" s="104"/>
      <c r="B13022" s="104"/>
    </row>
    <row r="13023" spans="1:2" x14ac:dyDescent="0.25">
      <c r="A13023" s="104"/>
      <c r="B13023" s="104"/>
    </row>
    <row r="13024" spans="1:2" x14ac:dyDescent="0.25">
      <c r="A13024" s="104"/>
      <c r="B13024" s="104"/>
    </row>
    <row r="13025" spans="1:2" x14ac:dyDescent="0.25">
      <c r="A13025" s="104"/>
      <c r="B13025" s="104"/>
    </row>
    <row r="13026" spans="1:2" x14ac:dyDescent="0.25">
      <c r="A13026" s="104"/>
      <c r="B13026" s="104"/>
    </row>
    <row r="13027" spans="1:2" x14ac:dyDescent="0.25">
      <c r="A13027" s="104"/>
      <c r="B13027" s="104"/>
    </row>
    <row r="13028" spans="1:2" x14ac:dyDescent="0.25">
      <c r="A13028" s="104"/>
      <c r="B13028" s="104"/>
    </row>
    <row r="13029" spans="1:2" x14ac:dyDescent="0.25">
      <c r="A13029" s="104"/>
      <c r="B13029" s="104"/>
    </row>
    <row r="13030" spans="1:2" x14ac:dyDescent="0.25">
      <c r="A13030" s="104"/>
      <c r="B13030" s="104"/>
    </row>
    <row r="13031" spans="1:2" x14ac:dyDescent="0.25">
      <c r="A13031" s="104"/>
      <c r="B13031" s="104"/>
    </row>
    <row r="13032" spans="1:2" x14ac:dyDescent="0.25">
      <c r="A13032" s="104"/>
      <c r="B13032" s="104"/>
    </row>
    <row r="13033" spans="1:2" x14ac:dyDescent="0.25">
      <c r="A13033" s="104"/>
      <c r="B13033" s="104"/>
    </row>
    <row r="13034" spans="1:2" x14ac:dyDescent="0.25">
      <c r="A13034" s="104"/>
      <c r="B13034" s="104"/>
    </row>
    <row r="13035" spans="1:2" x14ac:dyDescent="0.25">
      <c r="A13035" s="104"/>
      <c r="B13035" s="104"/>
    </row>
    <row r="13036" spans="1:2" x14ac:dyDescent="0.25">
      <c r="A13036" s="104"/>
      <c r="B13036" s="104"/>
    </row>
    <row r="13037" spans="1:2" x14ac:dyDescent="0.25">
      <c r="A13037" s="104"/>
      <c r="B13037" s="104"/>
    </row>
    <row r="13038" spans="1:2" x14ac:dyDescent="0.25">
      <c r="A13038" s="104"/>
      <c r="B13038" s="104"/>
    </row>
    <row r="13039" spans="1:2" x14ac:dyDescent="0.25">
      <c r="A13039" s="104"/>
      <c r="B13039" s="104"/>
    </row>
    <row r="13040" spans="1:2" x14ac:dyDescent="0.25">
      <c r="A13040" s="104"/>
      <c r="B13040" s="104"/>
    </row>
    <row r="13041" spans="1:2" x14ac:dyDescent="0.25">
      <c r="A13041" s="104"/>
      <c r="B13041" s="104"/>
    </row>
    <row r="13042" spans="1:2" x14ac:dyDescent="0.25">
      <c r="A13042" s="104"/>
      <c r="B13042" s="104"/>
    </row>
    <row r="13043" spans="1:2" x14ac:dyDescent="0.25">
      <c r="A13043" s="104"/>
      <c r="B13043" s="104"/>
    </row>
    <row r="13044" spans="1:2" x14ac:dyDescent="0.25">
      <c r="A13044" s="104"/>
      <c r="B13044" s="104"/>
    </row>
    <row r="13045" spans="1:2" x14ac:dyDescent="0.25">
      <c r="A13045" s="104"/>
      <c r="B13045" s="104"/>
    </row>
    <row r="13046" spans="1:2" x14ac:dyDescent="0.25">
      <c r="A13046" s="104"/>
      <c r="B13046" s="104"/>
    </row>
    <row r="13047" spans="1:2" x14ac:dyDescent="0.25">
      <c r="A13047" s="104"/>
      <c r="B13047" s="104"/>
    </row>
    <row r="13048" spans="1:2" x14ac:dyDescent="0.25">
      <c r="A13048" s="104"/>
      <c r="B13048" s="104"/>
    </row>
    <row r="13049" spans="1:2" x14ac:dyDescent="0.25">
      <c r="A13049" s="104"/>
      <c r="B13049" s="104"/>
    </row>
    <row r="13050" spans="1:2" x14ac:dyDescent="0.25">
      <c r="A13050" s="104"/>
      <c r="B13050" s="104"/>
    </row>
    <row r="13051" spans="1:2" x14ac:dyDescent="0.25">
      <c r="A13051" s="104"/>
      <c r="B13051" s="104"/>
    </row>
    <row r="13052" spans="1:2" x14ac:dyDescent="0.25">
      <c r="A13052" s="104"/>
      <c r="B13052" s="104"/>
    </row>
    <row r="13053" spans="1:2" x14ac:dyDescent="0.25">
      <c r="A13053" s="104"/>
      <c r="B13053" s="104"/>
    </row>
    <row r="13054" spans="1:2" x14ac:dyDescent="0.25">
      <c r="A13054" s="104"/>
      <c r="B13054" s="104"/>
    </row>
    <row r="13055" spans="1:2" x14ac:dyDescent="0.25">
      <c r="A13055" s="104"/>
      <c r="B13055" s="104"/>
    </row>
    <row r="13056" spans="1:2" x14ac:dyDescent="0.25">
      <c r="A13056" s="104"/>
      <c r="B13056" s="104"/>
    </row>
    <row r="13057" spans="1:2" x14ac:dyDescent="0.25">
      <c r="A13057" s="104"/>
      <c r="B13057" s="104"/>
    </row>
    <row r="13058" spans="1:2" x14ac:dyDescent="0.25">
      <c r="A13058" s="104"/>
      <c r="B13058" s="104"/>
    </row>
    <row r="13059" spans="1:2" x14ac:dyDescent="0.25">
      <c r="A13059" s="104"/>
      <c r="B13059" s="104"/>
    </row>
    <row r="13060" spans="1:2" x14ac:dyDescent="0.25">
      <c r="A13060" s="104"/>
      <c r="B13060" s="104"/>
    </row>
    <row r="13061" spans="1:2" x14ac:dyDescent="0.25">
      <c r="A13061" s="104"/>
      <c r="B13061" s="104"/>
    </row>
    <row r="13062" spans="1:2" x14ac:dyDescent="0.25">
      <c r="A13062" s="104"/>
      <c r="B13062" s="104"/>
    </row>
    <row r="13063" spans="1:2" x14ac:dyDescent="0.25">
      <c r="A13063" s="104"/>
      <c r="B13063" s="104"/>
    </row>
    <row r="13064" spans="1:2" x14ac:dyDescent="0.25">
      <c r="A13064" s="104"/>
      <c r="B13064" s="104"/>
    </row>
    <row r="13065" spans="1:2" x14ac:dyDescent="0.25">
      <c r="A13065" s="104"/>
      <c r="B13065" s="104"/>
    </row>
    <row r="13066" spans="1:2" x14ac:dyDescent="0.25">
      <c r="A13066" s="104"/>
      <c r="B13066" s="104"/>
    </row>
    <row r="13067" spans="1:2" x14ac:dyDescent="0.25">
      <c r="A13067" s="104"/>
      <c r="B13067" s="104"/>
    </row>
    <row r="13068" spans="1:2" x14ac:dyDescent="0.25">
      <c r="A13068" s="104"/>
      <c r="B13068" s="104"/>
    </row>
    <row r="13069" spans="1:2" x14ac:dyDescent="0.25">
      <c r="A13069" s="104"/>
      <c r="B13069" s="104"/>
    </row>
    <row r="13070" spans="1:2" x14ac:dyDescent="0.25">
      <c r="A13070" s="104"/>
      <c r="B13070" s="104"/>
    </row>
    <row r="13071" spans="1:2" x14ac:dyDescent="0.25">
      <c r="A13071" s="104"/>
      <c r="B13071" s="104"/>
    </row>
    <row r="13072" spans="1:2" x14ac:dyDescent="0.25">
      <c r="A13072" s="104"/>
      <c r="B13072" s="104"/>
    </row>
    <row r="13073" spans="1:2" x14ac:dyDescent="0.25">
      <c r="A13073" s="104"/>
      <c r="B13073" s="104"/>
    </row>
    <row r="13074" spans="1:2" x14ac:dyDescent="0.25">
      <c r="A13074" s="104"/>
      <c r="B13074" s="104"/>
    </row>
    <row r="13075" spans="1:2" x14ac:dyDescent="0.25">
      <c r="A13075" s="104"/>
      <c r="B13075" s="104"/>
    </row>
    <row r="13076" spans="1:2" x14ac:dyDescent="0.25">
      <c r="A13076" s="104"/>
      <c r="B13076" s="104"/>
    </row>
    <row r="13077" spans="1:2" x14ac:dyDescent="0.25">
      <c r="A13077" s="104"/>
      <c r="B13077" s="104"/>
    </row>
    <row r="13078" spans="1:2" x14ac:dyDescent="0.25">
      <c r="A13078" s="104"/>
      <c r="B13078" s="104"/>
    </row>
    <row r="13079" spans="1:2" x14ac:dyDescent="0.25">
      <c r="A13079" s="104"/>
      <c r="B13079" s="104"/>
    </row>
    <row r="13080" spans="1:2" x14ac:dyDescent="0.25">
      <c r="A13080" s="104"/>
      <c r="B13080" s="104"/>
    </row>
    <row r="13081" spans="1:2" x14ac:dyDescent="0.25">
      <c r="A13081" s="104"/>
      <c r="B13081" s="104"/>
    </row>
    <row r="13082" spans="1:2" x14ac:dyDescent="0.25">
      <c r="A13082" s="104"/>
      <c r="B13082" s="104"/>
    </row>
    <row r="13083" spans="1:2" x14ac:dyDescent="0.25">
      <c r="A13083" s="104"/>
      <c r="B13083" s="104"/>
    </row>
    <row r="13084" spans="1:2" x14ac:dyDescent="0.25">
      <c r="A13084" s="104"/>
      <c r="B13084" s="104"/>
    </row>
    <row r="13085" spans="1:2" x14ac:dyDescent="0.25">
      <c r="A13085" s="104"/>
      <c r="B13085" s="104"/>
    </row>
    <row r="13086" spans="1:2" x14ac:dyDescent="0.25">
      <c r="A13086" s="104"/>
      <c r="B13086" s="104"/>
    </row>
    <row r="13087" spans="1:2" x14ac:dyDescent="0.25">
      <c r="A13087" s="104"/>
      <c r="B13087" s="104"/>
    </row>
    <row r="13088" spans="1:2" x14ac:dyDescent="0.25">
      <c r="A13088" s="104"/>
      <c r="B13088" s="104"/>
    </row>
    <row r="13089" spans="1:2" x14ac:dyDescent="0.25">
      <c r="A13089" s="104"/>
      <c r="B13089" s="104"/>
    </row>
    <row r="13090" spans="1:2" x14ac:dyDescent="0.25">
      <c r="A13090" s="104"/>
      <c r="B13090" s="104"/>
    </row>
    <row r="13091" spans="1:2" x14ac:dyDescent="0.25">
      <c r="A13091" s="104"/>
      <c r="B13091" s="104"/>
    </row>
    <row r="13092" spans="1:2" x14ac:dyDescent="0.25">
      <c r="A13092" s="104"/>
      <c r="B13092" s="104"/>
    </row>
    <row r="13093" spans="1:2" x14ac:dyDescent="0.25">
      <c r="A13093" s="104"/>
      <c r="B13093" s="104"/>
    </row>
    <row r="13094" spans="1:2" x14ac:dyDescent="0.25">
      <c r="A13094" s="104"/>
      <c r="B13094" s="104"/>
    </row>
    <row r="13095" spans="1:2" x14ac:dyDescent="0.25">
      <c r="A13095" s="104"/>
      <c r="B13095" s="104"/>
    </row>
    <row r="13096" spans="1:2" x14ac:dyDescent="0.25">
      <c r="A13096" s="104"/>
      <c r="B13096" s="104"/>
    </row>
    <row r="13097" spans="1:2" x14ac:dyDescent="0.25">
      <c r="A13097" s="104"/>
      <c r="B13097" s="104"/>
    </row>
    <row r="13098" spans="1:2" x14ac:dyDescent="0.25">
      <c r="A13098" s="104"/>
      <c r="B13098" s="104"/>
    </row>
    <row r="13099" spans="1:2" x14ac:dyDescent="0.25">
      <c r="A13099" s="104"/>
      <c r="B13099" s="104"/>
    </row>
    <row r="13100" spans="1:2" x14ac:dyDescent="0.25">
      <c r="A13100" s="104"/>
      <c r="B13100" s="104"/>
    </row>
    <row r="13101" spans="1:2" x14ac:dyDescent="0.25">
      <c r="A13101" s="104"/>
      <c r="B13101" s="104"/>
    </row>
    <row r="13102" spans="1:2" x14ac:dyDescent="0.25">
      <c r="A13102" s="104"/>
      <c r="B13102" s="104"/>
    </row>
    <row r="13103" spans="1:2" x14ac:dyDescent="0.25">
      <c r="A13103" s="104"/>
      <c r="B13103" s="104"/>
    </row>
    <row r="13104" spans="1:2" x14ac:dyDescent="0.25">
      <c r="A13104" s="104"/>
      <c r="B13104" s="104"/>
    </row>
    <row r="13105" spans="1:2" x14ac:dyDescent="0.25">
      <c r="A13105" s="104"/>
      <c r="B13105" s="104"/>
    </row>
    <row r="13106" spans="1:2" x14ac:dyDescent="0.25">
      <c r="A13106" s="104"/>
      <c r="B13106" s="104"/>
    </row>
    <row r="13107" spans="1:2" x14ac:dyDescent="0.25">
      <c r="A13107" s="104"/>
      <c r="B13107" s="104"/>
    </row>
    <row r="13108" spans="1:2" x14ac:dyDescent="0.25">
      <c r="A13108" s="104"/>
      <c r="B13108" s="104"/>
    </row>
    <row r="13109" spans="1:2" x14ac:dyDescent="0.25">
      <c r="A13109" s="104"/>
      <c r="B13109" s="104"/>
    </row>
    <row r="13110" spans="1:2" x14ac:dyDescent="0.25">
      <c r="A13110" s="104"/>
      <c r="B13110" s="104"/>
    </row>
    <row r="13111" spans="1:2" x14ac:dyDescent="0.25">
      <c r="A13111" s="104"/>
      <c r="B13111" s="104"/>
    </row>
    <row r="13112" spans="1:2" x14ac:dyDescent="0.25">
      <c r="A13112" s="104"/>
      <c r="B13112" s="104"/>
    </row>
    <row r="13113" spans="1:2" x14ac:dyDescent="0.25">
      <c r="A13113" s="104"/>
      <c r="B13113" s="104"/>
    </row>
    <row r="13114" spans="1:2" x14ac:dyDescent="0.25">
      <c r="A13114" s="104"/>
      <c r="B13114" s="104"/>
    </row>
    <row r="13115" spans="1:2" x14ac:dyDescent="0.25">
      <c r="A13115" s="104"/>
      <c r="B13115" s="104"/>
    </row>
    <row r="13116" spans="1:2" x14ac:dyDescent="0.25">
      <c r="A13116" s="104"/>
      <c r="B13116" s="104"/>
    </row>
    <row r="13117" spans="1:2" x14ac:dyDescent="0.25">
      <c r="A13117" s="104"/>
      <c r="B13117" s="104"/>
    </row>
    <row r="13118" spans="1:2" x14ac:dyDescent="0.25">
      <c r="A13118" s="104"/>
      <c r="B13118" s="104"/>
    </row>
    <row r="13119" spans="1:2" x14ac:dyDescent="0.25">
      <c r="A13119" s="104"/>
      <c r="B13119" s="104"/>
    </row>
    <row r="13120" spans="1:2" x14ac:dyDescent="0.25">
      <c r="A13120" s="104"/>
      <c r="B13120" s="104"/>
    </row>
    <row r="13121" spans="1:2" x14ac:dyDescent="0.25">
      <c r="A13121" s="104"/>
      <c r="B13121" s="104"/>
    </row>
    <row r="13122" spans="1:2" x14ac:dyDescent="0.25">
      <c r="A13122" s="104"/>
      <c r="B13122" s="104"/>
    </row>
    <row r="13123" spans="1:2" x14ac:dyDescent="0.25">
      <c r="A13123" s="104"/>
      <c r="B13123" s="104"/>
    </row>
    <row r="13124" spans="1:2" x14ac:dyDescent="0.25">
      <c r="A13124" s="104"/>
      <c r="B13124" s="104"/>
    </row>
    <row r="13125" spans="1:2" x14ac:dyDescent="0.25">
      <c r="A13125" s="104"/>
      <c r="B13125" s="104"/>
    </row>
    <row r="13126" spans="1:2" x14ac:dyDescent="0.25">
      <c r="A13126" s="104"/>
      <c r="B13126" s="104"/>
    </row>
    <row r="13127" spans="1:2" x14ac:dyDescent="0.25">
      <c r="A13127" s="104"/>
      <c r="B13127" s="104"/>
    </row>
    <row r="13128" spans="1:2" x14ac:dyDescent="0.25">
      <c r="A13128" s="104"/>
      <c r="B13128" s="104"/>
    </row>
    <row r="13129" spans="1:2" x14ac:dyDescent="0.25">
      <c r="A13129" s="104"/>
      <c r="B13129" s="104"/>
    </row>
    <row r="13130" spans="1:2" x14ac:dyDescent="0.25">
      <c r="A13130" s="104"/>
      <c r="B13130" s="104"/>
    </row>
    <row r="13131" spans="1:2" x14ac:dyDescent="0.25">
      <c r="A13131" s="104"/>
      <c r="B13131" s="104"/>
    </row>
    <row r="13132" spans="1:2" x14ac:dyDescent="0.25">
      <c r="A13132" s="104"/>
      <c r="B13132" s="104"/>
    </row>
    <row r="13133" spans="1:2" x14ac:dyDescent="0.25">
      <c r="A13133" s="104"/>
      <c r="B13133" s="104"/>
    </row>
    <row r="13134" spans="1:2" x14ac:dyDescent="0.25">
      <c r="A13134" s="104"/>
      <c r="B13134" s="104"/>
    </row>
    <row r="13135" spans="1:2" x14ac:dyDescent="0.25">
      <c r="A13135" s="104"/>
      <c r="B13135" s="104"/>
    </row>
    <row r="13136" spans="1:2" x14ac:dyDescent="0.25">
      <c r="A13136" s="104"/>
      <c r="B13136" s="104"/>
    </row>
    <row r="13137" spans="1:2" x14ac:dyDescent="0.25">
      <c r="A13137" s="104"/>
      <c r="B13137" s="104"/>
    </row>
    <row r="13138" spans="1:2" x14ac:dyDescent="0.25">
      <c r="A13138" s="104"/>
      <c r="B13138" s="104"/>
    </row>
    <row r="13139" spans="1:2" x14ac:dyDescent="0.25">
      <c r="A13139" s="104"/>
      <c r="B13139" s="104"/>
    </row>
    <row r="13140" spans="1:2" x14ac:dyDescent="0.25">
      <c r="A13140" s="104"/>
      <c r="B13140" s="104"/>
    </row>
    <row r="13141" spans="1:2" x14ac:dyDescent="0.25">
      <c r="A13141" s="104"/>
      <c r="B13141" s="104"/>
    </row>
    <row r="13142" spans="1:2" x14ac:dyDescent="0.25">
      <c r="A13142" s="104"/>
      <c r="B13142" s="104"/>
    </row>
    <row r="13143" spans="1:2" x14ac:dyDescent="0.25">
      <c r="A13143" s="104"/>
      <c r="B13143" s="104"/>
    </row>
    <row r="13144" spans="1:2" x14ac:dyDescent="0.25">
      <c r="A13144" s="104"/>
      <c r="B13144" s="104"/>
    </row>
    <row r="13145" spans="1:2" x14ac:dyDescent="0.25">
      <c r="A13145" s="104"/>
      <c r="B13145" s="104"/>
    </row>
    <row r="13146" spans="1:2" x14ac:dyDescent="0.25">
      <c r="A13146" s="104"/>
      <c r="B13146" s="104"/>
    </row>
    <row r="13147" spans="1:2" x14ac:dyDescent="0.25">
      <c r="A13147" s="104"/>
      <c r="B13147" s="104"/>
    </row>
    <row r="13148" spans="1:2" x14ac:dyDescent="0.25">
      <c r="A13148" s="104"/>
      <c r="B13148" s="104"/>
    </row>
    <row r="13149" spans="1:2" x14ac:dyDescent="0.25">
      <c r="A13149" s="104"/>
      <c r="B13149" s="104"/>
    </row>
    <row r="13150" spans="1:2" x14ac:dyDescent="0.25">
      <c r="A13150" s="104"/>
      <c r="B13150" s="104"/>
    </row>
    <row r="13151" spans="1:2" x14ac:dyDescent="0.25">
      <c r="A13151" s="104"/>
      <c r="B13151" s="104"/>
    </row>
    <row r="13152" spans="1:2" x14ac:dyDescent="0.25">
      <c r="A13152" s="104"/>
      <c r="B13152" s="104"/>
    </row>
    <row r="13153" spans="1:2" x14ac:dyDescent="0.25">
      <c r="A13153" s="104"/>
      <c r="B13153" s="104"/>
    </row>
    <row r="13154" spans="1:2" x14ac:dyDescent="0.25">
      <c r="A13154" s="104"/>
      <c r="B13154" s="104"/>
    </row>
    <row r="13155" spans="1:2" x14ac:dyDescent="0.25">
      <c r="A13155" s="104"/>
      <c r="B13155" s="104"/>
    </row>
    <row r="13156" spans="1:2" x14ac:dyDescent="0.25">
      <c r="A13156" s="104"/>
      <c r="B13156" s="104"/>
    </row>
    <row r="13157" spans="1:2" x14ac:dyDescent="0.25">
      <c r="A13157" s="104"/>
      <c r="B13157" s="104"/>
    </row>
    <row r="13158" spans="1:2" x14ac:dyDescent="0.25">
      <c r="A13158" s="104"/>
      <c r="B13158" s="104"/>
    </row>
    <row r="13159" spans="1:2" x14ac:dyDescent="0.25">
      <c r="A13159" s="104"/>
      <c r="B13159" s="104"/>
    </row>
    <row r="13160" spans="1:2" x14ac:dyDescent="0.25">
      <c r="A13160" s="104"/>
      <c r="B13160" s="104"/>
    </row>
    <row r="13161" spans="1:2" x14ac:dyDescent="0.25">
      <c r="A13161" s="104"/>
      <c r="B13161" s="104"/>
    </row>
    <row r="13162" spans="1:2" x14ac:dyDescent="0.25">
      <c r="A13162" s="104"/>
      <c r="B13162" s="104"/>
    </row>
    <row r="13163" spans="1:2" x14ac:dyDescent="0.25">
      <c r="A13163" s="104"/>
      <c r="B13163" s="104"/>
    </row>
    <row r="13164" spans="1:2" x14ac:dyDescent="0.25">
      <c r="A13164" s="104"/>
      <c r="B13164" s="104"/>
    </row>
    <row r="13165" spans="1:2" x14ac:dyDescent="0.25">
      <c r="A13165" s="104"/>
      <c r="B13165" s="104"/>
    </row>
    <row r="13166" spans="1:2" x14ac:dyDescent="0.25">
      <c r="A13166" s="104"/>
      <c r="B13166" s="104"/>
    </row>
    <row r="13167" spans="1:2" x14ac:dyDescent="0.25">
      <c r="A13167" s="104"/>
      <c r="B13167" s="104"/>
    </row>
    <row r="13168" spans="1:2" x14ac:dyDescent="0.25">
      <c r="A13168" s="104"/>
      <c r="B13168" s="104"/>
    </row>
    <row r="13169" spans="1:2" x14ac:dyDescent="0.25">
      <c r="A13169" s="104"/>
      <c r="B13169" s="104"/>
    </row>
    <row r="13170" spans="1:2" x14ac:dyDescent="0.25">
      <c r="A13170" s="104"/>
      <c r="B13170" s="104"/>
    </row>
    <row r="13171" spans="1:2" x14ac:dyDescent="0.25">
      <c r="A13171" s="104"/>
      <c r="B13171" s="104"/>
    </row>
    <row r="13172" spans="1:2" x14ac:dyDescent="0.25">
      <c r="A13172" s="104"/>
      <c r="B13172" s="104"/>
    </row>
    <row r="13173" spans="1:2" x14ac:dyDescent="0.25">
      <c r="A13173" s="104"/>
      <c r="B13173" s="104"/>
    </row>
    <row r="13174" spans="1:2" x14ac:dyDescent="0.25">
      <c r="A13174" s="104"/>
      <c r="B13174" s="104"/>
    </row>
    <row r="13175" spans="1:2" x14ac:dyDescent="0.25">
      <c r="A13175" s="104"/>
      <c r="B13175" s="104"/>
    </row>
    <row r="13176" spans="1:2" x14ac:dyDescent="0.25">
      <c r="A13176" s="104"/>
      <c r="B13176" s="104"/>
    </row>
    <row r="13177" spans="1:2" x14ac:dyDescent="0.25">
      <c r="A13177" s="104"/>
      <c r="B13177" s="104"/>
    </row>
    <row r="13178" spans="1:2" x14ac:dyDescent="0.25">
      <c r="A13178" s="104"/>
      <c r="B13178" s="104"/>
    </row>
    <row r="13179" spans="1:2" x14ac:dyDescent="0.25">
      <c r="A13179" s="104"/>
      <c r="B13179" s="104"/>
    </row>
    <row r="13180" spans="1:2" x14ac:dyDescent="0.25">
      <c r="A13180" s="104"/>
      <c r="B13180" s="104"/>
    </row>
    <row r="13181" spans="1:2" x14ac:dyDescent="0.25">
      <c r="A13181" s="104"/>
      <c r="B13181" s="104"/>
    </row>
    <row r="13182" spans="1:2" x14ac:dyDescent="0.25">
      <c r="A13182" s="104"/>
      <c r="B13182" s="104"/>
    </row>
    <row r="13183" spans="1:2" x14ac:dyDescent="0.25">
      <c r="A13183" s="104"/>
      <c r="B13183" s="104"/>
    </row>
    <row r="13184" spans="1:2" x14ac:dyDescent="0.25">
      <c r="A13184" s="104"/>
      <c r="B13184" s="104"/>
    </row>
    <row r="13185" spans="1:2" x14ac:dyDescent="0.25">
      <c r="A13185" s="104"/>
      <c r="B13185" s="104"/>
    </row>
    <row r="13186" spans="1:2" x14ac:dyDescent="0.25">
      <c r="A13186" s="104"/>
      <c r="B13186" s="104"/>
    </row>
    <row r="13187" spans="1:2" x14ac:dyDescent="0.25">
      <c r="A13187" s="104"/>
      <c r="B13187" s="104"/>
    </row>
    <row r="13188" spans="1:2" x14ac:dyDescent="0.25">
      <c r="A13188" s="104"/>
      <c r="B13188" s="104"/>
    </row>
    <row r="13189" spans="1:2" x14ac:dyDescent="0.25">
      <c r="A13189" s="104"/>
      <c r="B13189" s="104"/>
    </row>
    <row r="13190" spans="1:2" x14ac:dyDescent="0.25">
      <c r="A13190" s="104"/>
      <c r="B13190" s="104"/>
    </row>
    <row r="13191" spans="1:2" x14ac:dyDescent="0.25">
      <c r="A13191" s="104"/>
      <c r="B13191" s="104"/>
    </row>
    <row r="13192" spans="1:2" x14ac:dyDescent="0.25">
      <c r="A13192" s="104"/>
      <c r="B13192" s="104"/>
    </row>
    <row r="13193" spans="1:2" x14ac:dyDescent="0.25">
      <c r="A13193" s="104"/>
      <c r="B13193" s="104"/>
    </row>
    <row r="13194" spans="1:2" x14ac:dyDescent="0.25">
      <c r="A13194" s="104"/>
      <c r="B13194" s="104"/>
    </row>
    <row r="13195" spans="1:2" x14ac:dyDescent="0.25">
      <c r="A13195" s="104"/>
      <c r="B13195" s="104"/>
    </row>
    <row r="13196" spans="1:2" x14ac:dyDescent="0.25">
      <c r="A13196" s="104"/>
      <c r="B13196" s="104"/>
    </row>
    <row r="13197" spans="1:2" x14ac:dyDescent="0.25">
      <c r="A13197" s="104"/>
      <c r="B13197" s="104"/>
    </row>
    <row r="13198" spans="1:2" x14ac:dyDescent="0.25">
      <c r="A13198" s="104"/>
      <c r="B13198" s="104"/>
    </row>
    <row r="13199" spans="1:2" x14ac:dyDescent="0.25">
      <c r="A13199" s="104"/>
      <c r="B13199" s="104"/>
    </row>
    <row r="13200" spans="1:2" x14ac:dyDescent="0.25">
      <c r="A13200" s="104"/>
      <c r="B13200" s="104"/>
    </row>
    <row r="13201" spans="1:2" x14ac:dyDescent="0.25">
      <c r="A13201" s="104"/>
      <c r="B13201" s="104"/>
    </row>
    <row r="13202" spans="1:2" x14ac:dyDescent="0.25">
      <c r="A13202" s="104"/>
      <c r="B13202" s="104"/>
    </row>
    <row r="13203" spans="1:2" x14ac:dyDescent="0.25">
      <c r="A13203" s="104"/>
      <c r="B13203" s="104"/>
    </row>
    <row r="13204" spans="1:2" x14ac:dyDescent="0.25">
      <c r="A13204" s="104"/>
      <c r="B13204" s="104"/>
    </row>
    <row r="13205" spans="1:2" x14ac:dyDescent="0.25">
      <c r="A13205" s="104"/>
      <c r="B13205" s="104"/>
    </row>
    <row r="13206" spans="1:2" x14ac:dyDescent="0.25">
      <c r="A13206" s="104"/>
      <c r="B13206" s="104"/>
    </row>
    <row r="13207" spans="1:2" x14ac:dyDescent="0.25">
      <c r="A13207" s="104"/>
      <c r="B13207" s="104"/>
    </row>
    <row r="13208" spans="1:2" x14ac:dyDescent="0.25">
      <c r="A13208" s="104"/>
      <c r="B13208" s="104"/>
    </row>
    <row r="13209" spans="1:2" x14ac:dyDescent="0.25">
      <c r="A13209" s="104"/>
      <c r="B13209" s="104"/>
    </row>
    <row r="13210" spans="1:2" x14ac:dyDescent="0.25">
      <c r="A13210" s="104"/>
      <c r="B13210" s="104"/>
    </row>
    <row r="13211" spans="1:2" x14ac:dyDescent="0.25">
      <c r="A13211" s="104"/>
      <c r="B13211" s="104"/>
    </row>
    <row r="13212" spans="1:2" x14ac:dyDescent="0.25">
      <c r="A13212" s="104"/>
      <c r="B13212" s="104"/>
    </row>
    <row r="13213" spans="1:2" x14ac:dyDescent="0.25">
      <c r="A13213" s="104"/>
      <c r="B13213" s="104"/>
    </row>
    <row r="13214" spans="1:2" x14ac:dyDescent="0.25">
      <c r="A13214" s="104"/>
      <c r="B13214" s="104"/>
    </row>
    <row r="13215" spans="1:2" x14ac:dyDescent="0.25">
      <c r="A13215" s="104"/>
      <c r="B13215" s="104"/>
    </row>
    <row r="13216" spans="1:2" x14ac:dyDescent="0.25">
      <c r="A13216" s="104"/>
      <c r="B13216" s="104"/>
    </row>
    <row r="13217" spans="1:2" x14ac:dyDescent="0.25">
      <c r="A13217" s="104"/>
      <c r="B13217" s="104"/>
    </row>
    <row r="13218" spans="1:2" x14ac:dyDescent="0.25">
      <c r="A13218" s="104"/>
      <c r="B13218" s="104"/>
    </row>
    <row r="13219" spans="1:2" x14ac:dyDescent="0.25">
      <c r="A13219" s="104"/>
      <c r="B13219" s="104"/>
    </row>
    <row r="13220" spans="1:2" x14ac:dyDescent="0.25">
      <c r="A13220" s="104"/>
      <c r="B13220" s="104"/>
    </row>
    <row r="13221" spans="1:2" x14ac:dyDescent="0.25">
      <c r="A13221" s="104"/>
      <c r="B13221" s="104"/>
    </row>
    <row r="13222" spans="1:2" x14ac:dyDescent="0.25">
      <c r="A13222" s="104"/>
      <c r="B13222" s="104"/>
    </row>
    <row r="13223" spans="1:2" x14ac:dyDescent="0.25">
      <c r="A13223" s="104"/>
      <c r="B13223" s="104"/>
    </row>
    <row r="13224" spans="1:2" x14ac:dyDescent="0.25">
      <c r="A13224" s="104"/>
      <c r="B13224" s="104"/>
    </row>
    <row r="13225" spans="1:2" x14ac:dyDescent="0.25">
      <c r="A13225" s="104"/>
      <c r="B13225" s="104"/>
    </row>
    <row r="13226" spans="1:2" x14ac:dyDescent="0.25">
      <c r="A13226" s="104"/>
      <c r="B13226" s="104"/>
    </row>
    <row r="13227" spans="1:2" x14ac:dyDescent="0.25">
      <c r="A13227" s="104"/>
      <c r="B13227" s="104"/>
    </row>
    <row r="13228" spans="1:2" x14ac:dyDescent="0.25">
      <c r="A13228" s="104"/>
      <c r="B13228" s="104"/>
    </row>
    <row r="13229" spans="1:2" x14ac:dyDescent="0.25">
      <c r="A13229" s="104"/>
      <c r="B13229" s="104"/>
    </row>
    <row r="13230" spans="1:2" x14ac:dyDescent="0.25">
      <c r="A13230" s="104"/>
      <c r="B13230" s="104"/>
    </row>
    <row r="13231" spans="1:2" x14ac:dyDescent="0.25">
      <c r="A13231" s="104"/>
      <c r="B13231" s="104"/>
    </row>
    <row r="13232" spans="1:2" x14ac:dyDescent="0.25">
      <c r="A13232" s="104"/>
      <c r="B13232" s="104"/>
    </row>
    <row r="13233" spans="1:2" x14ac:dyDescent="0.25">
      <c r="A13233" s="104"/>
      <c r="B13233" s="104"/>
    </row>
    <row r="13234" spans="1:2" x14ac:dyDescent="0.25">
      <c r="A13234" s="104"/>
      <c r="B13234" s="104"/>
    </row>
    <row r="13235" spans="1:2" x14ac:dyDescent="0.25">
      <c r="A13235" s="104"/>
      <c r="B13235" s="104"/>
    </row>
    <row r="13236" spans="1:2" x14ac:dyDescent="0.25">
      <c r="A13236" s="104"/>
      <c r="B13236" s="104"/>
    </row>
    <row r="13237" spans="1:2" x14ac:dyDescent="0.25">
      <c r="A13237" s="104"/>
      <c r="B13237" s="104"/>
    </row>
    <row r="13238" spans="1:2" x14ac:dyDescent="0.25">
      <c r="A13238" s="104"/>
      <c r="B13238" s="104"/>
    </row>
    <row r="13239" spans="1:2" x14ac:dyDescent="0.25">
      <c r="A13239" s="104"/>
      <c r="B13239" s="104"/>
    </row>
    <row r="13240" spans="1:2" x14ac:dyDescent="0.25">
      <c r="A13240" s="104"/>
      <c r="B13240" s="104"/>
    </row>
    <row r="13241" spans="1:2" x14ac:dyDescent="0.25">
      <c r="A13241" s="104"/>
      <c r="B13241" s="104"/>
    </row>
    <row r="13242" spans="1:2" x14ac:dyDescent="0.25">
      <c r="A13242" s="104"/>
      <c r="B13242" s="104"/>
    </row>
    <row r="13243" spans="1:2" x14ac:dyDescent="0.25">
      <c r="A13243" s="104"/>
      <c r="B13243" s="104"/>
    </row>
    <row r="13244" spans="1:2" x14ac:dyDescent="0.25">
      <c r="A13244" s="104"/>
      <c r="B13244" s="104"/>
    </row>
    <row r="13245" spans="1:2" x14ac:dyDescent="0.25">
      <c r="A13245" s="104"/>
      <c r="B13245" s="104"/>
    </row>
    <row r="13246" spans="1:2" x14ac:dyDescent="0.25">
      <c r="A13246" s="104"/>
      <c r="B13246" s="104"/>
    </row>
    <row r="13247" spans="1:2" x14ac:dyDescent="0.25">
      <c r="A13247" s="104"/>
      <c r="B13247" s="104"/>
    </row>
    <row r="13248" spans="1:2" x14ac:dyDescent="0.25">
      <c r="A13248" s="104"/>
      <c r="B13248" s="104"/>
    </row>
    <row r="13249" spans="1:2" x14ac:dyDescent="0.25">
      <c r="A13249" s="104"/>
      <c r="B13249" s="104"/>
    </row>
    <row r="13250" spans="1:2" x14ac:dyDescent="0.25">
      <c r="A13250" s="104"/>
      <c r="B13250" s="104"/>
    </row>
    <row r="13251" spans="1:2" x14ac:dyDescent="0.25">
      <c r="A13251" s="104"/>
      <c r="B13251" s="104"/>
    </row>
    <row r="13252" spans="1:2" x14ac:dyDescent="0.25">
      <c r="A13252" s="104"/>
      <c r="B13252" s="104"/>
    </row>
    <row r="13253" spans="1:2" x14ac:dyDescent="0.25">
      <c r="A13253" s="104"/>
      <c r="B13253" s="104"/>
    </row>
    <row r="13254" spans="1:2" x14ac:dyDescent="0.25">
      <c r="A13254" s="104"/>
      <c r="B13254" s="104"/>
    </row>
    <row r="13255" spans="1:2" x14ac:dyDescent="0.25">
      <c r="A13255" s="104"/>
      <c r="B13255" s="104"/>
    </row>
    <row r="13256" spans="1:2" x14ac:dyDescent="0.25">
      <c r="A13256" s="104"/>
      <c r="B13256" s="104"/>
    </row>
    <row r="13257" spans="1:2" x14ac:dyDescent="0.25">
      <c r="A13257" s="104"/>
      <c r="B13257" s="104"/>
    </row>
    <row r="13258" spans="1:2" x14ac:dyDescent="0.25">
      <c r="A13258" s="104"/>
      <c r="B13258" s="104"/>
    </row>
    <row r="13259" spans="1:2" x14ac:dyDescent="0.25">
      <c r="A13259" s="104"/>
      <c r="B13259" s="104"/>
    </row>
    <row r="13260" spans="1:2" x14ac:dyDescent="0.25">
      <c r="A13260" s="104"/>
      <c r="B13260" s="104"/>
    </row>
    <row r="13261" spans="1:2" x14ac:dyDescent="0.25">
      <c r="A13261" s="104"/>
      <c r="B13261" s="104"/>
    </row>
    <row r="13262" spans="1:2" x14ac:dyDescent="0.25">
      <c r="A13262" s="104"/>
      <c r="B13262" s="104"/>
    </row>
    <row r="13263" spans="1:2" x14ac:dyDescent="0.25">
      <c r="A13263" s="104"/>
      <c r="B13263" s="104"/>
    </row>
    <row r="13264" spans="1:2" x14ac:dyDescent="0.25">
      <c r="A13264" s="104"/>
      <c r="B13264" s="104"/>
    </row>
    <row r="13265" spans="1:2" x14ac:dyDescent="0.25">
      <c r="A13265" s="104"/>
      <c r="B13265" s="104"/>
    </row>
    <row r="13266" spans="1:2" x14ac:dyDescent="0.25">
      <c r="A13266" s="104"/>
      <c r="B13266" s="104"/>
    </row>
    <row r="13267" spans="1:2" x14ac:dyDescent="0.25">
      <c r="A13267" s="104"/>
      <c r="B13267" s="104"/>
    </row>
    <row r="13268" spans="1:2" x14ac:dyDescent="0.25">
      <c r="A13268" s="104"/>
      <c r="B13268" s="104"/>
    </row>
    <row r="13269" spans="1:2" x14ac:dyDescent="0.25">
      <c r="A13269" s="104"/>
      <c r="B13269" s="104"/>
    </row>
    <row r="13270" spans="1:2" x14ac:dyDescent="0.25">
      <c r="A13270" s="104"/>
      <c r="B13270" s="104"/>
    </row>
    <row r="13271" spans="1:2" x14ac:dyDescent="0.25">
      <c r="A13271" s="104"/>
      <c r="B13271" s="104"/>
    </row>
    <row r="13272" spans="1:2" x14ac:dyDescent="0.25">
      <c r="A13272" s="104"/>
      <c r="B13272" s="104"/>
    </row>
    <row r="13273" spans="1:2" x14ac:dyDescent="0.25">
      <c r="A13273" s="104"/>
      <c r="B13273" s="104"/>
    </row>
    <row r="13274" spans="1:2" x14ac:dyDescent="0.25">
      <c r="A13274" s="104"/>
      <c r="B13274" s="104"/>
    </row>
    <row r="13275" spans="1:2" x14ac:dyDescent="0.25">
      <c r="A13275" s="104"/>
      <c r="B13275" s="104"/>
    </row>
    <row r="13276" spans="1:2" x14ac:dyDescent="0.25">
      <c r="A13276" s="104"/>
      <c r="B13276" s="104"/>
    </row>
    <row r="13277" spans="1:2" x14ac:dyDescent="0.25">
      <c r="A13277" s="104"/>
      <c r="B13277" s="104"/>
    </row>
    <row r="13278" spans="1:2" x14ac:dyDescent="0.25">
      <c r="A13278" s="104"/>
      <c r="B13278" s="104"/>
    </row>
    <row r="13279" spans="1:2" x14ac:dyDescent="0.25">
      <c r="A13279" s="104"/>
      <c r="B13279" s="104"/>
    </row>
    <row r="13280" spans="1:2" x14ac:dyDescent="0.25">
      <c r="A13280" s="104"/>
      <c r="B13280" s="104"/>
    </row>
    <row r="13281" spans="1:2" x14ac:dyDescent="0.25">
      <c r="A13281" s="104"/>
      <c r="B13281" s="104"/>
    </row>
    <row r="13282" spans="1:2" x14ac:dyDescent="0.25">
      <c r="A13282" s="104"/>
      <c r="B13282" s="104"/>
    </row>
    <row r="13283" spans="1:2" x14ac:dyDescent="0.25">
      <c r="A13283" s="104"/>
      <c r="B13283" s="104"/>
    </row>
    <row r="13284" spans="1:2" x14ac:dyDescent="0.25">
      <c r="A13284" s="104"/>
      <c r="B13284" s="104"/>
    </row>
    <row r="13285" spans="1:2" x14ac:dyDescent="0.25">
      <c r="A13285" s="104"/>
      <c r="B13285" s="104"/>
    </row>
    <row r="13286" spans="1:2" x14ac:dyDescent="0.25">
      <c r="A13286" s="104"/>
      <c r="B13286" s="104"/>
    </row>
    <row r="13287" spans="1:2" x14ac:dyDescent="0.25">
      <c r="A13287" s="104"/>
      <c r="B13287" s="104"/>
    </row>
    <row r="13288" spans="1:2" x14ac:dyDescent="0.25">
      <c r="A13288" s="104"/>
      <c r="B13288" s="104"/>
    </row>
    <row r="13289" spans="1:2" x14ac:dyDescent="0.25">
      <c r="A13289" s="104"/>
      <c r="B13289" s="104"/>
    </row>
    <row r="13290" spans="1:2" x14ac:dyDescent="0.25">
      <c r="A13290" s="104"/>
      <c r="B13290" s="104"/>
    </row>
    <row r="13291" spans="1:2" x14ac:dyDescent="0.25">
      <c r="A13291" s="104"/>
      <c r="B13291" s="104"/>
    </row>
    <row r="13292" spans="1:2" x14ac:dyDescent="0.25">
      <c r="A13292" s="104"/>
      <c r="B13292" s="104"/>
    </row>
    <row r="13293" spans="1:2" x14ac:dyDescent="0.25">
      <c r="A13293" s="104"/>
      <c r="B13293" s="104"/>
    </row>
    <row r="13294" spans="1:2" x14ac:dyDescent="0.25">
      <c r="A13294" s="104"/>
      <c r="B13294" s="104"/>
    </row>
    <row r="13295" spans="1:2" x14ac:dyDescent="0.25">
      <c r="A13295" s="104"/>
      <c r="B13295" s="104"/>
    </row>
    <row r="13296" spans="1:2" x14ac:dyDescent="0.25">
      <c r="A13296" s="104"/>
      <c r="B13296" s="104"/>
    </row>
    <row r="13297" spans="1:2" x14ac:dyDescent="0.25">
      <c r="A13297" s="104"/>
      <c r="B13297" s="104"/>
    </row>
    <row r="13298" spans="1:2" x14ac:dyDescent="0.25">
      <c r="A13298" s="104"/>
      <c r="B13298" s="104"/>
    </row>
    <row r="13299" spans="1:2" x14ac:dyDescent="0.25">
      <c r="A13299" s="104"/>
      <c r="B13299" s="104"/>
    </row>
    <row r="13300" spans="1:2" x14ac:dyDescent="0.25">
      <c r="A13300" s="104"/>
      <c r="B13300" s="104"/>
    </row>
    <row r="13301" spans="1:2" x14ac:dyDescent="0.25">
      <c r="A13301" s="104"/>
      <c r="B13301" s="104"/>
    </row>
    <row r="13302" spans="1:2" x14ac:dyDescent="0.25">
      <c r="A13302" s="104"/>
      <c r="B13302" s="104"/>
    </row>
    <row r="13303" spans="1:2" x14ac:dyDescent="0.25">
      <c r="A13303" s="104"/>
      <c r="B13303" s="104"/>
    </row>
    <row r="13304" spans="1:2" x14ac:dyDescent="0.25">
      <c r="A13304" s="104"/>
      <c r="B13304" s="104"/>
    </row>
    <row r="13305" spans="1:2" x14ac:dyDescent="0.25">
      <c r="A13305" s="104"/>
      <c r="B13305" s="104"/>
    </row>
    <row r="13306" spans="1:2" x14ac:dyDescent="0.25">
      <c r="A13306" s="104"/>
      <c r="B13306" s="104"/>
    </row>
    <row r="13307" spans="1:2" x14ac:dyDescent="0.25">
      <c r="A13307" s="104"/>
      <c r="B13307" s="104"/>
    </row>
    <row r="13308" spans="1:2" x14ac:dyDescent="0.25">
      <c r="A13308" s="104"/>
      <c r="B13308" s="104"/>
    </row>
    <row r="13309" spans="1:2" x14ac:dyDescent="0.25">
      <c r="A13309" s="104"/>
      <c r="B13309" s="104"/>
    </row>
    <row r="13310" spans="1:2" x14ac:dyDescent="0.25">
      <c r="A13310" s="104"/>
      <c r="B13310" s="104"/>
    </row>
    <row r="13311" spans="1:2" x14ac:dyDescent="0.25">
      <c r="A13311" s="104"/>
      <c r="B13311" s="104"/>
    </row>
    <row r="13312" spans="1:2" x14ac:dyDescent="0.25">
      <c r="A13312" s="104"/>
      <c r="B13312" s="104"/>
    </row>
    <row r="13313" spans="1:2" x14ac:dyDescent="0.25">
      <c r="A13313" s="104"/>
      <c r="B13313" s="104"/>
    </row>
    <row r="13314" spans="1:2" x14ac:dyDescent="0.25">
      <c r="A13314" s="104"/>
      <c r="B13314" s="104"/>
    </row>
    <row r="13315" spans="1:2" x14ac:dyDescent="0.25">
      <c r="A13315" s="104"/>
      <c r="B13315" s="104"/>
    </row>
    <row r="13316" spans="1:2" x14ac:dyDescent="0.25">
      <c r="A13316" s="104"/>
      <c r="B13316" s="104"/>
    </row>
    <row r="13317" spans="1:2" x14ac:dyDescent="0.25">
      <c r="A13317" s="104"/>
      <c r="B13317" s="104"/>
    </row>
    <row r="13318" spans="1:2" x14ac:dyDescent="0.25">
      <c r="A13318" s="104"/>
      <c r="B13318" s="104"/>
    </row>
    <row r="13319" spans="1:2" x14ac:dyDescent="0.25">
      <c r="A13319" s="104"/>
      <c r="B13319" s="104"/>
    </row>
    <row r="13320" spans="1:2" x14ac:dyDescent="0.25">
      <c r="A13320" s="104"/>
      <c r="B13320" s="104"/>
    </row>
    <row r="13321" spans="1:2" x14ac:dyDescent="0.25">
      <c r="A13321" s="104"/>
      <c r="B13321" s="104"/>
    </row>
    <row r="13322" spans="1:2" x14ac:dyDescent="0.25">
      <c r="A13322" s="104"/>
      <c r="B13322" s="104"/>
    </row>
    <row r="13323" spans="1:2" x14ac:dyDescent="0.25">
      <c r="A13323" s="104"/>
      <c r="B13323" s="104"/>
    </row>
    <row r="13324" spans="1:2" x14ac:dyDescent="0.25">
      <c r="A13324" s="104"/>
      <c r="B13324" s="104"/>
    </row>
    <row r="13325" spans="1:2" x14ac:dyDescent="0.25">
      <c r="A13325" s="104"/>
      <c r="B13325" s="104"/>
    </row>
    <row r="13326" spans="1:2" x14ac:dyDescent="0.25">
      <c r="A13326" s="104"/>
      <c r="B13326" s="104"/>
    </row>
    <row r="13327" spans="1:2" x14ac:dyDescent="0.25">
      <c r="A13327" s="104"/>
      <c r="B13327" s="104"/>
    </row>
    <row r="13328" spans="1:2" x14ac:dyDescent="0.25">
      <c r="A13328" s="104"/>
      <c r="B13328" s="104"/>
    </row>
    <row r="13329" spans="1:2" x14ac:dyDescent="0.25">
      <c r="A13329" s="104"/>
      <c r="B13329" s="104"/>
    </row>
    <row r="13330" spans="1:2" x14ac:dyDescent="0.25">
      <c r="A13330" s="104"/>
      <c r="B13330" s="104"/>
    </row>
    <row r="13331" spans="1:2" x14ac:dyDescent="0.25">
      <c r="A13331" s="104"/>
      <c r="B13331" s="104"/>
    </row>
    <row r="13332" spans="1:2" x14ac:dyDescent="0.25">
      <c r="A13332" s="104"/>
      <c r="B13332" s="104"/>
    </row>
    <row r="13333" spans="1:2" x14ac:dyDescent="0.25">
      <c r="A13333" s="104"/>
      <c r="B13333" s="104"/>
    </row>
    <row r="13334" spans="1:2" x14ac:dyDescent="0.25">
      <c r="A13334" s="104"/>
      <c r="B13334" s="104"/>
    </row>
    <row r="13335" spans="1:2" x14ac:dyDescent="0.25">
      <c r="A13335" s="104"/>
      <c r="B13335" s="104"/>
    </row>
    <row r="13336" spans="1:2" x14ac:dyDescent="0.25">
      <c r="A13336" s="104"/>
      <c r="B13336" s="104"/>
    </row>
    <row r="13337" spans="1:2" x14ac:dyDescent="0.25">
      <c r="A13337" s="104"/>
      <c r="B13337" s="104"/>
    </row>
    <row r="13338" spans="1:2" x14ac:dyDescent="0.25">
      <c r="A13338" s="104"/>
      <c r="B13338" s="104"/>
    </row>
    <row r="13339" spans="1:2" x14ac:dyDescent="0.25">
      <c r="A13339" s="104"/>
      <c r="B13339" s="104"/>
    </row>
    <row r="13340" spans="1:2" x14ac:dyDescent="0.25">
      <c r="A13340" s="104"/>
      <c r="B13340" s="104"/>
    </row>
    <row r="13341" spans="1:2" x14ac:dyDescent="0.25">
      <c r="A13341" s="104"/>
      <c r="B13341" s="104"/>
    </row>
    <row r="13342" spans="1:2" x14ac:dyDescent="0.25">
      <c r="A13342" s="104"/>
      <c r="B13342" s="104"/>
    </row>
    <row r="13343" spans="1:2" x14ac:dyDescent="0.25">
      <c r="A13343" s="104"/>
      <c r="B13343" s="104"/>
    </row>
    <row r="13344" spans="1:2" x14ac:dyDescent="0.25">
      <c r="A13344" s="104"/>
      <c r="B13344" s="104"/>
    </row>
    <row r="13345" spans="1:2" x14ac:dyDescent="0.25">
      <c r="A13345" s="104"/>
      <c r="B13345" s="104"/>
    </row>
    <row r="13346" spans="1:2" x14ac:dyDescent="0.25">
      <c r="A13346" s="104"/>
      <c r="B13346" s="104"/>
    </row>
    <row r="13347" spans="1:2" x14ac:dyDescent="0.25">
      <c r="A13347" s="104"/>
      <c r="B13347" s="104"/>
    </row>
    <row r="13348" spans="1:2" x14ac:dyDescent="0.25">
      <c r="A13348" s="104"/>
      <c r="B13348" s="104"/>
    </row>
    <row r="13349" spans="1:2" x14ac:dyDescent="0.25">
      <c r="A13349" s="104"/>
      <c r="B13349" s="104"/>
    </row>
    <row r="13350" spans="1:2" x14ac:dyDescent="0.25">
      <c r="A13350" s="104"/>
      <c r="B13350" s="104"/>
    </row>
    <row r="13351" spans="1:2" x14ac:dyDescent="0.25">
      <c r="A13351" s="104"/>
      <c r="B13351" s="104"/>
    </row>
    <row r="13352" spans="1:2" x14ac:dyDescent="0.25">
      <c r="A13352" s="104"/>
      <c r="B13352" s="104"/>
    </row>
    <row r="13353" spans="1:2" x14ac:dyDescent="0.25">
      <c r="A13353" s="104"/>
      <c r="B13353" s="104"/>
    </row>
    <row r="13354" spans="1:2" x14ac:dyDescent="0.25">
      <c r="A13354" s="104"/>
      <c r="B13354" s="104"/>
    </row>
    <row r="13355" spans="1:2" x14ac:dyDescent="0.25">
      <c r="A13355" s="104"/>
      <c r="B13355" s="104"/>
    </row>
    <row r="13356" spans="1:2" x14ac:dyDescent="0.25">
      <c r="A13356" s="104"/>
      <c r="B13356" s="104"/>
    </row>
    <row r="13357" spans="1:2" x14ac:dyDescent="0.25">
      <c r="A13357" s="104"/>
      <c r="B13357" s="104"/>
    </row>
    <row r="13358" spans="1:2" x14ac:dyDescent="0.25">
      <c r="A13358" s="104"/>
      <c r="B13358" s="104"/>
    </row>
    <row r="13359" spans="1:2" x14ac:dyDescent="0.25">
      <c r="A13359" s="104"/>
      <c r="B13359" s="104"/>
    </row>
    <row r="13360" spans="1:2" x14ac:dyDescent="0.25">
      <c r="A13360" s="104"/>
      <c r="B13360" s="104"/>
    </row>
    <row r="13361" spans="1:2" x14ac:dyDescent="0.25">
      <c r="A13361" s="104"/>
      <c r="B13361" s="104"/>
    </row>
    <row r="13362" spans="1:2" x14ac:dyDescent="0.25">
      <c r="A13362" s="104"/>
      <c r="B13362" s="104"/>
    </row>
    <row r="13363" spans="1:2" x14ac:dyDescent="0.25">
      <c r="A13363" s="104"/>
      <c r="B13363" s="104"/>
    </row>
    <row r="13364" spans="1:2" x14ac:dyDescent="0.25">
      <c r="A13364" s="104"/>
      <c r="B13364" s="104"/>
    </row>
    <row r="13365" spans="1:2" x14ac:dyDescent="0.25">
      <c r="A13365" s="104"/>
      <c r="B13365" s="104"/>
    </row>
    <row r="13366" spans="1:2" x14ac:dyDescent="0.25">
      <c r="A13366" s="104"/>
      <c r="B13366" s="104"/>
    </row>
    <row r="13367" spans="1:2" x14ac:dyDescent="0.25">
      <c r="A13367" s="104"/>
      <c r="B13367" s="104"/>
    </row>
    <row r="13368" spans="1:2" x14ac:dyDescent="0.25">
      <c r="A13368" s="104"/>
      <c r="B13368" s="104"/>
    </row>
    <row r="13369" spans="1:2" x14ac:dyDescent="0.25">
      <c r="A13369" s="104"/>
      <c r="B13369" s="104"/>
    </row>
    <row r="13370" spans="1:2" x14ac:dyDescent="0.25">
      <c r="A13370" s="104"/>
      <c r="B13370" s="104"/>
    </row>
    <row r="13371" spans="1:2" x14ac:dyDescent="0.25">
      <c r="A13371" s="104"/>
      <c r="B13371" s="104"/>
    </row>
    <row r="13372" spans="1:2" x14ac:dyDescent="0.25">
      <c r="A13372" s="104"/>
      <c r="B13372" s="104"/>
    </row>
    <row r="13373" spans="1:2" x14ac:dyDescent="0.25">
      <c r="A13373" s="104"/>
      <c r="B13373" s="104"/>
    </row>
    <row r="13374" spans="1:2" x14ac:dyDescent="0.25">
      <c r="A13374" s="104"/>
      <c r="B13374" s="104"/>
    </row>
    <row r="13375" spans="1:2" x14ac:dyDescent="0.25">
      <c r="A13375" s="104"/>
      <c r="B13375" s="104"/>
    </row>
    <row r="13376" spans="1:2" x14ac:dyDescent="0.25">
      <c r="A13376" s="104"/>
      <c r="B13376" s="104"/>
    </row>
    <row r="13377" spans="1:2" x14ac:dyDescent="0.25">
      <c r="A13377" s="104"/>
      <c r="B13377" s="104"/>
    </row>
    <row r="13378" spans="1:2" x14ac:dyDescent="0.25">
      <c r="A13378" s="104"/>
      <c r="B13378" s="104"/>
    </row>
    <row r="13379" spans="1:2" x14ac:dyDescent="0.25">
      <c r="A13379" s="104"/>
      <c r="B13379" s="104"/>
    </row>
    <row r="13380" spans="1:2" x14ac:dyDescent="0.25">
      <c r="A13380" s="104"/>
      <c r="B13380" s="104"/>
    </row>
    <row r="13381" spans="1:2" x14ac:dyDescent="0.25">
      <c r="A13381" s="104"/>
      <c r="B13381" s="104"/>
    </row>
    <row r="13382" spans="1:2" x14ac:dyDescent="0.25">
      <c r="A13382" s="104"/>
      <c r="B13382" s="104"/>
    </row>
    <row r="13383" spans="1:2" x14ac:dyDescent="0.25">
      <c r="A13383" s="104"/>
      <c r="B13383" s="104"/>
    </row>
    <row r="13384" spans="1:2" x14ac:dyDescent="0.25">
      <c r="A13384" s="104"/>
      <c r="B13384" s="104"/>
    </row>
    <row r="13385" spans="1:2" x14ac:dyDescent="0.25">
      <c r="A13385" s="104"/>
      <c r="B13385" s="104"/>
    </row>
    <row r="13386" spans="1:2" x14ac:dyDescent="0.25">
      <c r="A13386" s="104"/>
      <c r="B13386" s="104"/>
    </row>
    <row r="13387" spans="1:2" x14ac:dyDescent="0.25">
      <c r="A13387" s="104"/>
      <c r="B13387" s="104"/>
    </row>
    <row r="13388" spans="1:2" x14ac:dyDescent="0.25">
      <c r="A13388" s="104"/>
      <c r="B13388" s="104"/>
    </row>
    <row r="13389" spans="1:2" x14ac:dyDescent="0.25">
      <c r="A13389" s="104"/>
      <c r="B13389" s="104"/>
    </row>
    <row r="13390" spans="1:2" x14ac:dyDescent="0.25">
      <c r="A13390" s="104"/>
      <c r="B13390" s="104"/>
    </row>
    <row r="13391" spans="1:2" x14ac:dyDescent="0.25">
      <c r="A13391" s="104"/>
      <c r="B13391" s="104"/>
    </row>
    <row r="13392" spans="1:2" x14ac:dyDescent="0.25">
      <c r="A13392" s="104"/>
      <c r="B13392" s="104"/>
    </row>
    <row r="13393" spans="1:2" x14ac:dyDescent="0.25">
      <c r="A13393" s="104"/>
      <c r="B13393" s="104"/>
    </row>
    <row r="13394" spans="1:2" x14ac:dyDescent="0.25">
      <c r="A13394" s="104"/>
      <c r="B13394" s="104"/>
    </row>
    <row r="13395" spans="1:2" x14ac:dyDescent="0.25">
      <c r="A13395" s="104"/>
      <c r="B13395" s="104"/>
    </row>
    <row r="13396" spans="1:2" x14ac:dyDescent="0.25">
      <c r="A13396" s="104"/>
      <c r="B13396" s="104"/>
    </row>
    <row r="13397" spans="1:2" x14ac:dyDescent="0.25">
      <c r="A13397" s="104"/>
      <c r="B13397" s="104"/>
    </row>
    <row r="13398" spans="1:2" x14ac:dyDescent="0.25">
      <c r="A13398" s="104"/>
      <c r="B13398" s="104"/>
    </row>
    <row r="13399" spans="1:2" x14ac:dyDescent="0.25">
      <c r="A13399" s="104"/>
      <c r="B13399" s="104"/>
    </row>
    <row r="13400" spans="1:2" x14ac:dyDescent="0.25">
      <c r="A13400" s="104"/>
      <c r="B13400" s="104"/>
    </row>
    <row r="13401" spans="1:2" x14ac:dyDescent="0.25">
      <c r="A13401" s="104"/>
      <c r="B13401" s="104"/>
    </row>
    <row r="13402" spans="1:2" x14ac:dyDescent="0.25">
      <c r="A13402" s="104"/>
      <c r="B13402" s="104"/>
    </row>
    <row r="13403" spans="1:2" x14ac:dyDescent="0.25">
      <c r="A13403" s="104"/>
      <c r="B13403" s="104"/>
    </row>
    <row r="13404" spans="1:2" x14ac:dyDescent="0.25">
      <c r="A13404" s="104"/>
      <c r="B13404" s="104"/>
    </row>
    <row r="13405" spans="1:2" x14ac:dyDescent="0.25">
      <c r="A13405" s="104"/>
      <c r="B13405" s="104"/>
    </row>
    <row r="13406" spans="1:2" x14ac:dyDescent="0.25">
      <c r="A13406" s="104"/>
      <c r="B13406" s="104"/>
    </row>
    <row r="13407" spans="1:2" x14ac:dyDescent="0.25">
      <c r="A13407" s="104"/>
      <c r="B13407" s="104"/>
    </row>
    <row r="13408" spans="1:2" x14ac:dyDescent="0.25">
      <c r="A13408" s="104"/>
      <c r="B13408" s="104"/>
    </row>
    <row r="13409" spans="1:2" x14ac:dyDescent="0.25">
      <c r="A13409" s="104"/>
      <c r="B13409" s="104"/>
    </row>
    <row r="13410" spans="1:2" x14ac:dyDescent="0.25">
      <c r="A13410" s="104"/>
      <c r="B13410" s="104"/>
    </row>
    <row r="13411" spans="1:2" x14ac:dyDescent="0.25">
      <c r="A13411" s="104"/>
      <c r="B13411" s="104"/>
    </row>
    <row r="13412" spans="1:2" x14ac:dyDescent="0.25">
      <c r="A13412" s="104"/>
      <c r="B13412" s="104"/>
    </row>
    <row r="13413" spans="1:2" x14ac:dyDescent="0.25">
      <c r="A13413" s="104"/>
      <c r="B13413" s="104"/>
    </row>
    <row r="13414" spans="1:2" x14ac:dyDescent="0.25">
      <c r="A13414" s="104"/>
      <c r="B13414" s="104"/>
    </row>
    <row r="13415" spans="1:2" x14ac:dyDescent="0.25">
      <c r="A13415" s="104"/>
      <c r="B13415" s="104"/>
    </row>
    <row r="13416" spans="1:2" x14ac:dyDescent="0.25">
      <c r="A13416" s="104"/>
      <c r="B13416" s="104"/>
    </row>
    <row r="13417" spans="1:2" x14ac:dyDescent="0.25">
      <c r="A13417" s="104"/>
      <c r="B13417" s="104"/>
    </row>
    <row r="13418" spans="1:2" x14ac:dyDescent="0.25">
      <c r="A13418" s="104"/>
      <c r="B13418" s="104"/>
    </row>
    <row r="13419" spans="1:2" x14ac:dyDescent="0.25">
      <c r="A13419" s="104"/>
      <c r="B13419" s="104"/>
    </row>
    <row r="13420" spans="1:2" x14ac:dyDescent="0.25">
      <c r="A13420" s="104"/>
      <c r="B13420" s="104"/>
    </row>
    <row r="13421" spans="1:2" x14ac:dyDescent="0.25">
      <c r="A13421" s="104"/>
      <c r="B13421" s="104"/>
    </row>
    <row r="13422" spans="1:2" x14ac:dyDescent="0.25">
      <c r="A13422" s="104"/>
      <c r="B13422" s="104"/>
    </row>
    <row r="13423" spans="1:2" x14ac:dyDescent="0.25">
      <c r="A13423" s="104"/>
      <c r="B13423" s="104"/>
    </row>
    <row r="13424" spans="1:2" x14ac:dyDescent="0.25">
      <c r="A13424" s="104"/>
      <c r="B13424" s="104"/>
    </row>
    <row r="13425" spans="1:2" x14ac:dyDescent="0.25">
      <c r="A13425" s="104"/>
      <c r="B13425" s="104"/>
    </row>
    <row r="13426" spans="1:2" x14ac:dyDescent="0.25">
      <c r="A13426" s="104"/>
      <c r="B13426" s="104"/>
    </row>
    <row r="13427" spans="1:2" x14ac:dyDescent="0.25">
      <c r="A13427" s="104"/>
      <c r="B13427" s="104"/>
    </row>
    <row r="13428" spans="1:2" x14ac:dyDescent="0.25">
      <c r="A13428" s="104"/>
      <c r="B13428" s="104"/>
    </row>
    <row r="13429" spans="1:2" x14ac:dyDescent="0.25">
      <c r="A13429" s="104"/>
      <c r="B13429" s="104"/>
    </row>
    <row r="13430" spans="1:2" x14ac:dyDescent="0.25">
      <c r="A13430" s="104"/>
      <c r="B13430" s="104"/>
    </row>
    <row r="13431" spans="1:2" x14ac:dyDescent="0.25">
      <c r="A13431" s="104"/>
      <c r="B13431" s="104"/>
    </row>
    <row r="13432" spans="1:2" x14ac:dyDescent="0.25">
      <c r="A13432" s="104"/>
      <c r="B13432" s="104"/>
    </row>
    <row r="13433" spans="1:2" x14ac:dyDescent="0.25">
      <c r="A13433" s="104"/>
      <c r="B13433" s="104"/>
    </row>
    <row r="13434" spans="1:2" x14ac:dyDescent="0.25">
      <c r="A13434" s="104"/>
      <c r="B13434" s="104"/>
    </row>
    <row r="13435" spans="1:2" x14ac:dyDescent="0.25">
      <c r="A13435" s="104"/>
      <c r="B13435" s="104"/>
    </row>
    <row r="13436" spans="1:2" x14ac:dyDescent="0.25">
      <c r="A13436" s="104"/>
      <c r="B13436" s="104"/>
    </row>
    <row r="13437" spans="1:2" x14ac:dyDescent="0.25">
      <c r="A13437" s="104"/>
      <c r="B13437" s="104"/>
    </row>
    <row r="13438" spans="1:2" x14ac:dyDescent="0.25">
      <c r="A13438" s="104"/>
      <c r="B13438" s="104"/>
    </row>
    <row r="13439" spans="1:2" x14ac:dyDescent="0.25">
      <c r="A13439" s="104"/>
      <c r="B13439" s="104"/>
    </row>
    <row r="13440" spans="1:2" x14ac:dyDescent="0.25">
      <c r="A13440" s="104"/>
      <c r="B13440" s="104"/>
    </row>
    <row r="13441" spans="1:2" x14ac:dyDescent="0.25">
      <c r="A13441" s="104"/>
      <c r="B13441" s="104"/>
    </row>
    <row r="13442" spans="1:2" x14ac:dyDescent="0.25">
      <c r="A13442" s="104"/>
      <c r="B13442" s="104"/>
    </row>
    <row r="13443" spans="1:2" x14ac:dyDescent="0.25">
      <c r="A13443" s="104"/>
      <c r="B13443" s="104"/>
    </row>
    <row r="13444" spans="1:2" x14ac:dyDescent="0.25">
      <c r="A13444" s="104"/>
      <c r="B13444" s="104"/>
    </row>
    <row r="13445" spans="1:2" x14ac:dyDescent="0.25">
      <c r="A13445" s="104"/>
      <c r="B13445" s="104"/>
    </row>
    <row r="13446" spans="1:2" x14ac:dyDescent="0.25">
      <c r="A13446" s="104"/>
      <c r="B13446" s="104"/>
    </row>
    <row r="13447" spans="1:2" x14ac:dyDescent="0.25">
      <c r="A13447" s="104"/>
      <c r="B13447" s="104"/>
    </row>
    <row r="13448" spans="1:2" x14ac:dyDescent="0.25">
      <c r="A13448" s="104"/>
      <c r="B13448" s="104"/>
    </row>
    <row r="13449" spans="1:2" x14ac:dyDescent="0.25">
      <c r="A13449" s="104"/>
      <c r="B13449" s="104"/>
    </row>
    <row r="13450" spans="1:2" x14ac:dyDescent="0.25">
      <c r="A13450" s="104"/>
      <c r="B13450" s="104"/>
    </row>
    <row r="13451" spans="1:2" x14ac:dyDescent="0.25">
      <c r="A13451" s="104"/>
      <c r="B13451" s="104"/>
    </row>
    <row r="13452" spans="1:2" x14ac:dyDescent="0.25">
      <c r="A13452" s="104"/>
      <c r="B13452" s="104"/>
    </row>
    <row r="13453" spans="1:2" x14ac:dyDescent="0.25">
      <c r="A13453" s="104"/>
      <c r="B13453" s="104"/>
    </row>
    <row r="13454" spans="1:2" x14ac:dyDescent="0.25">
      <c r="A13454" s="104"/>
      <c r="B13454" s="104"/>
    </row>
    <row r="13455" spans="1:2" x14ac:dyDescent="0.25">
      <c r="A13455" s="104"/>
      <c r="B13455" s="104"/>
    </row>
    <row r="13456" spans="1:2" x14ac:dyDescent="0.25">
      <c r="A13456" s="104"/>
      <c r="B13456" s="104"/>
    </row>
    <row r="13457" spans="1:2" x14ac:dyDescent="0.25">
      <c r="A13457" s="104"/>
      <c r="B13457" s="104"/>
    </row>
    <row r="13458" spans="1:2" x14ac:dyDescent="0.25">
      <c r="A13458" s="104"/>
      <c r="B13458" s="104"/>
    </row>
    <row r="13459" spans="1:2" x14ac:dyDescent="0.25">
      <c r="A13459" s="104"/>
      <c r="B13459" s="104"/>
    </row>
    <row r="13460" spans="1:2" x14ac:dyDescent="0.25">
      <c r="A13460" s="104"/>
      <c r="B13460" s="104"/>
    </row>
    <row r="13461" spans="1:2" x14ac:dyDescent="0.25">
      <c r="A13461" s="104"/>
      <c r="B13461" s="104"/>
    </row>
    <row r="13462" spans="1:2" x14ac:dyDescent="0.25">
      <c r="A13462" s="104"/>
      <c r="B13462" s="104"/>
    </row>
    <row r="13463" spans="1:2" x14ac:dyDescent="0.25">
      <c r="A13463" s="104"/>
      <c r="B13463" s="104"/>
    </row>
    <row r="13464" spans="1:2" x14ac:dyDescent="0.25">
      <c r="A13464" s="104"/>
      <c r="B13464" s="104"/>
    </row>
    <row r="13465" spans="1:2" x14ac:dyDescent="0.25">
      <c r="A13465" s="104"/>
      <c r="B13465" s="104"/>
    </row>
    <row r="13466" spans="1:2" x14ac:dyDescent="0.25">
      <c r="A13466" s="104"/>
      <c r="B13466" s="104"/>
    </row>
    <row r="13467" spans="1:2" x14ac:dyDescent="0.25">
      <c r="A13467" s="104"/>
      <c r="B13467" s="104"/>
    </row>
    <row r="13468" spans="1:2" x14ac:dyDescent="0.25">
      <c r="A13468" s="104"/>
      <c r="B13468" s="104"/>
    </row>
    <row r="13469" spans="1:2" x14ac:dyDescent="0.25">
      <c r="A13469" s="104"/>
      <c r="B13469" s="104"/>
    </row>
    <row r="13470" spans="1:2" x14ac:dyDescent="0.25">
      <c r="A13470" s="104"/>
      <c r="B13470" s="104"/>
    </row>
    <row r="13471" spans="1:2" x14ac:dyDescent="0.25">
      <c r="A13471" s="104"/>
      <c r="B13471" s="104"/>
    </row>
    <row r="13472" spans="1:2" x14ac:dyDescent="0.25">
      <c r="A13472" s="104"/>
      <c r="B13472" s="104"/>
    </row>
    <row r="13473" spans="1:2" x14ac:dyDescent="0.25">
      <c r="A13473" s="104"/>
      <c r="B13473" s="104"/>
    </row>
    <row r="13474" spans="1:2" x14ac:dyDescent="0.25">
      <c r="A13474" s="104"/>
      <c r="B13474" s="104"/>
    </row>
    <row r="13475" spans="1:2" x14ac:dyDescent="0.25">
      <c r="A13475" s="104"/>
      <c r="B13475" s="104"/>
    </row>
    <row r="13476" spans="1:2" x14ac:dyDescent="0.25">
      <c r="A13476" s="104"/>
      <c r="B13476" s="104"/>
    </row>
    <row r="13477" spans="1:2" x14ac:dyDescent="0.25">
      <c r="A13477" s="104"/>
      <c r="B13477" s="104"/>
    </row>
    <row r="13478" spans="1:2" x14ac:dyDescent="0.25">
      <c r="A13478" s="104"/>
      <c r="B13478" s="104"/>
    </row>
    <row r="13479" spans="1:2" x14ac:dyDescent="0.25">
      <c r="A13479" s="104"/>
      <c r="B13479" s="104"/>
    </row>
    <row r="13480" spans="1:2" x14ac:dyDescent="0.25">
      <c r="A13480" s="104"/>
      <c r="B13480" s="104"/>
    </row>
    <row r="13481" spans="1:2" x14ac:dyDescent="0.25">
      <c r="A13481" s="104"/>
      <c r="B13481" s="104"/>
    </row>
    <row r="13482" spans="1:2" x14ac:dyDescent="0.25">
      <c r="A13482" s="104"/>
      <c r="B13482" s="104"/>
    </row>
    <row r="13483" spans="1:2" x14ac:dyDescent="0.25">
      <c r="A13483" s="104"/>
      <c r="B13483" s="104"/>
    </row>
    <row r="13484" spans="1:2" x14ac:dyDescent="0.25">
      <c r="A13484" s="104"/>
      <c r="B13484" s="104"/>
    </row>
    <row r="13485" spans="1:2" x14ac:dyDescent="0.25">
      <c r="A13485" s="104"/>
      <c r="B13485" s="104"/>
    </row>
    <row r="13486" spans="1:2" x14ac:dyDescent="0.25">
      <c r="A13486" s="104"/>
      <c r="B13486" s="104"/>
    </row>
    <row r="13487" spans="1:2" x14ac:dyDescent="0.25">
      <c r="A13487" s="104"/>
      <c r="B13487" s="104"/>
    </row>
    <row r="13488" spans="1:2" x14ac:dyDescent="0.25">
      <c r="A13488" s="104"/>
      <c r="B13488" s="104"/>
    </row>
    <row r="13489" spans="1:2" x14ac:dyDescent="0.25">
      <c r="A13489" s="104"/>
      <c r="B13489" s="104"/>
    </row>
    <row r="13490" spans="1:2" x14ac:dyDescent="0.25">
      <c r="A13490" s="104"/>
      <c r="B13490" s="104"/>
    </row>
    <row r="13491" spans="1:2" x14ac:dyDescent="0.25">
      <c r="A13491" s="104"/>
      <c r="B13491" s="104"/>
    </row>
    <row r="13492" spans="1:2" x14ac:dyDescent="0.25">
      <c r="A13492" s="104"/>
      <c r="B13492" s="104"/>
    </row>
    <row r="13493" spans="1:2" x14ac:dyDescent="0.25">
      <c r="A13493" s="104"/>
      <c r="B13493" s="104"/>
    </row>
    <row r="13494" spans="1:2" x14ac:dyDescent="0.25">
      <c r="A13494" s="104"/>
      <c r="B13494" s="104"/>
    </row>
    <row r="13495" spans="1:2" x14ac:dyDescent="0.25">
      <c r="A13495" s="104"/>
      <c r="B13495" s="104"/>
    </row>
    <row r="13496" spans="1:2" x14ac:dyDescent="0.25">
      <c r="A13496" s="104"/>
      <c r="B13496" s="104"/>
    </row>
    <row r="13497" spans="1:2" x14ac:dyDescent="0.25">
      <c r="A13497" s="104"/>
      <c r="B13497" s="104"/>
    </row>
    <row r="13498" spans="1:2" x14ac:dyDescent="0.25">
      <c r="A13498" s="104"/>
      <c r="B13498" s="104"/>
    </row>
    <row r="13499" spans="1:2" x14ac:dyDescent="0.25">
      <c r="A13499" s="104"/>
      <c r="B13499" s="104"/>
    </row>
    <row r="13500" spans="1:2" x14ac:dyDescent="0.25">
      <c r="A13500" s="104"/>
      <c r="B13500" s="104"/>
    </row>
    <row r="13501" spans="1:2" x14ac:dyDescent="0.25">
      <c r="A13501" s="104"/>
      <c r="B13501" s="104"/>
    </row>
    <row r="13502" spans="1:2" x14ac:dyDescent="0.25">
      <c r="A13502" s="104"/>
      <c r="B13502" s="104"/>
    </row>
    <row r="13503" spans="1:2" x14ac:dyDescent="0.25">
      <c r="A13503" s="104"/>
      <c r="B13503" s="104"/>
    </row>
    <row r="13504" spans="1:2" x14ac:dyDescent="0.25">
      <c r="A13504" s="104"/>
      <c r="B13504" s="104"/>
    </row>
    <row r="13505" spans="1:2" x14ac:dyDescent="0.25">
      <c r="A13505" s="104"/>
      <c r="B13505" s="104"/>
    </row>
    <row r="13506" spans="1:2" x14ac:dyDescent="0.25">
      <c r="A13506" s="104"/>
      <c r="B13506" s="104"/>
    </row>
    <row r="13507" spans="1:2" x14ac:dyDescent="0.25">
      <c r="A13507" s="104"/>
      <c r="B13507" s="104"/>
    </row>
    <row r="13508" spans="1:2" x14ac:dyDescent="0.25">
      <c r="A13508" s="104"/>
      <c r="B13508" s="104"/>
    </row>
    <row r="13509" spans="1:2" x14ac:dyDescent="0.25">
      <c r="A13509" s="104"/>
      <c r="B13509" s="104"/>
    </row>
    <row r="13510" spans="1:2" x14ac:dyDescent="0.25">
      <c r="A13510" s="104"/>
      <c r="B13510" s="104"/>
    </row>
    <row r="13511" spans="1:2" x14ac:dyDescent="0.25">
      <c r="A13511" s="104"/>
      <c r="B13511" s="104"/>
    </row>
    <row r="13512" spans="1:2" x14ac:dyDescent="0.25">
      <c r="A13512" s="104"/>
      <c r="B13512" s="104"/>
    </row>
    <row r="13513" spans="1:2" x14ac:dyDescent="0.25">
      <c r="A13513" s="104"/>
      <c r="B13513" s="104"/>
    </row>
    <row r="13514" spans="1:2" x14ac:dyDescent="0.25">
      <c r="A13514" s="104"/>
      <c r="B13514" s="104"/>
    </row>
    <row r="13515" spans="1:2" x14ac:dyDescent="0.25">
      <c r="A13515" s="104"/>
      <c r="B13515" s="104"/>
    </row>
    <row r="13516" spans="1:2" x14ac:dyDescent="0.25">
      <c r="A13516" s="104"/>
      <c r="B13516" s="104"/>
    </row>
    <row r="13517" spans="1:2" x14ac:dyDescent="0.25">
      <c r="A13517" s="104"/>
      <c r="B13517" s="104"/>
    </row>
    <row r="13518" spans="1:2" x14ac:dyDescent="0.25">
      <c r="A13518" s="104"/>
      <c r="B13518" s="104"/>
    </row>
    <row r="13519" spans="1:2" x14ac:dyDescent="0.25">
      <c r="A13519" s="104"/>
      <c r="B13519" s="104"/>
    </row>
    <row r="13520" spans="1:2" x14ac:dyDescent="0.25">
      <c r="A13520" s="104"/>
      <c r="B13520" s="104"/>
    </row>
    <row r="13521" spans="1:2" x14ac:dyDescent="0.25">
      <c r="A13521" s="104"/>
      <c r="B13521" s="104"/>
    </row>
    <row r="13522" spans="1:2" x14ac:dyDescent="0.25">
      <c r="A13522" s="104"/>
      <c r="B13522" s="104"/>
    </row>
    <row r="13523" spans="1:2" x14ac:dyDescent="0.25">
      <c r="A13523" s="104"/>
      <c r="B13523" s="104"/>
    </row>
    <row r="13524" spans="1:2" x14ac:dyDescent="0.25">
      <c r="A13524" s="104"/>
      <c r="B13524" s="104"/>
    </row>
    <row r="13525" spans="1:2" x14ac:dyDescent="0.25">
      <c r="A13525" s="104"/>
      <c r="B13525" s="104"/>
    </row>
    <row r="13526" spans="1:2" x14ac:dyDescent="0.25">
      <c r="A13526" s="104"/>
      <c r="B13526" s="104"/>
    </row>
    <row r="13527" spans="1:2" x14ac:dyDescent="0.25">
      <c r="A13527" s="104"/>
      <c r="B13527" s="104"/>
    </row>
    <row r="13528" spans="1:2" x14ac:dyDescent="0.25">
      <c r="A13528" s="104"/>
      <c r="B13528" s="104"/>
    </row>
    <row r="13529" spans="1:2" x14ac:dyDescent="0.25">
      <c r="A13529" s="104"/>
      <c r="B13529" s="104"/>
    </row>
    <row r="13530" spans="1:2" x14ac:dyDescent="0.25">
      <c r="A13530" s="104"/>
      <c r="B13530" s="104"/>
    </row>
    <row r="13531" spans="1:2" x14ac:dyDescent="0.25">
      <c r="A13531" s="104"/>
      <c r="B13531" s="104"/>
    </row>
    <row r="13532" spans="1:2" x14ac:dyDescent="0.25">
      <c r="A13532" s="104"/>
      <c r="B13532" s="104"/>
    </row>
    <row r="13533" spans="1:2" x14ac:dyDescent="0.25">
      <c r="A13533" s="104"/>
      <c r="B13533" s="104"/>
    </row>
    <row r="13534" spans="1:2" x14ac:dyDescent="0.25">
      <c r="A13534" s="104"/>
      <c r="B13534" s="104"/>
    </row>
    <row r="13535" spans="1:2" x14ac:dyDescent="0.25">
      <c r="A13535" s="104"/>
      <c r="B13535" s="104"/>
    </row>
    <row r="13536" spans="1:2" x14ac:dyDescent="0.25">
      <c r="A13536" s="104"/>
      <c r="B13536" s="104"/>
    </row>
    <row r="13537" spans="1:2" x14ac:dyDescent="0.25">
      <c r="A13537" s="104"/>
      <c r="B13537" s="104"/>
    </row>
    <row r="13538" spans="1:2" x14ac:dyDescent="0.25">
      <c r="A13538" s="104"/>
      <c r="B13538" s="104"/>
    </row>
    <row r="13539" spans="1:2" x14ac:dyDescent="0.25">
      <c r="A13539" s="104"/>
      <c r="B13539" s="104"/>
    </row>
    <row r="13540" spans="1:2" x14ac:dyDescent="0.25">
      <c r="A13540" s="104"/>
      <c r="B13540" s="104"/>
    </row>
    <row r="13541" spans="1:2" x14ac:dyDescent="0.25">
      <c r="A13541" s="104"/>
      <c r="B13541" s="104"/>
    </row>
    <row r="13542" spans="1:2" x14ac:dyDescent="0.25">
      <c r="A13542" s="104"/>
      <c r="B13542" s="104"/>
    </row>
    <row r="13543" spans="1:2" x14ac:dyDescent="0.25">
      <c r="A13543" s="104"/>
      <c r="B13543" s="104"/>
    </row>
    <row r="13544" spans="1:2" x14ac:dyDescent="0.25">
      <c r="A13544" s="104"/>
      <c r="B13544" s="104"/>
    </row>
    <row r="13545" spans="1:2" x14ac:dyDescent="0.25">
      <c r="A13545" s="104"/>
      <c r="B13545" s="104"/>
    </row>
    <row r="13546" spans="1:2" x14ac:dyDescent="0.25">
      <c r="A13546" s="104"/>
      <c r="B13546" s="104"/>
    </row>
    <row r="13547" spans="1:2" x14ac:dyDescent="0.25">
      <c r="A13547" s="104"/>
      <c r="B13547" s="104"/>
    </row>
    <row r="13548" spans="1:2" x14ac:dyDescent="0.25">
      <c r="A13548" s="104"/>
      <c r="B13548" s="104"/>
    </row>
    <row r="13549" spans="1:2" x14ac:dyDescent="0.25">
      <c r="A13549" s="104"/>
      <c r="B13549" s="104"/>
    </row>
    <row r="13550" spans="1:2" x14ac:dyDescent="0.25">
      <c r="A13550" s="104"/>
      <c r="B13550" s="104"/>
    </row>
    <row r="13551" spans="1:2" x14ac:dyDescent="0.25">
      <c r="A13551" s="104"/>
      <c r="B13551" s="104"/>
    </row>
    <row r="13552" spans="1:2" x14ac:dyDescent="0.25">
      <c r="A13552" s="104"/>
      <c r="B13552" s="104"/>
    </row>
    <row r="13553" spans="1:2" x14ac:dyDescent="0.25">
      <c r="A13553" s="104"/>
      <c r="B13553" s="104"/>
    </row>
    <row r="13554" spans="1:2" x14ac:dyDescent="0.25">
      <c r="A13554" s="104"/>
      <c r="B13554" s="104"/>
    </row>
    <row r="13555" spans="1:2" x14ac:dyDescent="0.25">
      <c r="A13555" s="104"/>
      <c r="B13555" s="104"/>
    </row>
    <row r="13556" spans="1:2" x14ac:dyDescent="0.25">
      <c r="A13556" s="104"/>
      <c r="B13556" s="104"/>
    </row>
    <row r="13557" spans="1:2" x14ac:dyDescent="0.25">
      <c r="A13557" s="104"/>
      <c r="B13557" s="104"/>
    </row>
    <row r="13558" spans="1:2" x14ac:dyDescent="0.25">
      <c r="A13558" s="104"/>
      <c r="B13558" s="104"/>
    </row>
    <row r="13559" spans="1:2" x14ac:dyDescent="0.25">
      <c r="A13559" s="104"/>
      <c r="B13559" s="104"/>
    </row>
    <row r="13560" spans="1:2" x14ac:dyDescent="0.25">
      <c r="A13560" s="104"/>
      <c r="B13560" s="104"/>
    </row>
    <row r="13561" spans="1:2" x14ac:dyDescent="0.25">
      <c r="A13561" s="104"/>
      <c r="B13561" s="104"/>
    </row>
    <row r="13562" spans="1:2" x14ac:dyDescent="0.25">
      <c r="A13562" s="104"/>
      <c r="B13562" s="104"/>
    </row>
    <row r="13563" spans="1:2" x14ac:dyDescent="0.25">
      <c r="A13563" s="104"/>
      <c r="B13563" s="104"/>
    </row>
    <row r="13564" spans="1:2" x14ac:dyDescent="0.25">
      <c r="A13564" s="104"/>
      <c r="B13564" s="104"/>
    </row>
    <row r="13565" spans="1:2" x14ac:dyDescent="0.25">
      <c r="A13565" s="104"/>
      <c r="B13565" s="104"/>
    </row>
    <row r="13566" spans="1:2" x14ac:dyDescent="0.25">
      <c r="A13566" s="104"/>
      <c r="B13566" s="104"/>
    </row>
    <row r="13567" spans="1:2" x14ac:dyDescent="0.25">
      <c r="A13567" s="104"/>
      <c r="B13567" s="104"/>
    </row>
    <row r="13568" spans="1:2" x14ac:dyDescent="0.25">
      <c r="A13568" s="104"/>
      <c r="B13568" s="104"/>
    </row>
    <row r="13569" spans="1:2" x14ac:dyDescent="0.25">
      <c r="A13569" s="104"/>
      <c r="B13569" s="104"/>
    </row>
    <row r="13570" spans="1:2" x14ac:dyDescent="0.25">
      <c r="A13570" s="104"/>
      <c r="B13570" s="104"/>
    </row>
    <row r="13571" spans="1:2" x14ac:dyDescent="0.25">
      <c r="A13571" s="104"/>
      <c r="B13571" s="104"/>
    </row>
    <row r="13572" spans="1:2" x14ac:dyDescent="0.25">
      <c r="A13572" s="104"/>
      <c r="B13572" s="104"/>
    </row>
    <row r="13573" spans="1:2" x14ac:dyDescent="0.25">
      <c r="A13573" s="104"/>
      <c r="B13573" s="104"/>
    </row>
    <row r="13574" spans="1:2" x14ac:dyDescent="0.25">
      <c r="A13574" s="104"/>
      <c r="B13574" s="104"/>
    </row>
    <row r="13575" spans="1:2" x14ac:dyDescent="0.25">
      <c r="A13575" s="104"/>
      <c r="B13575" s="104"/>
    </row>
    <row r="13576" spans="1:2" x14ac:dyDescent="0.25">
      <c r="A13576" s="104"/>
      <c r="B13576" s="104"/>
    </row>
    <row r="13577" spans="1:2" x14ac:dyDescent="0.25">
      <c r="A13577" s="104"/>
      <c r="B13577" s="104"/>
    </row>
    <row r="13578" spans="1:2" x14ac:dyDescent="0.25">
      <c r="A13578" s="104"/>
      <c r="B13578" s="104"/>
    </row>
    <row r="13579" spans="1:2" x14ac:dyDescent="0.25">
      <c r="A13579" s="104"/>
      <c r="B13579" s="104"/>
    </row>
    <row r="13580" spans="1:2" x14ac:dyDescent="0.25">
      <c r="A13580" s="104"/>
      <c r="B13580" s="104"/>
    </row>
    <row r="13581" spans="1:2" x14ac:dyDescent="0.25">
      <c r="A13581" s="104"/>
      <c r="B13581" s="104"/>
    </row>
    <row r="13582" spans="1:2" x14ac:dyDescent="0.25">
      <c r="A13582" s="104"/>
      <c r="B13582" s="104"/>
    </row>
    <row r="13583" spans="1:2" x14ac:dyDescent="0.25">
      <c r="A13583" s="104"/>
      <c r="B13583" s="104"/>
    </row>
    <row r="13584" spans="1:2" x14ac:dyDescent="0.25">
      <c r="A13584" s="104"/>
      <c r="B13584" s="104"/>
    </row>
    <row r="13585" spans="1:2" x14ac:dyDescent="0.25">
      <c r="A13585" s="104"/>
      <c r="B13585" s="104"/>
    </row>
    <row r="13586" spans="1:2" x14ac:dyDescent="0.25">
      <c r="A13586" s="104"/>
      <c r="B13586" s="104"/>
    </row>
    <row r="13587" spans="1:2" x14ac:dyDescent="0.25">
      <c r="A13587" s="104"/>
      <c r="B13587" s="104"/>
    </row>
    <row r="13588" spans="1:2" x14ac:dyDescent="0.25">
      <c r="A13588" s="104"/>
      <c r="B13588" s="104"/>
    </row>
    <row r="13589" spans="1:2" x14ac:dyDescent="0.25">
      <c r="A13589" s="104"/>
      <c r="B13589" s="104"/>
    </row>
    <row r="13590" spans="1:2" x14ac:dyDescent="0.25">
      <c r="A13590" s="104"/>
      <c r="B13590" s="104"/>
    </row>
    <row r="13591" spans="1:2" x14ac:dyDescent="0.25">
      <c r="A13591" s="104"/>
      <c r="B13591" s="104"/>
    </row>
    <row r="13592" spans="1:2" x14ac:dyDescent="0.25">
      <c r="A13592" s="104"/>
      <c r="B13592" s="104"/>
    </row>
    <row r="13593" spans="1:2" x14ac:dyDescent="0.25">
      <c r="A13593" s="104"/>
      <c r="B13593" s="104"/>
    </row>
    <row r="13594" spans="1:2" x14ac:dyDescent="0.25">
      <c r="A13594" s="104"/>
      <c r="B13594" s="104"/>
    </row>
    <row r="13595" spans="1:2" x14ac:dyDescent="0.25">
      <c r="A13595" s="104"/>
      <c r="B13595" s="104"/>
    </row>
    <row r="13596" spans="1:2" x14ac:dyDescent="0.25">
      <c r="A13596" s="104"/>
      <c r="B13596" s="104"/>
    </row>
    <row r="13597" spans="1:2" x14ac:dyDescent="0.25">
      <c r="A13597" s="104"/>
      <c r="B13597" s="104"/>
    </row>
    <row r="13598" spans="1:2" x14ac:dyDescent="0.25">
      <c r="A13598" s="104"/>
      <c r="B13598" s="104"/>
    </row>
    <row r="13599" spans="1:2" x14ac:dyDescent="0.25">
      <c r="A13599" s="104"/>
      <c r="B13599" s="104"/>
    </row>
    <row r="13600" spans="1:2" x14ac:dyDescent="0.25">
      <c r="A13600" s="104"/>
      <c r="B13600" s="104"/>
    </row>
    <row r="13601" spans="1:2" x14ac:dyDescent="0.25">
      <c r="A13601" s="104"/>
      <c r="B13601" s="104"/>
    </row>
    <row r="13602" spans="1:2" x14ac:dyDescent="0.25">
      <c r="A13602" s="104"/>
      <c r="B13602" s="104"/>
    </row>
    <row r="13603" spans="1:2" x14ac:dyDescent="0.25">
      <c r="A13603" s="104"/>
      <c r="B13603" s="104"/>
    </row>
    <row r="13604" spans="1:2" x14ac:dyDescent="0.25">
      <c r="A13604" s="104"/>
      <c r="B13604" s="104"/>
    </row>
    <row r="13605" spans="1:2" x14ac:dyDescent="0.25">
      <c r="A13605" s="104"/>
      <c r="B13605" s="104"/>
    </row>
    <row r="13606" spans="1:2" x14ac:dyDescent="0.25">
      <c r="A13606" s="104"/>
      <c r="B13606" s="104"/>
    </row>
    <row r="13607" spans="1:2" x14ac:dyDescent="0.25">
      <c r="A13607" s="104"/>
      <c r="B13607" s="104"/>
    </row>
    <row r="13608" spans="1:2" x14ac:dyDescent="0.25">
      <c r="A13608" s="104"/>
      <c r="B13608" s="104"/>
    </row>
    <row r="13609" spans="1:2" x14ac:dyDescent="0.25">
      <c r="A13609" s="104"/>
      <c r="B13609" s="104"/>
    </row>
    <row r="13610" spans="1:2" x14ac:dyDescent="0.25">
      <c r="A13610" s="104"/>
      <c r="B13610" s="104"/>
    </row>
    <row r="13611" spans="1:2" x14ac:dyDescent="0.25">
      <c r="A13611" s="104"/>
      <c r="B13611" s="104"/>
    </row>
    <row r="13612" spans="1:2" x14ac:dyDescent="0.25">
      <c r="A13612" s="104"/>
      <c r="B13612" s="104"/>
    </row>
    <row r="13613" spans="1:2" x14ac:dyDescent="0.25">
      <c r="A13613" s="104"/>
      <c r="B13613" s="104"/>
    </row>
    <row r="13614" spans="1:2" x14ac:dyDescent="0.25">
      <c r="A13614" s="104"/>
      <c r="B13614" s="104"/>
    </row>
    <row r="13615" spans="1:2" x14ac:dyDescent="0.25">
      <c r="A13615" s="104"/>
      <c r="B13615" s="104"/>
    </row>
    <row r="13616" spans="1:2" x14ac:dyDescent="0.25">
      <c r="A13616" s="104"/>
      <c r="B13616" s="104"/>
    </row>
    <row r="13617" spans="1:2" x14ac:dyDescent="0.25">
      <c r="A13617" s="104"/>
      <c r="B13617" s="104"/>
    </row>
    <row r="13618" spans="1:2" x14ac:dyDescent="0.25">
      <c r="A13618" s="104"/>
      <c r="B13618" s="104"/>
    </row>
    <row r="13619" spans="1:2" x14ac:dyDescent="0.25">
      <c r="A13619" s="104"/>
      <c r="B13619" s="104"/>
    </row>
    <row r="13620" spans="1:2" x14ac:dyDescent="0.25">
      <c r="A13620" s="104"/>
      <c r="B13620" s="104"/>
    </row>
    <row r="13621" spans="1:2" x14ac:dyDescent="0.25">
      <c r="A13621" s="104"/>
      <c r="B13621" s="104"/>
    </row>
    <row r="13622" spans="1:2" x14ac:dyDescent="0.25">
      <c r="A13622" s="104"/>
      <c r="B13622" s="104"/>
    </row>
    <row r="13623" spans="1:2" x14ac:dyDescent="0.25">
      <c r="A13623" s="104"/>
      <c r="B13623" s="104"/>
    </row>
    <row r="13624" spans="1:2" x14ac:dyDescent="0.25">
      <c r="A13624" s="104"/>
      <c r="B13624" s="104"/>
    </row>
    <row r="13625" spans="1:2" x14ac:dyDescent="0.25">
      <c r="A13625" s="104"/>
      <c r="B13625" s="104"/>
    </row>
    <row r="13626" spans="1:2" x14ac:dyDescent="0.25">
      <c r="A13626" s="104"/>
      <c r="B13626" s="104"/>
    </row>
    <row r="13627" spans="1:2" x14ac:dyDescent="0.25">
      <c r="A13627" s="104"/>
      <c r="B13627" s="104"/>
    </row>
    <row r="13628" spans="1:2" x14ac:dyDescent="0.25">
      <c r="A13628" s="104"/>
      <c r="B13628" s="104"/>
    </row>
    <row r="13629" spans="1:2" x14ac:dyDescent="0.25">
      <c r="A13629" s="104"/>
      <c r="B13629" s="104"/>
    </row>
    <row r="13630" spans="1:2" x14ac:dyDescent="0.25">
      <c r="A13630" s="104"/>
      <c r="B13630" s="104"/>
    </row>
    <row r="13631" spans="1:2" x14ac:dyDescent="0.25">
      <c r="A13631" s="104"/>
      <c r="B13631" s="104"/>
    </row>
    <row r="13632" spans="1:2" x14ac:dyDescent="0.25">
      <c r="A13632" s="104"/>
      <c r="B13632" s="104"/>
    </row>
    <row r="13633" spans="1:2" x14ac:dyDescent="0.25">
      <c r="A13633" s="104"/>
      <c r="B13633" s="104"/>
    </row>
    <row r="13634" spans="1:2" x14ac:dyDescent="0.25">
      <c r="A13634" s="104"/>
      <c r="B13634" s="104"/>
    </row>
    <row r="13635" spans="1:2" x14ac:dyDescent="0.25">
      <c r="A13635" s="104"/>
      <c r="B13635" s="104"/>
    </row>
    <row r="13636" spans="1:2" x14ac:dyDescent="0.25">
      <c r="A13636" s="104"/>
      <c r="B13636" s="104"/>
    </row>
    <row r="13637" spans="1:2" x14ac:dyDescent="0.25">
      <c r="A13637" s="104"/>
      <c r="B13637" s="104"/>
    </row>
    <row r="13638" spans="1:2" x14ac:dyDescent="0.25">
      <c r="A13638" s="104"/>
      <c r="B13638" s="104"/>
    </row>
    <row r="13639" spans="1:2" x14ac:dyDescent="0.25">
      <c r="A13639" s="104"/>
      <c r="B13639" s="104"/>
    </row>
    <row r="13640" spans="1:2" x14ac:dyDescent="0.25">
      <c r="A13640" s="104"/>
      <c r="B13640" s="104"/>
    </row>
    <row r="13641" spans="1:2" x14ac:dyDescent="0.25">
      <c r="A13641" s="104"/>
      <c r="B13641" s="104"/>
    </row>
    <row r="13642" spans="1:2" x14ac:dyDescent="0.25">
      <c r="A13642" s="104"/>
      <c r="B13642" s="104"/>
    </row>
    <row r="13643" spans="1:2" x14ac:dyDescent="0.25">
      <c r="A13643" s="104"/>
      <c r="B13643" s="104"/>
    </row>
    <row r="13644" spans="1:2" x14ac:dyDescent="0.25">
      <c r="A13644" s="104"/>
      <c r="B13644" s="104"/>
    </row>
    <row r="13645" spans="1:2" x14ac:dyDescent="0.25">
      <c r="A13645" s="104"/>
      <c r="B13645" s="104"/>
    </row>
    <row r="13646" spans="1:2" x14ac:dyDescent="0.25">
      <c r="A13646" s="104"/>
      <c r="B13646" s="104"/>
    </row>
    <row r="13647" spans="1:2" x14ac:dyDescent="0.25">
      <c r="A13647" s="104"/>
      <c r="B13647" s="104"/>
    </row>
    <row r="13648" spans="1:2" x14ac:dyDescent="0.25">
      <c r="A13648" s="104"/>
      <c r="B13648" s="104"/>
    </row>
    <row r="13649" spans="1:2" x14ac:dyDescent="0.25">
      <c r="A13649" s="104"/>
      <c r="B13649" s="104"/>
    </row>
    <row r="13650" spans="1:2" x14ac:dyDescent="0.25">
      <c r="A13650" s="104"/>
      <c r="B13650" s="104"/>
    </row>
    <row r="13651" spans="1:2" x14ac:dyDescent="0.25">
      <c r="A13651" s="104"/>
      <c r="B13651" s="104"/>
    </row>
    <row r="13652" spans="1:2" x14ac:dyDescent="0.25">
      <c r="A13652" s="104"/>
      <c r="B13652" s="104"/>
    </row>
    <row r="13653" spans="1:2" x14ac:dyDescent="0.25">
      <c r="A13653" s="104"/>
      <c r="B13653" s="104"/>
    </row>
    <row r="13654" spans="1:2" x14ac:dyDescent="0.25">
      <c r="A13654" s="104"/>
      <c r="B13654" s="104"/>
    </row>
    <row r="13655" spans="1:2" x14ac:dyDescent="0.25">
      <c r="A13655" s="104"/>
      <c r="B13655" s="104"/>
    </row>
    <row r="13656" spans="1:2" x14ac:dyDescent="0.25">
      <c r="A13656" s="104"/>
      <c r="B13656" s="104"/>
    </row>
    <row r="13657" spans="1:2" x14ac:dyDescent="0.25">
      <c r="A13657" s="104"/>
      <c r="B13657" s="104"/>
    </row>
    <row r="13658" spans="1:2" x14ac:dyDescent="0.25">
      <c r="A13658" s="104"/>
      <c r="B13658" s="104"/>
    </row>
    <row r="13659" spans="1:2" x14ac:dyDescent="0.25">
      <c r="A13659" s="104"/>
      <c r="B13659" s="104"/>
    </row>
    <row r="13660" spans="1:2" x14ac:dyDescent="0.25">
      <c r="A13660" s="104"/>
      <c r="B13660" s="104"/>
    </row>
    <row r="13661" spans="1:2" x14ac:dyDescent="0.25">
      <c r="A13661" s="104"/>
      <c r="B13661" s="104"/>
    </row>
    <row r="13662" spans="1:2" x14ac:dyDescent="0.25">
      <c r="A13662" s="104"/>
      <c r="B13662" s="104"/>
    </row>
    <row r="13663" spans="1:2" x14ac:dyDescent="0.25">
      <c r="A13663" s="104"/>
      <c r="B13663" s="104"/>
    </row>
    <row r="13664" spans="1:2" x14ac:dyDescent="0.25">
      <c r="A13664" s="104"/>
      <c r="B13664" s="104"/>
    </row>
    <row r="13665" spans="1:2" x14ac:dyDescent="0.25">
      <c r="A13665" s="104"/>
      <c r="B13665" s="104"/>
    </row>
    <row r="13666" spans="1:2" x14ac:dyDescent="0.25">
      <c r="A13666" s="104"/>
      <c r="B13666" s="104"/>
    </row>
    <row r="13667" spans="1:2" x14ac:dyDescent="0.25">
      <c r="A13667" s="104"/>
      <c r="B13667" s="104"/>
    </row>
    <row r="13668" spans="1:2" x14ac:dyDescent="0.25">
      <c r="A13668" s="104"/>
      <c r="B13668" s="104"/>
    </row>
    <row r="13669" spans="1:2" x14ac:dyDescent="0.25">
      <c r="A13669" s="104"/>
      <c r="B13669" s="104"/>
    </row>
    <row r="13670" spans="1:2" x14ac:dyDescent="0.25">
      <c r="A13670" s="104"/>
      <c r="B13670" s="104"/>
    </row>
    <row r="13671" spans="1:2" x14ac:dyDescent="0.25">
      <c r="A13671" s="104"/>
      <c r="B13671" s="104"/>
    </row>
    <row r="13672" spans="1:2" x14ac:dyDescent="0.25">
      <c r="A13672" s="104"/>
      <c r="B13672" s="104"/>
    </row>
    <row r="13673" spans="1:2" x14ac:dyDescent="0.25">
      <c r="A13673" s="104"/>
      <c r="B13673" s="104"/>
    </row>
    <row r="13674" spans="1:2" x14ac:dyDescent="0.25">
      <c r="A13674" s="104"/>
      <c r="B13674" s="104"/>
    </row>
    <row r="13675" spans="1:2" x14ac:dyDescent="0.25">
      <c r="A13675" s="104"/>
      <c r="B13675" s="104"/>
    </row>
    <row r="13676" spans="1:2" x14ac:dyDescent="0.25">
      <c r="A13676" s="104"/>
      <c r="B13676" s="104"/>
    </row>
    <row r="13677" spans="1:2" x14ac:dyDescent="0.25">
      <c r="A13677" s="104"/>
      <c r="B13677" s="104"/>
    </row>
    <row r="13678" spans="1:2" x14ac:dyDescent="0.25">
      <c r="A13678" s="104"/>
      <c r="B13678" s="104"/>
    </row>
    <row r="13679" spans="1:2" x14ac:dyDescent="0.25">
      <c r="A13679" s="104"/>
      <c r="B13679" s="104"/>
    </row>
    <row r="13680" spans="1:2" x14ac:dyDescent="0.25">
      <c r="A13680" s="104"/>
      <c r="B13680" s="104"/>
    </row>
    <row r="13681" spans="1:2" x14ac:dyDescent="0.25">
      <c r="A13681" s="104"/>
      <c r="B13681" s="104"/>
    </row>
    <row r="13682" spans="1:2" x14ac:dyDescent="0.25">
      <c r="A13682" s="104"/>
      <c r="B13682" s="104"/>
    </row>
    <row r="13683" spans="1:2" x14ac:dyDescent="0.25">
      <c r="A13683" s="104"/>
      <c r="B13683" s="104"/>
    </row>
    <row r="13684" spans="1:2" x14ac:dyDescent="0.25">
      <c r="A13684" s="104"/>
      <c r="B13684" s="104"/>
    </row>
    <row r="13685" spans="1:2" x14ac:dyDescent="0.25">
      <c r="A13685" s="104"/>
      <c r="B13685" s="104"/>
    </row>
    <row r="13686" spans="1:2" x14ac:dyDescent="0.25">
      <c r="A13686" s="104"/>
      <c r="B13686" s="104"/>
    </row>
    <row r="13687" spans="1:2" x14ac:dyDescent="0.25">
      <c r="A13687" s="104"/>
      <c r="B13687" s="104"/>
    </row>
    <row r="13688" spans="1:2" x14ac:dyDescent="0.25">
      <c r="A13688" s="104"/>
      <c r="B13688" s="104"/>
    </row>
    <row r="13689" spans="1:2" x14ac:dyDescent="0.25">
      <c r="A13689" s="104"/>
      <c r="B13689" s="104"/>
    </row>
    <row r="13690" spans="1:2" x14ac:dyDescent="0.25">
      <c r="A13690" s="104"/>
      <c r="B13690" s="104"/>
    </row>
    <row r="13691" spans="1:2" x14ac:dyDescent="0.25">
      <c r="A13691" s="104"/>
      <c r="B13691" s="104"/>
    </row>
    <row r="13692" spans="1:2" x14ac:dyDescent="0.25">
      <c r="A13692" s="104"/>
      <c r="B13692" s="104"/>
    </row>
    <row r="13693" spans="1:2" x14ac:dyDescent="0.25">
      <c r="A13693" s="104"/>
      <c r="B13693" s="104"/>
    </row>
    <row r="13694" spans="1:2" x14ac:dyDescent="0.25">
      <c r="A13694" s="104"/>
      <c r="B13694" s="104"/>
    </row>
    <row r="13695" spans="1:2" x14ac:dyDescent="0.25">
      <c r="A13695" s="104"/>
      <c r="B13695" s="104"/>
    </row>
    <row r="13696" spans="1:2" x14ac:dyDescent="0.25">
      <c r="A13696" s="104"/>
      <c r="B13696" s="104"/>
    </row>
    <row r="13697" spans="1:2" x14ac:dyDescent="0.25">
      <c r="A13697" s="104"/>
      <c r="B13697" s="104"/>
    </row>
    <row r="13698" spans="1:2" x14ac:dyDescent="0.25">
      <c r="A13698" s="104"/>
      <c r="B13698" s="104"/>
    </row>
    <row r="13699" spans="1:2" x14ac:dyDescent="0.25">
      <c r="A13699" s="104"/>
      <c r="B13699" s="104"/>
    </row>
    <row r="13700" spans="1:2" x14ac:dyDescent="0.25">
      <c r="A13700" s="104"/>
      <c r="B13700" s="104"/>
    </row>
    <row r="13701" spans="1:2" x14ac:dyDescent="0.25">
      <c r="A13701" s="104"/>
      <c r="B13701" s="104"/>
    </row>
    <row r="13702" spans="1:2" x14ac:dyDescent="0.25">
      <c r="A13702" s="104"/>
      <c r="B13702" s="104"/>
    </row>
    <row r="13703" spans="1:2" x14ac:dyDescent="0.25">
      <c r="A13703" s="104"/>
      <c r="B13703" s="104"/>
    </row>
    <row r="13704" spans="1:2" x14ac:dyDescent="0.25">
      <c r="A13704" s="104"/>
      <c r="B13704" s="104"/>
    </row>
    <row r="13705" spans="1:2" x14ac:dyDescent="0.25">
      <c r="A13705" s="104"/>
      <c r="B13705" s="104"/>
    </row>
    <row r="13706" spans="1:2" x14ac:dyDescent="0.25">
      <c r="A13706" s="104"/>
      <c r="B13706" s="104"/>
    </row>
    <row r="13707" spans="1:2" x14ac:dyDescent="0.25">
      <c r="A13707" s="104"/>
      <c r="B13707" s="104"/>
    </row>
    <row r="13708" spans="1:2" x14ac:dyDescent="0.25">
      <c r="A13708" s="104"/>
      <c r="B13708" s="104"/>
    </row>
    <row r="13709" spans="1:2" x14ac:dyDescent="0.25">
      <c r="A13709" s="104"/>
      <c r="B13709" s="104"/>
    </row>
    <row r="13710" spans="1:2" x14ac:dyDescent="0.25">
      <c r="A13710" s="104"/>
      <c r="B13710" s="104"/>
    </row>
    <row r="13711" spans="1:2" x14ac:dyDescent="0.25">
      <c r="A13711" s="104"/>
      <c r="B13711" s="104"/>
    </row>
    <row r="13712" spans="1:2" x14ac:dyDescent="0.25">
      <c r="A13712" s="104"/>
      <c r="B13712" s="104"/>
    </row>
    <row r="13713" spans="1:2" x14ac:dyDescent="0.25">
      <c r="A13713" s="104"/>
      <c r="B13713" s="104"/>
    </row>
    <row r="13714" spans="1:2" x14ac:dyDescent="0.25">
      <c r="A13714" s="104"/>
      <c r="B13714" s="104"/>
    </row>
    <row r="13715" spans="1:2" x14ac:dyDescent="0.25">
      <c r="A13715" s="104"/>
      <c r="B13715" s="104"/>
    </row>
    <row r="13716" spans="1:2" x14ac:dyDescent="0.25">
      <c r="A13716" s="104"/>
      <c r="B13716" s="104"/>
    </row>
    <row r="13717" spans="1:2" x14ac:dyDescent="0.25">
      <c r="A13717" s="104"/>
      <c r="B13717" s="104"/>
    </row>
    <row r="13718" spans="1:2" x14ac:dyDescent="0.25">
      <c r="A13718" s="104"/>
      <c r="B13718" s="104"/>
    </row>
    <row r="13719" spans="1:2" x14ac:dyDescent="0.25">
      <c r="A13719" s="104"/>
      <c r="B13719" s="104"/>
    </row>
    <row r="13720" spans="1:2" x14ac:dyDescent="0.25">
      <c r="A13720" s="104"/>
      <c r="B13720" s="104"/>
    </row>
    <row r="13721" spans="1:2" x14ac:dyDescent="0.25">
      <c r="A13721" s="104"/>
      <c r="B13721" s="104"/>
    </row>
    <row r="13722" spans="1:2" x14ac:dyDescent="0.25">
      <c r="A13722" s="104"/>
      <c r="B13722" s="104"/>
    </row>
    <row r="13723" spans="1:2" x14ac:dyDescent="0.25">
      <c r="A13723" s="104"/>
      <c r="B13723" s="104"/>
    </row>
    <row r="13724" spans="1:2" x14ac:dyDescent="0.25">
      <c r="A13724" s="104"/>
      <c r="B13724" s="104"/>
    </row>
    <row r="13725" spans="1:2" x14ac:dyDescent="0.25">
      <c r="A13725" s="104"/>
      <c r="B13725" s="104"/>
    </row>
    <row r="13726" spans="1:2" x14ac:dyDescent="0.25">
      <c r="A13726" s="104"/>
      <c r="B13726" s="104"/>
    </row>
    <row r="13727" spans="1:2" x14ac:dyDescent="0.25">
      <c r="A13727" s="104"/>
      <c r="B13727" s="104"/>
    </row>
    <row r="13728" spans="1:2" x14ac:dyDescent="0.25">
      <c r="A13728" s="104"/>
      <c r="B13728" s="104"/>
    </row>
    <row r="13729" spans="1:2" x14ac:dyDescent="0.25">
      <c r="A13729" s="104"/>
      <c r="B13729" s="104"/>
    </row>
    <row r="13730" spans="1:2" x14ac:dyDescent="0.25">
      <c r="A13730" s="104"/>
      <c r="B13730" s="104"/>
    </row>
    <row r="13731" spans="1:2" x14ac:dyDescent="0.25">
      <c r="A13731" s="104"/>
      <c r="B13731" s="104"/>
    </row>
    <row r="13732" spans="1:2" x14ac:dyDescent="0.25">
      <c r="A13732" s="104"/>
      <c r="B13732" s="104"/>
    </row>
    <row r="13733" spans="1:2" x14ac:dyDescent="0.25">
      <c r="A13733" s="104"/>
      <c r="B13733" s="104"/>
    </row>
    <row r="13734" spans="1:2" x14ac:dyDescent="0.25">
      <c r="A13734" s="104"/>
      <c r="B13734" s="104"/>
    </row>
    <row r="13735" spans="1:2" x14ac:dyDescent="0.25">
      <c r="A13735" s="104"/>
      <c r="B13735" s="104"/>
    </row>
    <row r="13736" spans="1:2" x14ac:dyDescent="0.25">
      <c r="A13736" s="104"/>
      <c r="B13736" s="104"/>
    </row>
    <row r="13737" spans="1:2" x14ac:dyDescent="0.25">
      <c r="A13737" s="104"/>
      <c r="B13737" s="104"/>
    </row>
    <row r="13738" spans="1:2" x14ac:dyDescent="0.25">
      <c r="A13738" s="104"/>
      <c r="B13738" s="104"/>
    </row>
    <row r="13739" spans="1:2" x14ac:dyDescent="0.25">
      <c r="A13739" s="104"/>
      <c r="B13739" s="104"/>
    </row>
    <row r="13740" spans="1:2" x14ac:dyDescent="0.25">
      <c r="A13740" s="104"/>
      <c r="B13740" s="104"/>
    </row>
    <row r="13741" spans="1:2" x14ac:dyDescent="0.25">
      <c r="A13741" s="104"/>
      <c r="B13741" s="104"/>
    </row>
    <row r="13742" spans="1:2" x14ac:dyDescent="0.25">
      <c r="A13742" s="104"/>
      <c r="B13742" s="104"/>
    </row>
    <row r="13743" spans="1:2" x14ac:dyDescent="0.25">
      <c r="A13743" s="104"/>
      <c r="B13743" s="104"/>
    </row>
    <row r="13744" spans="1:2" x14ac:dyDescent="0.25">
      <c r="A13744" s="104"/>
      <c r="B13744" s="104"/>
    </row>
    <row r="13745" spans="1:2" x14ac:dyDescent="0.25">
      <c r="A13745" s="104"/>
      <c r="B13745" s="104"/>
    </row>
    <row r="13746" spans="1:2" x14ac:dyDescent="0.25">
      <c r="A13746" s="104"/>
      <c r="B13746" s="104"/>
    </row>
    <row r="13747" spans="1:2" x14ac:dyDescent="0.25">
      <c r="A13747" s="104"/>
      <c r="B13747" s="104"/>
    </row>
    <row r="13748" spans="1:2" x14ac:dyDescent="0.25">
      <c r="A13748" s="104"/>
      <c r="B13748" s="104"/>
    </row>
    <row r="13749" spans="1:2" x14ac:dyDescent="0.25">
      <c r="A13749" s="104"/>
      <c r="B13749" s="104"/>
    </row>
    <row r="13750" spans="1:2" x14ac:dyDescent="0.25">
      <c r="A13750" s="104"/>
      <c r="B13750" s="104"/>
    </row>
    <row r="13751" spans="1:2" x14ac:dyDescent="0.25">
      <c r="A13751" s="104"/>
      <c r="B13751" s="104"/>
    </row>
    <row r="13752" spans="1:2" x14ac:dyDescent="0.25">
      <c r="A13752" s="104"/>
      <c r="B13752" s="104"/>
    </row>
    <row r="13753" spans="1:2" x14ac:dyDescent="0.25">
      <c r="A13753" s="104"/>
      <c r="B13753" s="104"/>
    </row>
    <row r="13754" spans="1:2" x14ac:dyDescent="0.25">
      <c r="A13754" s="104"/>
      <c r="B13754" s="104"/>
    </row>
    <row r="13755" spans="1:2" x14ac:dyDescent="0.25">
      <c r="A13755" s="104"/>
      <c r="B13755" s="104"/>
    </row>
    <row r="13756" spans="1:2" x14ac:dyDescent="0.25">
      <c r="A13756" s="104"/>
      <c r="B13756" s="104"/>
    </row>
    <row r="13757" spans="1:2" x14ac:dyDescent="0.25">
      <c r="A13757" s="104"/>
      <c r="B13757" s="104"/>
    </row>
    <row r="13758" spans="1:2" x14ac:dyDescent="0.25">
      <c r="A13758" s="104"/>
      <c r="B13758" s="104"/>
    </row>
    <row r="13759" spans="1:2" x14ac:dyDescent="0.25">
      <c r="A13759" s="104"/>
      <c r="B13759" s="104"/>
    </row>
    <row r="13760" spans="1:2" x14ac:dyDescent="0.25">
      <c r="A13760" s="104"/>
      <c r="B13760" s="104"/>
    </row>
    <row r="13761" spans="1:2" x14ac:dyDescent="0.25">
      <c r="A13761" s="104"/>
      <c r="B13761" s="104"/>
    </row>
    <row r="13762" spans="1:2" x14ac:dyDescent="0.25">
      <c r="A13762" s="104"/>
      <c r="B13762" s="104"/>
    </row>
    <row r="13763" spans="1:2" x14ac:dyDescent="0.25">
      <c r="A13763" s="104"/>
      <c r="B13763" s="104"/>
    </row>
    <row r="13764" spans="1:2" x14ac:dyDescent="0.25">
      <c r="A13764" s="104"/>
      <c r="B13764" s="104"/>
    </row>
    <row r="13765" spans="1:2" x14ac:dyDescent="0.25">
      <c r="A13765" s="104"/>
      <c r="B13765" s="104"/>
    </row>
    <row r="13766" spans="1:2" x14ac:dyDescent="0.25">
      <c r="A13766" s="104"/>
      <c r="B13766" s="104"/>
    </row>
    <row r="13767" spans="1:2" x14ac:dyDescent="0.25">
      <c r="A13767" s="104"/>
      <c r="B13767" s="104"/>
    </row>
    <row r="13768" spans="1:2" x14ac:dyDescent="0.25">
      <c r="A13768" s="104"/>
      <c r="B13768" s="104"/>
    </row>
    <row r="13769" spans="1:2" x14ac:dyDescent="0.25">
      <c r="A13769" s="104"/>
      <c r="B13769" s="104"/>
    </row>
    <row r="13770" spans="1:2" x14ac:dyDescent="0.25">
      <c r="A13770" s="104"/>
      <c r="B13770" s="104"/>
    </row>
    <row r="13771" spans="1:2" x14ac:dyDescent="0.25">
      <c r="A13771" s="104"/>
      <c r="B13771" s="104"/>
    </row>
    <row r="13772" spans="1:2" x14ac:dyDescent="0.25">
      <c r="A13772" s="104"/>
      <c r="B13772" s="104"/>
    </row>
    <row r="13773" spans="1:2" x14ac:dyDescent="0.25">
      <c r="A13773" s="104"/>
      <c r="B13773" s="104"/>
    </row>
    <row r="13774" spans="1:2" x14ac:dyDescent="0.25">
      <c r="A13774" s="104"/>
      <c r="B13774" s="104"/>
    </row>
    <row r="13775" spans="1:2" x14ac:dyDescent="0.25">
      <c r="A13775" s="104"/>
      <c r="B13775" s="104"/>
    </row>
    <row r="13776" spans="1:2" x14ac:dyDescent="0.25">
      <c r="A13776" s="104"/>
      <c r="B13776" s="104"/>
    </row>
    <row r="13777" spans="1:2" x14ac:dyDescent="0.25">
      <c r="A13777" s="104"/>
      <c r="B13777" s="104"/>
    </row>
    <row r="13778" spans="1:2" x14ac:dyDescent="0.25">
      <c r="A13778" s="104"/>
      <c r="B13778" s="104"/>
    </row>
    <row r="13779" spans="1:2" x14ac:dyDescent="0.25">
      <c r="A13779" s="104"/>
      <c r="B13779" s="104"/>
    </row>
    <row r="13780" spans="1:2" x14ac:dyDescent="0.25">
      <c r="A13780" s="104"/>
      <c r="B13780" s="104"/>
    </row>
    <row r="13781" spans="1:2" x14ac:dyDescent="0.25">
      <c r="A13781" s="104"/>
      <c r="B13781" s="104"/>
    </row>
    <row r="13782" spans="1:2" x14ac:dyDescent="0.25">
      <c r="A13782" s="104"/>
      <c r="B13782" s="104"/>
    </row>
    <row r="13783" spans="1:2" x14ac:dyDescent="0.25">
      <c r="A13783" s="104"/>
      <c r="B13783" s="104"/>
    </row>
    <row r="13784" spans="1:2" x14ac:dyDescent="0.25">
      <c r="A13784" s="104"/>
      <c r="B13784" s="104"/>
    </row>
    <row r="13785" spans="1:2" x14ac:dyDescent="0.25">
      <c r="A13785" s="104"/>
      <c r="B13785" s="104"/>
    </row>
    <row r="13786" spans="1:2" x14ac:dyDescent="0.25">
      <c r="A13786" s="104"/>
      <c r="B13786" s="104"/>
    </row>
    <row r="13787" spans="1:2" x14ac:dyDescent="0.25">
      <c r="A13787" s="104"/>
      <c r="B13787" s="104"/>
    </row>
    <row r="13788" spans="1:2" x14ac:dyDescent="0.25">
      <c r="A13788" s="104"/>
      <c r="B13788" s="104"/>
    </row>
    <row r="13789" spans="1:2" x14ac:dyDescent="0.25">
      <c r="A13789" s="104"/>
      <c r="B13789" s="104"/>
    </row>
    <row r="13790" spans="1:2" x14ac:dyDescent="0.25">
      <c r="A13790" s="104"/>
      <c r="B13790" s="104"/>
    </row>
    <row r="13791" spans="1:2" x14ac:dyDescent="0.25">
      <c r="A13791" s="104"/>
      <c r="B13791" s="104"/>
    </row>
    <row r="13792" spans="1:2" x14ac:dyDescent="0.25">
      <c r="A13792" s="104"/>
      <c r="B13792" s="104"/>
    </row>
    <row r="13793" spans="1:2" x14ac:dyDescent="0.25">
      <c r="A13793" s="104"/>
      <c r="B13793" s="104"/>
    </row>
    <row r="13794" spans="1:2" x14ac:dyDescent="0.25">
      <c r="A13794" s="104"/>
      <c r="B13794" s="104"/>
    </row>
    <row r="13795" spans="1:2" x14ac:dyDescent="0.25">
      <c r="A13795" s="104"/>
      <c r="B13795" s="104"/>
    </row>
    <row r="13796" spans="1:2" x14ac:dyDescent="0.25">
      <c r="A13796" s="104"/>
      <c r="B13796" s="104"/>
    </row>
    <row r="13797" spans="1:2" x14ac:dyDescent="0.25">
      <c r="A13797" s="104"/>
      <c r="B13797" s="104"/>
    </row>
    <row r="13798" spans="1:2" x14ac:dyDescent="0.25">
      <c r="A13798" s="104"/>
      <c r="B13798" s="104"/>
    </row>
    <row r="13799" spans="1:2" x14ac:dyDescent="0.25">
      <c r="A13799" s="104"/>
      <c r="B13799" s="104"/>
    </row>
    <row r="13800" spans="1:2" x14ac:dyDescent="0.25">
      <c r="A13800" s="104"/>
      <c r="B13800" s="104"/>
    </row>
    <row r="13801" spans="1:2" x14ac:dyDescent="0.25">
      <c r="A13801" s="104"/>
      <c r="B13801" s="104"/>
    </row>
    <row r="13802" spans="1:2" x14ac:dyDescent="0.25">
      <c r="A13802" s="104"/>
      <c r="B13802" s="104"/>
    </row>
    <row r="13803" spans="1:2" x14ac:dyDescent="0.25">
      <c r="A13803" s="104"/>
      <c r="B13803" s="104"/>
    </row>
    <row r="13804" spans="1:2" x14ac:dyDescent="0.25">
      <c r="A13804" s="104"/>
      <c r="B13804" s="104"/>
    </row>
    <row r="13805" spans="1:2" x14ac:dyDescent="0.25">
      <c r="A13805" s="104"/>
      <c r="B13805" s="104"/>
    </row>
    <row r="13806" spans="1:2" x14ac:dyDescent="0.25">
      <c r="A13806" s="104"/>
      <c r="B13806" s="104"/>
    </row>
    <row r="13807" spans="1:2" x14ac:dyDescent="0.25">
      <c r="A13807" s="104"/>
      <c r="B13807" s="104"/>
    </row>
    <row r="13808" spans="1:2" x14ac:dyDescent="0.25">
      <c r="A13808" s="104"/>
      <c r="B13808" s="104"/>
    </row>
    <row r="13809" spans="1:2" x14ac:dyDescent="0.25">
      <c r="A13809" s="104"/>
      <c r="B13809" s="104"/>
    </row>
    <row r="13810" spans="1:2" x14ac:dyDescent="0.25">
      <c r="A13810" s="104"/>
      <c r="B13810" s="104"/>
    </row>
    <row r="13811" spans="1:2" x14ac:dyDescent="0.25">
      <c r="A13811" s="104"/>
      <c r="B13811" s="104"/>
    </row>
    <row r="13812" spans="1:2" x14ac:dyDescent="0.25">
      <c r="A13812" s="104"/>
      <c r="B13812" s="104"/>
    </row>
    <row r="13813" spans="1:2" x14ac:dyDescent="0.25">
      <c r="A13813" s="104"/>
      <c r="B13813" s="104"/>
    </row>
    <row r="13814" spans="1:2" x14ac:dyDescent="0.25">
      <c r="A13814" s="104"/>
      <c r="B13814" s="104"/>
    </row>
    <row r="13815" spans="1:2" x14ac:dyDescent="0.25">
      <c r="A13815" s="104"/>
      <c r="B13815" s="104"/>
    </row>
    <row r="13816" spans="1:2" x14ac:dyDescent="0.25">
      <c r="A13816" s="104"/>
      <c r="B13816" s="104"/>
    </row>
    <row r="13817" spans="1:2" x14ac:dyDescent="0.25">
      <c r="A13817" s="104"/>
      <c r="B13817" s="104"/>
    </row>
    <row r="13818" spans="1:2" x14ac:dyDescent="0.25">
      <c r="A13818" s="104"/>
      <c r="B13818" s="104"/>
    </row>
    <row r="13819" spans="1:2" x14ac:dyDescent="0.25">
      <c r="A13819" s="104"/>
      <c r="B13819" s="104"/>
    </row>
    <row r="13820" spans="1:2" x14ac:dyDescent="0.25">
      <c r="A13820" s="104"/>
      <c r="B13820" s="104"/>
    </row>
    <row r="13821" spans="1:2" x14ac:dyDescent="0.25">
      <c r="A13821" s="104"/>
      <c r="B13821" s="104"/>
    </row>
    <row r="13822" spans="1:2" x14ac:dyDescent="0.25">
      <c r="A13822" s="104"/>
      <c r="B13822" s="104"/>
    </row>
    <row r="13823" spans="1:2" x14ac:dyDescent="0.25">
      <c r="A13823" s="104"/>
      <c r="B13823" s="104"/>
    </row>
    <row r="13824" spans="1:2" x14ac:dyDescent="0.25">
      <c r="A13824" s="104"/>
      <c r="B13824" s="104"/>
    </row>
    <row r="13825" spans="1:2" x14ac:dyDescent="0.25">
      <c r="A13825" s="104"/>
      <c r="B13825" s="104"/>
    </row>
    <row r="13826" spans="1:2" x14ac:dyDescent="0.25">
      <c r="A13826" s="104"/>
      <c r="B13826" s="104"/>
    </row>
    <row r="13827" spans="1:2" x14ac:dyDescent="0.25">
      <c r="A13827" s="104"/>
      <c r="B13827" s="104"/>
    </row>
    <row r="13828" spans="1:2" x14ac:dyDescent="0.25">
      <c r="A13828" s="104"/>
      <c r="B13828" s="104"/>
    </row>
    <row r="13829" spans="1:2" x14ac:dyDescent="0.25">
      <c r="A13829" s="104"/>
      <c r="B13829" s="104"/>
    </row>
    <row r="13830" spans="1:2" x14ac:dyDescent="0.25">
      <c r="A13830" s="104"/>
      <c r="B13830" s="104"/>
    </row>
    <row r="13831" spans="1:2" x14ac:dyDescent="0.25">
      <c r="A13831" s="104"/>
      <c r="B13831" s="104"/>
    </row>
    <row r="13832" spans="1:2" x14ac:dyDescent="0.25">
      <c r="A13832" s="104"/>
      <c r="B13832" s="104"/>
    </row>
    <row r="13833" spans="1:2" x14ac:dyDescent="0.25">
      <c r="A13833" s="104"/>
      <c r="B13833" s="104"/>
    </row>
    <row r="13834" spans="1:2" x14ac:dyDescent="0.25">
      <c r="A13834" s="104"/>
      <c r="B13834" s="104"/>
    </row>
    <row r="13835" spans="1:2" x14ac:dyDescent="0.25">
      <c r="A13835" s="104"/>
      <c r="B13835" s="104"/>
    </row>
    <row r="13836" spans="1:2" x14ac:dyDescent="0.25">
      <c r="A13836" s="104"/>
      <c r="B13836" s="104"/>
    </row>
    <row r="13837" spans="1:2" x14ac:dyDescent="0.25">
      <c r="A13837" s="104"/>
      <c r="B13837" s="104"/>
    </row>
    <row r="13838" spans="1:2" x14ac:dyDescent="0.25">
      <c r="A13838" s="104"/>
      <c r="B13838" s="104"/>
    </row>
    <row r="13839" spans="1:2" x14ac:dyDescent="0.25">
      <c r="A13839" s="104"/>
      <c r="B13839" s="104"/>
    </row>
    <row r="13840" spans="1:2" x14ac:dyDescent="0.25">
      <c r="A13840" s="104"/>
      <c r="B13840" s="104"/>
    </row>
    <row r="13841" spans="1:2" x14ac:dyDescent="0.25">
      <c r="A13841" s="104"/>
      <c r="B13841" s="104"/>
    </row>
    <row r="13842" spans="1:2" x14ac:dyDescent="0.25">
      <c r="A13842" s="104"/>
      <c r="B13842" s="104"/>
    </row>
    <row r="13843" spans="1:2" x14ac:dyDescent="0.25">
      <c r="A13843" s="104"/>
      <c r="B13843" s="104"/>
    </row>
    <row r="13844" spans="1:2" x14ac:dyDescent="0.25">
      <c r="A13844" s="104"/>
      <c r="B13844" s="104"/>
    </row>
    <row r="13845" spans="1:2" x14ac:dyDescent="0.25">
      <c r="A13845" s="104"/>
      <c r="B13845" s="104"/>
    </row>
    <row r="13846" spans="1:2" x14ac:dyDescent="0.25">
      <c r="A13846" s="104"/>
      <c r="B13846" s="104"/>
    </row>
    <row r="13847" spans="1:2" x14ac:dyDescent="0.25">
      <c r="A13847" s="104"/>
      <c r="B13847" s="104"/>
    </row>
    <row r="13848" spans="1:2" x14ac:dyDescent="0.25">
      <c r="A13848" s="104"/>
      <c r="B13848" s="104"/>
    </row>
    <row r="13849" spans="1:2" x14ac:dyDescent="0.25">
      <c r="A13849" s="104"/>
      <c r="B13849" s="104"/>
    </row>
    <row r="13850" spans="1:2" x14ac:dyDescent="0.25">
      <c r="A13850" s="104"/>
      <c r="B13850" s="104"/>
    </row>
    <row r="13851" spans="1:2" x14ac:dyDescent="0.25">
      <c r="A13851" s="104"/>
      <c r="B13851" s="104"/>
    </row>
    <row r="13852" spans="1:2" x14ac:dyDescent="0.25">
      <c r="A13852" s="104"/>
      <c r="B13852" s="104"/>
    </row>
    <row r="13853" spans="1:2" x14ac:dyDescent="0.25">
      <c r="A13853" s="104"/>
      <c r="B13853" s="104"/>
    </row>
    <row r="13854" spans="1:2" x14ac:dyDescent="0.25">
      <c r="A13854" s="104"/>
      <c r="B13854" s="104"/>
    </row>
    <row r="13855" spans="1:2" x14ac:dyDescent="0.25">
      <c r="A13855" s="104"/>
      <c r="B13855" s="104"/>
    </row>
    <row r="13856" spans="1:2" x14ac:dyDescent="0.25">
      <c r="A13856" s="104"/>
      <c r="B13856" s="104"/>
    </row>
    <row r="13857" spans="1:2" x14ac:dyDescent="0.25">
      <c r="A13857" s="104"/>
      <c r="B13857" s="104"/>
    </row>
    <row r="13858" spans="1:2" x14ac:dyDescent="0.25">
      <c r="A13858" s="104"/>
      <c r="B13858" s="104"/>
    </row>
    <row r="13859" spans="1:2" x14ac:dyDescent="0.25">
      <c r="A13859" s="104"/>
      <c r="B13859" s="104"/>
    </row>
    <row r="13860" spans="1:2" x14ac:dyDescent="0.25">
      <c r="A13860" s="104"/>
      <c r="B13860" s="104"/>
    </row>
    <row r="13861" spans="1:2" x14ac:dyDescent="0.25">
      <c r="A13861" s="104"/>
      <c r="B13861" s="104"/>
    </row>
    <row r="13862" spans="1:2" x14ac:dyDescent="0.25">
      <c r="A13862" s="104"/>
      <c r="B13862" s="104"/>
    </row>
    <row r="13863" spans="1:2" x14ac:dyDescent="0.25">
      <c r="A13863" s="104"/>
      <c r="B13863" s="104"/>
    </row>
    <row r="13864" spans="1:2" x14ac:dyDescent="0.25">
      <c r="A13864" s="104"/>
      <c r="B13864" s="104"/>
    </row>
    <row r="13865" spans="1:2" x14ac:dyDescent="0.25">
      <c r="A13865" s="104"/>
      <c r="B13865" s="104"/>
    </row>
    <row r="13866" spans="1:2" x14ac:dyDescent="0.25">
      <c r="A13866" s="104"/>
      <c r="B13866" s="104"/>
    </row>
    <row r="13867" spans="1:2" x14ac:dyDescent="0.25">
      <c r="A13867" s="104"/>
      <c r="B13867" s="104"/>
    </row>
    <row r="13868" spans="1:2" x14ac:dyDescent="0.25">
      <c r="A13868" s="104"/>
      <c r="B13868" s="104"/>
    </row>
    <row r="13869" spans="1:2" x14ac:dyDescent="0.25">
      <c r="A13869" s="104"/>
      <c r="B13869" s="104"/>
    </row>
    <row r="13870" spans="1:2" x14ac:dyDescent="0.25">
      <c r="A13870" s="104"/>
      <c r="B13870" s="104"/>
    </row>
    <row r="13871" spans="1:2" x14ac:dyDescent="0.25">
      <c r="A13871" s="104"/>
      <c r="B13871" s="104"/>
    </row>
    <row r="13872" spans="1:2" x14ac:dyDescent="0.25">
      <c r="A13872" s="104"/>
      <c r="B13872" s="104"/>
    </row>
    <row r="13873" spans="1:2" x14ac:dyDescent="0.25">
      <c r="A13873" s="104"/>
      <c r="B13873" s="104"/>
    </row>
    <row r="13874" spans="1:2" x14ac:dyDescent="0.25">
      <c r="A13874" s="104"/>
      <c r="B13874" s="104"/>
    </row>
    <row r="13875" spans="1:2" x14ac:dyDescent="0.25">
      <c r="A13875" s="104"/>
      <c r="B13875" s="104"/>
    </row>
    <row r="13876" spans="1:2" x14ac:dyDescent="0.25">
      <c r="A13876" s="104"/>
      <c r="B13876" s="104"/>
    </row>
    <row r="13877" spans="1:2" x14ac:dyDescent="0.25">
      <c r="A13877" s="104"/>
      <c r="B13877" s="104"/>
    </row>
    <row r="13878" spans="1:2" x14ac:dyDescent="0.25">
      <c r="A13878" s="104"/>
      <c r="B13878" s="104"/>
    </row>
    <row r="13879" spans="1:2" x14ac:dyDescent="0.25">
      <c r="A13879" s="104"/>
      <c r="B13879" s="104"/>
    </row>
    <row r="13880" spans="1:2" x14ac:dyDescent="0.25">
      <c r="A13880" s="104"/>
      <c r="B13880" s="104"/>
    </row>
    <row r="13881" spans="1:2" x14ac:dyDescent="0.25">
      <c r="A13881" s="104"/>
      <c r="B13881" s="104"/>
    </row>
    <row r="13882" spans="1:2" x14ac:dyDescent="0.25">
      <c r="A13882" s="104"/>
      <c r="B13882" s="104"/>
    </row>
    <row r="13883" spans="1:2" x14ac:dyDescent="0.25">
      <c r="A13883" s="104"/>
      <c r="B13883" s="104"/>
    </row>
    <row r="13884" spans="1:2" x14ac:dyDescent="0.25">
      <c r="A13884" s="104"/>
      <c r="B13884" s="104"/>
    </row>
    <row r="13885" spans="1:2" x14ac:dyDescent="0.25">
      <c r="A13885" s="104"/>
      <c r="B13885" s="104"/>
    </row>
    <row r="13886" spans="1:2" x14ac:dyDescent="0.25">
      <c r="A13886" s="104"/>
      <c r="B13886" s="104"/>
    </row>
    <row r="13887" spans="1:2" x14ac:dyDescent="0.25">
      <c r="A13887" s="104"/>
      <c r="B13887" s="104"/>
    </row>
    <row r="13888" spans="1:2" x14ac:dyDescent="0.25">
      <c r="A13888" s="104"/>
      <c r="B13888" s="104"/>
    </row>
    <row r="13889" spans="1:2" x14ac:dyDescent="0.25">
      <c r="A13889" s="104"/>
      <c r="B13889" s="104"/>
    </row>
    <row r="13890" spans="1:2" x14ac:dyDescent="0.25">
      <c r="A13890" s="104"/>
      <c r="B13890" s="104"/>
    </row>
    <row r="13891" spans="1:2" x14ac:dyDescent="0.25">
      <c r="A13891" s="104"/>
      <c r="B13891" s="104"/>
    </row>
    <row r="13892" spans="1:2" x14ac:dyDescent="0.25">
      <c r="A13892" s="104"/>
      <c r="B13892" s="104"/>
    </row>
    <row r="13893" spans="1:2" x14ac:dyDescent="0.25">
      <c r="A13893" s="104"/>
      <c r="B13893" s="104"/>
    </row>
    <row r="13894" spans="1:2" x14ac:dyDescent="0.25">
      <c r="A13894" s="104"/>
      <c r="B13894" s="104"/>
    </row>
    <row r="13895" spans="1:2" x14ac:dyDescent="0.25">
      <c r="A13895" s="104"/>
      <c r="B13895" s="104"/>
    </row>
    <row r="13896" spans="1:2" x14ac:dyDescent="0.25">
      <c r="A13896" s="104"/>
      <c r="B13896" s="104"/>
    </row>
    <row r="13897" spans="1:2" x14ac:dyDescent="0.25">
      <c r="A13897" s="104"/>
      <c r="B13897" s="104"/>
    </row>
    <row r="13898" spans="1:2" x14ac:dyDescent="0.25">
      <c r="A13898" s="104"/>
      <c r="B13898" s="104"/>
    </row>
    <row r="13899" spans="1:2" x14ac:dyDescent="0.25">
      <c r="A13899" s="104"/>
      <c r="B13899" s="104"/>
    </row>
    <row r="13900" spans="1:2" x14ac:dyDescent="0.25">
      <c r="A13900" s="104"/>
      <c r="B13900" s="104"/>
    </row>
    <row r="13901" spans="1:2" x14ac:dyDescent="0.25">
      <c r="A13901" s="104"/>
      <c r="B13901" s="104"/>
    </row>
    <row r="13902" spans="1:2" x14ac:dyDescent="0.25">
      <c r="A13902" s="104"/>
      <c r="B13902" s="104"/>
    </row>
    <row r="13903" spans="1:2" x14ac:dyDescent="0.25">
      <c r="A13903" s="104"/>
      <c r="B13903" s="104"/>
    </row>
    <row r="13904" spans="1:2" x14ac:dyDescent="0.25">
      <c r="A13904" s="104"/>
      <c r="B13904" s="104"/>
    </row>
    <row r="13905" spans="1:2" x14ac:dyDescent="0.25">
      <c r="A13905" s="104"/>
      <c r="B13905" s="104"/>
    </row>
    <row r="13906" spans="1:2" x14ac:dyDescent="0.25">
      <c r="A13906" s="104"/>
      <c r="B13906" s="104"/>
    </row>
    <row r="13907" spans="1:2" x14ac:dyDescent="0.25">
      <c r="A13907" s="104"/>
      <c r="B13907" s="104"/>
    </row>
    <row r="13908" spans="1:2" x14ac:dyDescent="0.25">
      <c r="A13908" s="104"/>
      <c r="B13908" s="104"/>
    </row>
    <row r="13909" spans="1:2" x14ac:dyDescent="0.25">
      <c r="A13909" s="104"/>
      <c r="B13909" s="104"/>
    </row>
    <row r="13910" spans="1:2" x14ac:dyDescent="0.25">
      <c r="A13910" s="104"/>
      <c r="B13910" s="104"/>
    </row>
    <row r="13911" spans="1:2" x14ac:dyDescent="0.25">
      <c r="A13911" s="104"/>
      <c r="B13911" s="104"/>
    </row>
    <row r="13912" spans="1:2" x14ac:dyDescent="0.25">
      <c r="A13912" s="104"/>
      <c r="B13912" s="104"/>
    </row>
    <row r="13913" spans="1:2" x14ac:dyDescent="0.25">
      <c r="A13913" s="104"/>
      <c r="B13913" s="104"/>
    </row>
    <row r="13914" spans="1:2" x14ac:dyDescent="0.25">
      <c r="A13914" s="104"/>
      <c r="B13914" s="104"/>
    </row>
    <row r="13915" spans="1:2" x14ac:dyDescent="0.25">
      <c r="A13915" s="104"/>
      <c r="B13915" s="104"/>
    </row>
    <row r="13916" spans="1:2" x14ac:dyDescent="0.25">
      <c r="A13916" s="104"/>
      <c r="B13916" s="104"/>
    </row>
    <row r="13917" spans="1:2" x14ac:dyDescent="0.25">
      <c r="A13917" s="104"/>
      <c r="B13917" s="104"/>
    </row>
    <row r="13918" spans="1:2" x14ac:dyDescent="0.25">
      <c r="A13918" s="104"/>
      <c r="B13918" s="104"/>
    </row>
    <row r="13919" spans="1:2" x14ac:dyDescent="0.25">
      <c r="A13919" s="104"/>
      <c r="B13919" s="104"/>
    </row>
    <row r="13920" spans="1:2" x14ac:dyDescent="0.25">
      <c r="A13920" s="104"/>
      <c r="B13920" s="104"/>
    </row>
    <row r="13921" spans="1:2" x14ac:dyDescent="0.25">
      <c r="A13921" s="104"/>
      <c r="B13921" s="104"/>
    </row>
    <row r="13922" spans="1:2" x14ac:dyDescent="0.25">
      <c r="A13922" s="104"/>
      <c r="B13922" s="104"/>
    </row>
    <row r="13923" spans="1:2" x14ac:dyDescent="0.25">
      <c r="A13923" s="104"/>
      <c r="B13923" s="104"/>
    </row>
    <row r="13924" spans="1:2" x14ac:dyDescent="0.25">
      <c r="A13924" s="104"/>
      <c r="B13924" s="104"/>
    </row>
    <row r="13925" spans="1:2" x14ac:dyDescent="0.25">
      <c r="A13925" s="104"/>
      <c r="B13925" s="104"/>
    </row>
    <row r="13926" spans="1:2" x14ac:dyDescent="0.25">
      <c r="A13926" s="104"/>
      <c r="B13926" s="104"/>
    </row>
    <row r="13927" spans="1:2" x14ac:dyDescent="0.25">
      <c r="A13927" s="104"/>
      <c r="B13927" s="104"/>
    </row>
    <row r="13928" spans="1:2" x14ac:dyDescent="0.25">
      <c r="A13928" s="104"/>
      <c r="B13928" s="104"/>
    </row>
    <row r="13929" spans="1:2" x14ac:dyDescent="0.25">
      <c r="A13929" s="104"/>
      <c r="B13929" s="104"/>
    </row>
    <row r="13930" spans="1:2" x14ac:dyDescent="0.25">
      <c r="A13930" s="104"/>
      <c r="B13930" s="104"/>
    </row>
    <row r="13931" spans="1:2" x14ac:dyDescent="0.25">
      <c r="A13931" s="104"/>
      <c r="B13931" s="104"/>
    </row>
    <row r="13932" spans="1:2" x14ac:dyDescent="0.25">
      <c r="A13932" s="104"/>
      <c r="B13932" s="104"/>
    </row>
    <row r="13933" spans="1:2" x14ac:dyDescent="0.25">
      <c r="A13933" s="104"/>
      <c r="B13933" s="104"/>
    </row>
    <row r="13934" spans="1:2" x14ac:dyDescent="0.25">
      <c r="A13934" s="104"/>
      <c r="B13934" s="104"/>
    </row>
    <row r="13935" spans="1:2" x14ac:dyDescent="0.25">
      <c r="A13935" s="104"/>
      <c r="B13935" s="104"/>
    </row>
    <row r="13936" spans="1:2" x14ac:dyDescent="0.25">
      <c r="A13936" s="104"/>
      <c r="B13936" s="104"/>
    </row>
    <row r="13937" spans="1:2" x14ac:dyDescent="0.25">
      <c r="A13937" s="104"/>
      <c r="B13937" s="104"/>
    </row>
    <row r="13938" spans="1:2" x14ac:dyDescent="0.25">
      <c r="A13938" s="104"/>
      <c r="B13938" s="104"/>
    </row>
    <row r="13939" spans="1:2" x14ac:dyDescent="0.25">
      <c r="A13939" s="104"/>
      <c r="B13939" s="104"/>
    </row>
    <row r="13940" spans="1:2" x14ac:dyDescent="0.25">
      <c r="A13940" s="104"/>
      <c r="B13940" s="104"/>
    </row>
    <row r="13941" spans="1:2" x14ac:dyDescent="0.25">
      <c r="A13941" s="104"/>
      <c r="B13941" s="104"/>
    </row>
    <row r="13942" spans="1:2" x14ac:dyDescent="0.25">
      <c r="A13942" s="104"/>
      <c r="B13942" s="104"/>
    </row>
    <row r="13943" spans="1:2" x14ac:dyDescent="0.25">
      <c r="A13943" s="104"/>
      <c r="B13943" s="104"/>
    </row>
    <row r="13944" spans="1:2" x14ac:dyDescent="0.25">
      <c r="A13944" s="104"/>
      <c r="B13944" s="104"/>
    </row>
    <row r="13945" spans="1:2" x14ac:dyDescent="0.25">
      <c r="A13945" s="104"/>
      <c r="B13945" s="104"/>
    </row>
    <row r="13946" spans="1:2" x14ac:dyDescent="0.25">
      <c r="A13946" s="104"/>
      <c r="B13946" s="104"/>
    </row>
    <row r="13947" spans="1:2" x14ac:dyDescent="0.25">
      <c r="A13947" s="104"/>
      <c r="B13947" s="104"/>
    </row>
    <row r="13948" spans="1:2" x14ac:dyDescent="0.25">
      <c r="A13948" s="104"/>
      <c r="B13948" s="104"/>
    </row>
    <row r="13949" spans="1:2" x14ac:dyDescent="0.25">
      <c r="A13949" s="104"/>
      <c r="B13949" s="104"/>
    </row>
    <row r="13950" spans="1:2" x14ac:dyDescent="0.25">
      <c r="A13950" s="104"/>
      <c r="B13950" s="104"/>
    </row>
    <row r="13951" spans="1:2" x14ac:dyDescent="0.25">
      <c r="A13951" s="104"/>
      <c r="B13951" s="104"/>
    </row>
    <row r="13952" spans="1:2" x14ac:dyDescent="0.25">
      <c r="A13952" s="104"/>
      <c r="B13952" s="104"/>
    </row>
    <row r="13953" spans="1:2" x14ac:dyDescent="0.25">
      <c r="A13953" s="104"/>
      <c r="B13953" s="104"/>
    </row>
    <row r="13954" spans="1:2" x14ac:dyDescent="0.25">
      <c r="A13954" s="104"/>
      <c r="B13954" s="104"/>
    </row>
    <row r="13955" spans="1:2" x14ac:dyDescent="0.25">
      <c r="A13955" s="104"/>
      <c r="B13955" s="104"/>
    </row>
    <row r="13956" spans="1:2" x14ac:dyDescent="0.25">
      <c r="A13956" s="104"/>
      <c r="B13956" s="104"/>
    </row>
    <row r="13957" spans="1:2" x14ac:dyDescent="0.25">
      <c r="A13957" s="104"/>
      <c r="B13957" s="104"/>
    </row>
    <row r="13958" spans="1:2" x14ac:dyDescent="0.25">
      <c r="A13958" s="104"/>
      <c r="B13958" s="104"/>
    </row>
    <row r="13959" spans="1:2" x14ac:dyDescent="0.25">
      <c r="A13959" s="104"/>
      <c r="B13959" s="104"/>
    </row>
    <row r="13960" spans="1:2" x14ac:dyDescent="0.25">
      <c r="A13960" s="104"/>
      <c r="B13960" s="104"/>
    </row>
    <row r="13961" spans="1:2" x14ac:dyDescent="0.25">
      <c r="A13961" s="104"/>
      <c r="B13961" s="104"/>
    </row>
    <row r="13962" spans="1:2" x14ac:dyDescent="0.25">
      <c r="A13962" s="104"/>
      <c r="B13962" s="104"/>
    </row>
    <row r="13963" spans="1:2" x14ac:dyDescent="0.25">
      <c r="A13963" s="104"/>
      <c r="B13963" s="104"/>
    </row>
    <row r="13964" spans="1:2" x14ac:dyDescent="0.25">
      <c r="A13964" s="104"/>
      <c r="B13964" s="104"/>
    </row>
    <row r="13965" spans="1:2" x14ac:dyDescent="0.25">
      <c r="A13965" s="104"/>
      <c r="B13965" s="104"/>
    </row>
    <row r="13966" spans="1:2" x14ac:dyDescent="0.25">
      <c r="A13966" s="104"/>
      <c r="B13966" s="104"/>
    </row>
    <row r="13967" spans="1:2" x14ac:dyDescent="0.25">
      <c r="A13967" s="104"/>
      <c r="B13967" s="104"/>
    </row>
    <row r="13968" spans="1:2" x14ac:dyDescent="0.25">
      <c r="A13968" s="104"/>
      <c r="B13968" s="104"/>
    </row>
    <row r="13969" spans="1:2" x14ac:dyDescent="0.25">
      <c r="A13969" s="104"/>
      <c r="B13969" s="104"/>
    </row>
    <row r="13970" spans="1:2" x14ac:dyDescent="0.25">
      <c r="A13970" s="104"/>
      <c r="B13970" s="104"/>
    </row>
    <row r="13971" spans="1:2" x14ac:dyDescent="0.25">
      <c r="A13971" s="104"/>
      <c r="B13971" s="104"/>
    </row>
    <row r="13972" spans="1:2" x14ac:dyDescent="0.25">
      <c r="A13972" s="104"/>
      <c r="B13972" s="104"/>
    </row>
    <row r="13973" spans="1:2" x14ac:dyDescent="0.25">
      <c r="A13973" s="104"/>
      <c r="B13973" s="104"/>
    </row>
    <row r="13974" spans="1:2" x14ac:dyDescent="0.25">
      <c r="A13974" s="104"/>
      <c r="B13974" s="104"/>
    </row>
    <row r="13975" spans="1:2" x14ac:dyDescent="0.25">
      <c r="A13975" s="104"/>
      <c r="B13975" s="104"/>
    </row>
    <row r="13976" spans="1:2" x14ac:dyDescent="0.25">
      <c r="A13976" s="104"/>
      <c r="B13976" s="104"/>
    </row>
    <row r="13977" spans="1:2" x14ac:dyDescent="0.25">
      <c r="A13977" s="104"/>
      <c r="B13977" s="104"/>
    </row>
    <row r="13978" spans="1:2" x14ac:dyDescent="0.25">
      <c r="A13978" s="104"/>
      <c r="B13978" s="104"/>
    </row>
    <row r="13979" spans="1:2" x14ac:dyDescent="0.25">
      <c r="A13979" s="104"/>
      <c r="B13979" s="104"/>
    </row>
    <row r="13980" spans="1:2" x14ac:dyDescent="0.25">
      <c r="A13980" s="104"/>
      <c r="B13980" s="104"/>
    </row>
    <row r="13981" spans="1:2" x14ac:dyDescent="0.25">
      <c r="A13981" s="104"/>
      <c r="B13981" s="104"/>
    </row>
    <row r="13982" spans="1:2" x14ac:dyDescent="0.25">
      <c r="A13982" s="104"/>
      <c r="B13982" s="104"/>
    </row>
    <row r="13983" spans="1:2" x14ac:dyDescent="0.25">
      <c r="A13983" s="104"/>
      <c r="B13983" s="104"/>
    </row>
    <row r="13984" spans="1:2" x14ac:dyDescent="0.25">
      <c r="A13984" s="104"/>
      <c r="B13984" s="104"/>
    </row>
    <row r="13985" spans="1:2" x14ac:dyDescent="0.25">
      <c r="A13985" s="104"/>
      <c r="B13985" s="104"/>
    </row>
    <row r="13986" spans="1:2" x14ac:dyDescent="0.25">
      <c r="A13986" s="104"/>
      <c r="B13986" s="104"/>
    </row>
    <row r="13987" spans="1:2" x14ac:dyDescent="0.25">
      <c r="A13987" s="104"/>
      <c r="B13987" s="104"/>
    </row>
    <row r="13988" spans="1:2" x14ac:dyDescent="0.25">
      <c r="A13988" s="104"/>
      <c r="B13988" s="104"/>
    </row>
    <row r="13989" spans="1:2" x14ac:dyDescent="0.25">
      <c r="A13989" s="104"/>
      <c r="B13989" s="104"/>
    </row>
    <row r="13990" spans="1:2" x14ac:dyDescent="0.25">
      <c r="A13990" s="104"/>
      <c r="B13990" s="104"/>
    </row>
    <row r="13991" spans="1:2" x14ac:dyDescent="0.25">
      <c r="A13991" s="104"/>
      <c r="B13991" s="104"/>
    </row>
    <row r="13992" spans="1:2" x14ac:dyDescent="0.25">
      <c r="A13992" s="104"/>
      <c r="B13992" s="104"/>
    </row>
    <row r="13993" spans="1:2" x14ac:dyDescent="0.25">
      <c r="A13993" s="104"/>
      <c r="B13993" s="104"/>
    </row>
    <row r="13994" spans="1:2" x14ac:dyDescent="0.25">
      <c r="A13994" s="104"/>
      <c r="B13994" s="104"/>
    </row>
    <row r="13995" spans="1:2" x14ac:dyDescent="0.25">
      <c r="A13995" s="104"/>
      <c r="B13995" s="104"/>
    </row>
    <row r="13996" spans="1:2" x14ac:dyDescent="0.25">
      <c r="A13996" s="104"/>
      <c r="B13996" s="104"/>
    </row>
    <row r="13997" spans="1:2" x14ac:dyDescent="0.25">
      <c r="A13997" s="104"/>
      <c r="B13997" s="104"/>
    </row>
    <row r="13998" spans="1:2" x14ac:dyDescent="0.25">
      <c r="A13998" s="104"/>
      <c r="B13998" s="104"/>
    </row>
    <row r="13999" spans="1:2" x14ac:dyDescent="0.25">
      <c r="A13999" s="104"/>
      <c r="B13999" s="104"/>
    </row>
    <row r="14000" spans="1:2" x14ac:dyDescent="0.25">
      <c r="A14000" s="104"/>
      <c r="B14000" s="104"/>
    </row>
    <row r="14001" spans="1:2" x14ac:dyDescent="0.25">
      <c r="A14001" s="104"/>
      <c r="B14001" s="104"/>
    </row>
    <row r="14002" spans="1:2" x14ac:dyDescent="0.25">
      <c r="A14002" s="104"/>
      <c r="B14002" s="104"/>
    </row>
    <row r="14003" spans="1:2" x14ac:dyDescent="0.25">
      <c r="A14003" s="104"/>
      <c r="B14003" s="104"/>
    </row>
    <row r="14004" spans="1:2" x14ac:dyDescent="0.25">
      <c r="A14004" s="104"/>
      <c r="B14004" s="104"/>
    </row>
    <row r="14005" spans="1:2" x14ac:dyDescent="0.25">
      <c r="A14005" s="104"/>
      <c r="B14005" s="104"/>
    </row>
    <row r="14006" spans="1:2" x14ac:dyDescent="0.25">
      <c r="A14006" s="104"/>
      <c r="B14006" s="104"/>
    </row>
    <row r="14007" spans="1:2" x14ac:dyDescent="0.25">
      <c r="A14007" s="104"/>
      <c r="B14007" s="104"/>
    </row>
    <row r="14008" spans="1:2" x14ac:dyDescent="0.25">
      <c r="A14008" s="104"/>
      <c r="B14008" s="104"/>
    </row>
    <row r="14009" spans="1:2" x14ac:dyDescent="0.25">
      <c r="A14009" s="104"/>
      <c r="B14009" s="104"/>
    </row>
    <row r="14010" spans="1:2" x14ac:dyDescent="0.25">
      <c r="A14010" s="104"/>
      <c r="B14010" s="104"/>
    </row>
    <row r="14011" spans="1:2" x14ac:dyDescent="0.25">
      <c r="A14011" s="104"/>
      <c r="B14011" s="104"/>
    </row>
    <row r="14012" spans="1:2" x14ac:dyDescent="0.25">
      <c r="A14012" s="104"/>
      <c r="B14012" s="104"/>
    </row>
    <row r="14013" spans="1:2" x14ac:dyDescent="0.25">
      <c r="A14013" s="104"/>
      <c r="B14013" s="104"/>
    </row>
    <row r="14014" spans="1:2" x14ac:dyDescent="0.25">
      <c r="A14014" s="104"/>
      <c r="B14014" s="104"/>
    </row>
    <row r="14015" spans="1:2" x14ac:dyDescent="0.25">
      <c r="A14015" s="104"/>
      <c r="B14015" s="104"/>
    </row>
    <row r="14016" spans="1:2" x14ac:dyDescent="0.25">
      <c r="A14016" s="104"/>
      <c r="B14016" s="104"/>
    </row>
    <row r="14017" spans="1:2" x14ac:dyDescent="0.25">
      <c r="A14017" s="104"/>
      <c r="B14017" s="104"/>
    </row>
    <row r="14018" spans="1:2" x14ac:dyDescent="0.25">
      <c r="A14018" s="104"/>
      <c r="B14018" s="104"/>
    </row>
    <row r="14019" spans="1:2" x14ac:dyDescent="0.25">
      <c r="A14019" s="104"/>
      <c r="B14019" s="104"/>
    </row>
    <row r="14020" spans="1:2" x14ac:dyDescent="0.25">
      <c r="A14020" s="104"/>
      <c r="B14020" s="104"/>
    </row>
    <row r="14021" spans="1:2" x14ac:dyDescent="0.25">
      <c r="A14021" s="104"/>
      <c r="B14021" s="104"/>
    </row>
    <row r="14022" spans="1:2" x14ac:dyDescent="0.25">
      <c r="A14022" s="104"/>
      <c r="B14022" s="104"/>
    </row>
    <row r="14023" spans="1:2" x14ac:dyDescent="0.25">
      <c r="A14023" s="104"/>
      <c r="B14023" s="104"/>
    </row>
    <row r="14024" spans="1:2" x14ac:dyDescent="0.25">
      <c r="A14024" s="104"/>
      <c r="B14024" s="104"/>
    </row>
    <row r="14025" spans="1:2" x14ac:dyDescent="0.25">
      <c r="A14025" s="104"/>
      <c r="B14025" s="104"/>
    </row>
    <row r="14026" spans="1:2" x14ac:dyDescent="0.25">
      <c r="A14026" s="104"/>
      <c r="B14026" s="104"/>
    </row>
    <row r="14027" spans="1:2" x14ac:dyDescent="0.25">
      <c r="A14027" s="104"/>
      <c r="B14027" s="104"/>
    </row>
    <row r="14028" spans="1:2" x14ac:dyDescent="0.25">
      <c r="A14028" s="104"/>
      <c r="B14028" s="104"/>
    </row>
    <row r="14029" spans="1:2" x14ac:dyDescent="0.25">
      <c r="A14029" s="104"/>
      <c r="B14029" s="104"/>
    </row>
    <row r="14030" spans="1:2" x14ac:dyDescent="0.25">
      <c r="A14030" s="104"/>
      <c r="B14030" s="104"/>
    </row>
    <row r="14031" spans="1:2" x14ac:dyDescent="0.25">
      <c r="A14031" s="104"/>
      <c r="B14031" s="104"/>
    </row>
    <row r="14032" spans="1:2" x14ac:dyDescent="0.25">
      <c r="A14032" s="104"/>
      <c r="B14032" s="104"/>
    </row>
    <row r="14033" spans="1:2" x14ac:dyDescent="0.25">
      <c r="A14033" s="104"/>
      <c r="B14033" s="104"/>
    </row>
    <row r="14034" spans="1:2" x14ac:dyDescent="0.25">
      <c r="A14034" s="104"/>
      <c r="B14034" s="104"/>
    </row>
    <row r="14035" spans="1:2" x14ac:dyDescent="0.25">
      <c r="A14035" s="104"/>
      <c r="B14035" s="104"/>
    </row>
    <row r="14036" spans="1:2" x14ac:dyDescent="0.25">
      <c r="A14036" s="104"/>
      <c r="B14036" s="104"/>
    </row>
    <row r="14037" spans="1:2" x14ac:dyDescent="0.25">
      <c r="A14037" s="104"/>
      <c r="B14037" s="104"/>
    </row>
    <row r="14038" spans="1:2" x14ac:dyDescent="0.25">
      <c r="A14038" s="104"/>
      <c r="B14038" s="104"/>
    </row>
    <row r="14039" spans="1:2" x14ac:dyDescent="0.25">
      <c r="A14039" s="104"/>
      <c r="B14039" s="104"/>
    </row>
    <row r="14040" spans="1:2" x14ac:dyDescent="0.25">
      <c r="A14040" s="104"/>
      <c r="B14040" s="104"/>
    </row>
    <row r="14041" spans="1:2" x14ac:dyDescent="0.25">
      <c r="A14041" s="104"/>
      <c r="B14041" s="104"/>
    </row>
    <row r="14042" spans="1:2" x14ac:dyDescent="0.25">
      <c r="A14042" s="104"/>
      <c r="B14042" s="104"/>
    </row>
    <row r="14043" spans="1:2" x14ac:dyDescent="0.25">
      <c r="A14043" s="104"/>
      <c r="B14043" s="104"/>
    </row>
    <row r="14044" spans="1:2" x14ac:dyDescent="0.25">
      <c r="A14044" s="104"/>
      <c r="B14044" s="104"/>
    </row>
    <row r="14045" spans="1:2" x14ac:dyDescent="0.25">
      <c r="A14045" s="104"/>
      <c r="B14045" s="104"/>
    </row>
    <row r="14046" spans="1:2" x14ac:dyDescent="0.25">
      <c r="A14046" s="104"/>
      <c r="B14046" s="104"/>
    </row>
    <row r="14047" spans="1:2" x14ac:dyDescent="0.25">
      <c r="A14047" s="104"/>
      <c r="B14047" s="104"/>
    </row>
    <row r="14048" spans="1:2" x14ac:dyDescent="0.25">
      <c r="A14048" s="104"/>
      <c r="B14048" s="104"/>
    </row>
    <row r="14049" spans="1:2" x14ac:dyDescent="0.25">
      <c r="A14049" s="104"/>
      <c r="B14049" s="104"/>
    </row>
    <row r="14050" spans="1:2" x14ac:dyDescent="0.25">
      <c r="A14050" s="104"/>
      <c r="B14050" s="104"/>
    </row>
    <row r="14051" spans="1:2" x14ac:dyDescent="0.25">
      <c r="A14051" s="104"/>
      <c r="B14051" s="104"/>
    </row>
    <row r="14052" spans="1:2" x14ac:dyDescent="0.25">
      <c r="A14052" s="104"/>
      <c r="B14052" s="104"/>
    </row>
    <row r="14053" spans="1:2" x14ac:dyDescent="0.25">
      <c r="A14053" s="104"/>
      <c r="B14053" s="104"/>
    </row>
    <row r="14054" spans="1:2" x14ac:dyDescent="0.25">
      <c r="A14054" s="104"/>
      <c r="B14054" s="104"/>
    </row>
    <row r="14055" spans="1:2" x14ac:dyDescent="0.25">
      <c r="A14055" s="104"/>
      <c r="B14055" s="104"/>
    </row>
    <row r="14056" spans="1:2" x14ac:dyDescent="0.25">
      <c r="A14056" s="104"/>
      <c r="B14056" s="104"/>
    </row>
    <row r="14057" spans="1:2" x14ac:dyDescent="0.25">
      <c r="A14057" s="104"/>
      <c r="B14057" s="104"/>
    </row>
    <row r="14058" spans="1:2" x14ac:dyDescent="0.25">
      <c r="A14058" s="104"/>
      <c r="B14058" s="104"/>
    </row>
    <row r="14059" spans="1:2" x14ac:dyDescent="0.25">
      <c r="A14059" s="104"/>
      <c r="B14059" s="104"/>
    </row>
    <row r="14060" spans="1:2" x14ac:dyDescent="0.25">
      <c r="A14060" s="104"/>
      <c r="B14060" s="104"/>
    </row>
    <row r="14061" spans="1:2" x14ac:dyDescent="0.25">
      <c r="A14061" s="104"/>
      <c r="B14061" s="104"/>
    </row>
    <row r="14062" spans="1:2" x14ac:dyDescent="0.25">
      <c r="A14062" s="104"/>
      <c r="B14062" s="104"/>
    </row>
    <row r="14063" spans="1:2" x14ac:dyDescent="0.25">
      <c r="A14063" s="104"/>
      <c r="B14063" s="104"/>
    </row>
    <row r="14064" spans="1:2" x14ac:dyDescent="0.25">
      <c r="A14064" s="104"/>
      <c r="B14064" s="104"/>
    </row>
    <row r="14065" spans="1:2" x14ac:dyDescent="0.25">
      <c r="A14065" s="104"/>
      <c r="B14065" s="104"/>
    </row>
    <row r="14066" spans="1:2" x14ac:dyDescent="0.25">
      <c r="A14066" s="104"/>
      <c r="B14066" s="104"/>
    </row>
    <row r="14067" spans="1:2" x14ac:dyDescent="0.25">
      <c r="A14067" s="104"/>
      <c r="B14067" s="104"/>
    </row>
    <row r="14068" spans="1:2" x14ac:dyDescent="0.25">
      <c r="A14068" s="104"/>
      <c r="B14068" s="104"/>
    </row>
    <row r="14069" spans="1:2" x14ac:dyDescent="0.25">
      <c r="A14069" s="104"/>
      <c r="B14069" s="104"/>
    </row>
    <row r="14070" spans="1:2" x14ac:dyDescent="0.25">
      <c r="A14070" s="104"/>
      <c r="B14070" s="104"/>
    </row>
    <row r="14071" spans="1:2" x14ac:dyDescent="0.25">
      <c r="A14071" s="104"/>
      <c r="B14071" s="104"/>
    </row>
    <row r="14072" spans="1:2" x14ac:dyDescent="0.25">
      <c r="A14072" s="104"/>
      <c r="B14072" s="104"/>
    </row>
    <row r="14073" spans="1:2" x14ac:dyDescent="0.25">
      <c r="A14073" s="104"/>
      <c r="B14073" s="104"/>
    </row>
    <row r="14074" spans="1:2" x14ac:dyDescent="0.25">
      <c r="A14074" s="104"/>
      <c r="B14074" s="104"/>
    </row>
    <row r="14075" spans="1:2" x14ac:dyDescent="0.25">
      <c r="A14075" s="104"/>
      <c r="B14075" s="104"/>
    </row>
    <row r="14076" spans="1:2" x14ac:dyDescent="0.25">
      <c r="A14076" s="104"/>
      <c r="B14076" s="104"/>
    </row>
    <row r="14077" spans="1:2" x14ac:dyDescent="0.25">
      <c r="A14077" s="104"/>
      <c r="B14077" s="104"/>
    </row>
    <row r="14078" spans="1:2" x14ac:dyDescent="0.25">
      <c r="A14078" s="104"/>
      <c r="B14078" s="104"/>
    </row>
    <row r="14079" spans="1:2" x14ac:dyDescent="0.25">
      <c r="A14079" s="104"/>
      <c r="B14079" s="104"/>
    </row>
    <row r="14080" spans="1:2" x14ac:dyDescent="0.25">
      <c r="A14080" s="104"/>
      <c r="B14080" s="104"/>
    </row>
    <row r="14081" spans="1:2" x14ac:dyDescent="0.25">
      <c r="A14081" s="104"/>
      <c r="B14081" s="104"/>
    </row>
    <row r="14082" spans="1:2" x14ac:dyDescent="0.25">
      <c r="A14082" s="104"/>
      <c r="B14082" s="104"/>
    </row>
    <row r="14083" spans="1:2" x14ac:dyDescent="0.25">
      <c r="A14083" s="104"/>
      <c r="B14083" s="104"/>
    </row>
    <row r="14084" spans="1:2" x14ac:dyDescent="0.25">
      <c r="A14084" s="104"/>
      <c r="B14084" s="104"/>
    </row>
    <row r="14085" spans="1:2" x14ac:dyDescent="0.25">
      <c r="A14085" s="104"/>
      <c r="B14085" s="104"/>
    </row>
    <row r="14086" spans="1:2" x14ac:dyDescent="0.25">
      <c r="A14086" s="104"/>
      <c r="B14086" s="104"/>
    </row>
    <row r="14087" spans="1:2" x14ac:dyDescent="0.25">
      <c r="A14087" s="104"/>
      <c r="B14087" s="104"/>
    </row>
    <row r="14088" spans="1:2" x14ac:dyDescent="0.25">
      <c r="A14088" s="104"/>
      <c r="B14088" s="104"/>
    </row>
    <row r="14089" spans="1:2" x14ac:dyDescent="0.25">
      <c r="A14089" s="104"/>
      <c r="B14089" s="104"/>
    </row>
    <row r="14090" spans="1:2" x14ac:dyDescent="0.25">
      <c r="A14090" s="104"/>
      <c r="B14090" s="104"/>
    </row>
    <row r="14091" spans="1:2" x14ac:dyDescent="0.25">
      <c r="A14091" s="104"/>
      <c r="B14091" s="104"/>
    </row>
    <row r="14092" spans="1:2" x14ac:dyDescent="0.25">
      <c r="A14092" s="104"/>
      <c r="B14092" s="104"/>
    </row>
    <row r="14093" spans="1:2" x14ac:dyDescent="0.25">
      <c r="A14093" s="104"/>
      <c r="B14093" s="104"/>
    </row>
    <row r="14094" spans="1:2" x14ac:dyDescent="0.25">
      <c r="A14094" s="104"/>
      <c r="B14094" s="104"/>
    </row>
    <row r="14095" spans="1:2" x14ac:dyDescent="0.25">
      <c r="A14095" s="104"/>
      <c r="B14095" s="104"/>
    </row>
    <row r="14096" spans="1:2" x14ac:dyDescent="0.25">
      <c r="A14096" s="104"/>
      <c r="B14096" s="104"/>
    </row>
    <row r="14097" spans="1:2" x14ac:dyDescent="0.25">
      <c r="A14097" s="104"/>
      <c r="B14097" s="104"/>
    </row>
    <row r="14098" spans="1:2" x14ac:dyDescent="0.25">
      <c r="A14098" s="104"/>
      <c r="B14098" s="104"/>
    </row>
    <row r="14099" spans="1:2" x14ac:dyDescent="0.25">
      <c r="A14099" s="104"/>
      <c r="B14099" s="104"/>
    </row>
    <row r="14100" spans="1:2" x14ac:dyDescent="0.25">
      <c r="A14100" s="104"/>
      <c r="B14100" s="104"/>
    </row>
    <row r="14101" spans="1:2" x14ac:dyDescent="0.25">
      <c r="A14101" s="104"/>
      <c r="B14101" s="104"/>
    </row>
    <row r="14102" spans="1:2" x14ac:dyDescent="0.25">
      <c r="A14102" s="104"/>
      <c r="B14102" s="104"/>
    </row>
    <row r="14103" spans="1:2" x14ac:dyDescent="0.25">
      <c r="A14103" s="104"/>
      <c r="B14103" s="104"/>
    </row>
    <row r="14104" spans="1:2" x14ac:dyDescent="0.25">
      <c r="A14104" s="104"/>
      <c r="B14104" s="104"/>
    </row>
    <row r="14105" spans="1:2" x14ac:dyDescent="0.25">
      <c r="A14105" s="104"/>
      <c r="B14105" s="104"/>
    </row>
    <row r="14106" spans="1:2" x14ac:dyDescent="0.25">
      <c r="A14106" s="104"/>
      <c r="B14106" s="104"/>
    </row>
    <row r="14107" spans="1:2" x14ac:dyDescent="0.25">
      <c r="A14107" s="104"/>
      <c r="B14107" s="104"/>
    </row>
    <row r="14108" spans="1:2" x14ac:dyDescent="0.25">
      <c r="A14108" s="104"/>
      <c r="B14108" s="104"/>
    </row>
    <row r="14109" spans="1:2" x14ac:dyDescent="0.25">
      <c r="A14109" s="104"/>
      <c r="B14109" s="104"/>
    </row>
    <row r="14110" spans="1:2" x14ac:dyDescent="0.25">
      <c r="A14110" s="104"/>
      <c r="B14110" s="104"/>
    </row>
    <row r="14111" spans="1:2" x14ac:dyDescent="0.25">
      <c r="A14111" s="104"/>
      <c r="B14111" s="104"/>
    </row>
    <row r="14112" spans="1:2" x14ac:dyDescent="0.25">
      <c r="A14112" s="104"/>
      <c r="B14112" s="104"/>
    </row>
    <row r="14113" spans="1:2" x14ac:dyDescent="0.25">
      <c r="A14113" s="104"/>
      <c r="B14113" s="104"/>
    </row>
    <row r="14114" spans="1:2" x14ac:dyDescent="0.25">
      <c r="A14114" s="104"/>
      <c r="B14114" s="104"/>
    </row>
    <row r="14115" spans="1:2" x14ac:dyDescent="0.25">
      <c r="A14115" s="104"/>
      <c r="B14115" s="104"/>
    </row>
    <row r="14116" spans="1:2" x14ac:dyDescent="0.25">
      <c r="A14116" s="104"/>
      <c r="B14116" s="104"/>
    </row>
    <row r="14117" spans="1:2" x14ac:dyDescent="0.25">
      <c r="A14117" s="104"/>
      <c r="B14117" s="104"/>
    </row>
    <row r="14118" spans="1:2" x14ac:dyDescent="0.25">
      <c r="A14118" s="104"/>
      <c r="B14118" s="104"/>
    </row>
    <row r="14119" spans="1:2" x14ac:dyDescent="0.25">
      <c r="A14119" s="104"/>
      <c r="B14119" s="104"/>
    </row>
    <row r="14120" spans="1:2" x14ac:dyDescent="0.25">
      <c r="A14120" s="104"/>
      <c r="B14120" s="104"/>
    </row>
    <row r="14121" spans="1:2" x14ac:dyDescent="0.25">
      <c r="A14121" s="104"/>
      <c r="B14121" s="104"/>
    </row>
    <row r="14122" spans="1:2" x14ac:dyDescent="0.25">
      <c r="A14122" s="104"/>
      <c r="B14122" s="104"/>
    </row>
    <row r="14123" spans="1:2" x14ac:dyDescent="0.25">
      <c r="A14123" s="104"/>
      <c r="B14123" s="104"/>
    </row>
    <row r="14124" spans="1:2" x14ac:dyDescent="0.25">
      <c r="A14124" s="104"/>
      <c r="B14124" s="104"/>
    </row>
    <row r="14125" spans="1:2" x14ac:dyDescent="0.25">
      <c r="A14125" s="104"/>
      <c r="B14125" s="104"/>
    </row>
    <row r="14126" spans="1:2" x14ac:dyDescent="0.25">
      <c r="A14126" s="104"/>
      <c r="B14126" s="104"/>
    </row>
    <row r="14127" spans="1:2" x14ac:dyDescent="0.25">
      <c r="A14127" s="104"/>
      <c r="B14127" s="104"/>
    </row>
    <row r="14128" spans="1:2" x14ac:dyDescent="0.25">
      <c r="A14128" s="104"/>
      <c r="B14128" s="104"/>
    </row>
    <row r="14129" spans="1:2" x14ac:dyDescent="0.25">
      <c r="A14129" s="104"/>
      <c r="B14129" s="104"/>
    </row>
    <row r="14130" spans="1:2" x14ac:dyDescent="0.25">
      <c r="A14130" s="104"/>
      <c r="B14130" s="104"/>
    </row>
    <row r="14131" spans="1:2" x14ac:dyDescent="0.25">
      <c r="A14131" s="104"/>
      <c r="B14131" s="104"/>
    </row>
    <row r="14132" spans="1:2" x14ac:dyDescent="0.25">
      <c r="A14132" s="104"/>
      <c r="B14132" s="104"/>
    </row>
    <row r="14133" spans="1:2" x14ac:dyDescent="0.25">
      <c r="A14133" s="104"/>
      <c r="B14133" s="104"/>
    </row>
    <row r="14134" spans="1:2" x14ac:dyDescent="0.25">
      <c r="A14134" s="104"/>
      <c r="B14134" s="104"/>
    </row>
    <row r="14135" spans="1:2" x14ac:dyDescent="0.25">
      <c r="A14135" s="104"/>
      <c r="B14135" s="104"/>
    </row>
    <row r="14136" spans="1:2" x14ac:dyDescent="0.25">
      <c r="A14136" s="104"/>
      <c r="B14136" s="104"/>
    </row>
    <row r="14137" spans="1:2" x14ac:dyDescent="0.25">
      <c r="A14137" s="104"/>
      <c r="B14137" s="104"/>
    </row>
    <row r="14138" spans="1:2" x14ac:dyDescent="0.25">
      <c r="A14138" s="104"/>
      <c r="B14138" s="104"/>
    </row>
    <row r="14139" spans="1:2" x14ac:dyDescent="0.25">
      <c r="A14139" s="104"/>
      <c r="B14139" s="104"/>
    </row>
    <row r="14140" spans="1:2" x14ac:dyDescent="0.25">
      <c r="A14140" s="104"/>
      <c r="B14140" s="104"/>
    </row>
    <row r="14141" spans="1:2" x14ac:dyDescent="0.25">
      <c r="A14141" s="104"/>
      <c r="B14141" s="104"/>
    </row>
    <row r="14142" spans="1:2" x14ac:dyDescent="0.25">
      <c r="A14142" s="104"/>
      <c r="B14142" s="104"/>
    </row>
    <row r="14143" spans="1:2" x14ac:dyDescent="0.25">
      <c r="A14143" s="104"/>
      <c r="B14143" s="104"/>
    </row>
    <row r="14144" spans="1:2" x14ac:dyDescent="0.25">
      <c r="A14144" s="104"/>
      <c r="B14144" s="104"/>
    </row>
    <row r="14145" spans="1:2" x14ac:dyDescent="0.25">
      <c r="A14145" s="104"/>
      <c r="B14145" s="104"/>
    </row>
    <row r="14146" spans="1:2" x14ac:dyDescent="0.25">
      <c r="A14146" s="104"/>
      <c r="B14146" s="104"/>
    </row>
    <row r="14147" spans="1:2" x14ac:dyDescent="0.25">
      <c r="A14147" s="104"/>
      <c r="B14147" s="104"/>
    </row>
    <row r="14148" spans="1:2" x14ac:dyDescent="0.25">
      <c r="A14148" s="104"/>
      <c r="B14148" s="104"/>
    </row>
    <row r="14149" spans="1:2" x14ac:dyDescent="0.25">
      <c r="A14149" s="104"/>
      <c r="B14149" s="104"/>
    </row>
    <row r="14150" spans="1:2" x14ac:dyDescent="0.25">
      <c r="A14150" s="104"/>
      <c r="B14150" s="104"/>
    </row>
    <row r="14151" spans="1:2" x14ac:dyDescent="0.25">
      <c r="A14151" s="104"/>
      <c r="B14151" s="104"/>
    </row>
    <row r="14152" spans="1:2" x14ac:dyDescent="0.25">
      <c r="A14152" s="104"/>
      <c r="B14152" s="104"/>
    </row>
    <row r="14153" spans="1:2" x14ac:dyDescent="0.25">
      <c r="A14153" s="104"/>
      <c r="B14153" s="104"/>
    </row>
    <row r="14154" spans="1:2" x14ac:dyDescent="0.25">
      <c r="A14154" s="104"/>
      <c r="B14154" s="104"/>
    </row>
    <row r="14155" spans="1:2" x14ac:dyDescent="0.25">
      <c r="A14155" s="104"/>
      <c r="B14155" s="104"/>
    </row>
    <row r="14156" spans="1:2" x14ac:dyDescent="0.25">
      <c r="A14156" s="104"/>
      <c r="B14156" s="104"/>
    </row>
    <row r="14157" spans="1:2" x14ac:dyDescent="0.25">
      <c r="A14157" s="104"/>
      <c r="B14157" s="104"/>
    </row>
    <row r="14158" spans="1:2" x14ac:dyDescent="0.25">
      <c r="A14158" s="104"/>
      <c r="B14158" s="104"/>
    </row>
    <row r="14159" spans="1:2" x14ac:dyDescent="0.25">
      <c r="A14159" s="104"/>
      <c r="B14159" s="104"/>
    </row>
    <row r="14160" spans="1:2" x14ac:dyDescent="0.25">
      <c r="A14160" s="104"/>
      <c r="B14160" s="104"/>
    </row>
    <row r="14161" spans="1:2" x14ac:dyDescent="0.25">
      <c r="A14161" s="104"/>
      <c r="B14161" s="104"/>
    </row>
    <row r="14162" spans="1:2" x14ac:dyDescent="0.25">
      <c r="A14162" s="104"/>
      <c r="B14162" s="104"/>
    </row>
    <row r="14163" spans="1:2" x14ac:dyDescent="0.25">
      <c r="A14163" s="104"/>
      <c r="B14163" s="104"/>
    </row>
    <row r="14164" spans="1:2" x14ac:dyDescent="0.25">
      <c r="A14164" s="104"/>
      <c r="B14164" s="104"/>
    </row>
    <row r="14165" spans="1:2" x14ac:dyDescent="0.25">
      <c r="A14165" s="104"/>
      <c r="B14165" s="104"/>
    </row>
    <row r="14166" spans="1:2" x14ac:dyDescent="0.25">
      <c r="A14166" s="104"/>
      <c r="B14166" s="104"/>
    </row>
    <row r="14167" spans="1:2" x14ac:dyDescent="0.25">
      <c r="A14167" s="104"/>
      <c r="B14167" s="104"/>
    </row>
    <row r="14168" spans="1:2" x14ac:dyDescent="0.25">
      <c r="A14168" s="104"/>
      <c r="B14168" s="104"/>
    </row>
    <row r="14169" spans="1:2" x14ac:dyDescent="0.25">
      <c r="A14169" s="104"/>
      <c r="B14169" s="104"/>
    </row>
    <row r="14170" spans="1:2" x14ac:dyDescent="0.25">
      <c r="A14170" s="104"/>
      <c r="B14170" s="104"/>
    </row>
    <row r="14171" spans="1:2" x14ac:dyDescent="0.25">
      <c r="A14171" s="104"/>
      <c r="B14171" s="104"/>
    </row>
    <row r="14172" spans="1:2" x14ac:dyDescent="0.25">
      <c r="A14172" s="104"/>
      <c r="B14172" s="104"/>
    </row>
    <row r="14173" spans="1:2" x14ac:dyDescent="0.25">
      <c r="A14173" s="104"/>
      <c r="B14173" s="104"/>
    </row>
    <row r="14174" spans="1:2" x14ac:dyDescent="0.25">
      <c r="A14174" s="104"/>
      <c r="B14174" s="104"/>
    </row>
    <row r="14175" spans="1:2" x14ac:dyDescent="0.25">
      <c r="A14175" s="104"/>
      <c r="B14175" s="104"/>
    </row>
    <row r="14176" spans="1:2" x14ac:dyDescent="0.25">
      <c r="A14176" s="104"/>
      <c r="B14176" s="104"/>
    </row>
    <row r="14177" spans="1:2" x14ac:dyDescent="0.25">
      <c r="A14177" s="104"/>
      <c r="B14177" s="104"/>
    </row>
    <row r="14178" spans="1:2" x14ac:dyDescent="0.25">
      <c r="A14178" s="104"/>
      <c r="B14178" s="104"/>
    </row>
    <row r="14179" spans="1:2" x14ac:dyDescent="0.25">
      <c r="A14179" s="104"/>
      <c r="B14179" s="104"/>
    </row>
    <row r="14180" spans="1:2" x14ac:dyDescent="0.25">
      <c r="A14180" s="104"/>
      <c r="B14180" s="104"/>
    </row>
    <row r="14181" spans="1:2" x14ac:dyDescent="0.25">
      <c r="A14181" s="104"/>
      <c r="B14181" s="104"/>
    </row>
    <row r="14182" spans="1:2" x14ac:dyDescent="0.25">
      <c r="A14182" s="104"/>
      <c r="B14182" s="104"/>
    </row>
    <row r="14183" spans="1:2" x14ac:dyDescent="0.25">
      <c r="A14183" s="104"/>
      <c r="B14183" s="104"/>
    </row>
    <row r="14184" spans="1:2" x14ac:dyDescent="0.25">
      <c r="A14184" s="104"/>
      <c r="B14184" s="104"/>
    </row>
    <row r="14185" spans="1:2" x14ac:dyDescent="0.25">
      <c r="A14185" s="104"/>
      <c r="B14185" s="104"/>
    </row>
    <row r="14186" spans="1:2" x14ac:dyDescent="0.25">
      <c r="A14186" s="104"/>
      <c r="B14186" s="104"/>
    </row>
    <row r="14187" spans="1:2" x14ac:dyDescent="0.25">
      <c r="A14187" s="104"/>
      <c r="B14187" s="104"/>
    </row>
    <row r="14188" spans="1:2" x14ac:dyDescent="0.25">
      <c r="A14188" s="104"/>
      <c r="B14188" s="104"/>
    </row>
    <row r="14189" spans="1:2" x14ac:dyDescent="0.25">
      <c r="A14189" s="104"/>
      <c r="B14189" s="104"/>
    </row>
    <row r="14190" spans="1:2" x14ac:dyDescent="0.25">
      <c r="A14190" s="104"/>
      <c r="B14190" s="104"/>
    </row>
    <row r="14191" spans="1:2" x14ac:dyDescent="0.25">
      <c r="A14191" s="104"/>
      <c r="B14191" s="104"/>
    </row>
    <row r="14192" spans="1:2" x14ac:dyDescent="0.25">
      <c r="A14192" s="104"/>
      <c r="B14192" s="104"/>
    </row>
    <row r="14193" spans="1:2" x14ac:dyDescent="0.25">
      <c r="A14193" s="104"/>
      <c r="B14193" s="104"/>
    </row>
    <row r="14194" spans="1:2" x14ac:dyDescent="0.25">
      <c r="A14194" s="104"/>
      <c r="B14194" s="104"/>
    </row>
    <row r="14195" spans="1:2" x14ac:dyDescent="0.25">
      <c r="A14195" s="104"/>
      <c r="B14195" s="104"/>
    </row>
    <row r="14196" spans="1:2" x14ac:dyDescent="0.25">
      <c r="A14196" s="104"/>
      <c r="B14196" s="104"/>
    </row>
    <row r="14197" spans="1:2" x14ac:dyDescent="0.25">
      <c r="A14197" s="104"/>
      <c r="B14197" s="104"/>
    </row>
    <row r="14198" spans="1:2" x14ac:dyDescent="0.25">
      <c r="A14198" s="104"/>
      <c r="B14198" s="104"/>
    </row>
    <row r="14199" spans="1:2" x14ac:dyDescent="0.25">
      <c r="A14199" s="104"/>
      <c r="B14199" s="104"/>
    </row>
    <row r="14200" spans="1:2" x14ac:dyDescent="0.25">
      <c r="A14200" s="104"/>
      <c r="B14200" s="104"/>
    </row>
    <row r="14201" spans="1:2" x14ac:dyDescent="0.25">
      <c r="A14201" s="104"/>
      <c r="B14201" s="104"/>
    </row>
    <row r="14202" spans="1:2" x14ac:dyDescent="0.25">
      <c r="A14202" s="104"/>
      <c r="B14202" s="104"/>
    </row>
    <row r="14203" spans="1:2" x14ac:dyDescent="0.25">
      <c r="A14203" s="104"/>
      <c r="B14203" s="104"/>
    </row>
    <row r="14204" spans="1:2" x14ac:dyDescent="0.25">
      <c r="A14204" s="104"/>
      <c r="B14204" s="104"/>
    </row>
    <row r="14205" spans="1:2" x14ac:dyDescent="0.25">
      <c r="A14205" s="104"/>
      <c r="B14205" s="104"/>
    </row>
    <row r="14206" spans="1:2" x14ac:dyDescent="0.25">
      <c r="A14206" s="104"/>
      <c r="B14206" s="104"/>
    </row>
    <row r="14207" spans="1:2" x14ac:dyDescent="0.25">
      <c r="A14207" s="104"/>
      <c r="B14207" s="104"/>
    </row>
    <row r="14208" spans="1:2" x14ac:dyDescent="0.25">
      <c r="A14208" s="104"/>
      <c r="B14208" s="104"/>
    </row>
    <row r="14209" spans="1:2" x14ac:dyDescent="0.25">
      <c r="A14209" s="104"/>
      <c r="B14209" s="104"/>
    </row>
    <row r="14210" spans="1:2" x14ac:dyDescent="0.25">
      <c r="A14210" s="104"/>
      <c r="B14210" s="104"/>
    </row>
    <row r="14211" spans="1:2" x14ac:dyDescent="0.25">
      <c r="A14211" s="104"/>
      <c r="B14211" s="104"/>
    </row>
    <row r="14212" spans="1:2" x14ac:dyDescent="0.25">
      <c r="A14212" s="104"/>
      <c r="B14212" s="104"/>
    </row>
    <row r="14213" spans="1:2" x14ac:dyDescent="0.25">
      <c r="A14213" s="104"/>
      <c r="B14213" s="104"/>
    </row>
    <row r="14214" spans="1:2" x14ac:dyDescent="0.25">
      <c r="A14214" s="104"/>
      <c r="B14214" s="104"/>
    </row>
    <row r="14215" spans="1:2" x14ac:dyDescent="0.25">
      <c r="A14215" s="104"/>
      <c r="B14215" s="104"/>
    </row>
    <row r="14216" spans="1:2" x14ac:dyDescent="0.25">
      <c r="A14216" s="104"/>
      <c r="B14216" s="104"/>
    </row>
    <row r="14217" spans="1:2" x14ac:dyDescent="0.25">
      <c r="A14217" s="104"/>
      <c r="B14217" s="104"/>
    </row>
    <row r="14218" spans="1:2" x14ac:dyDescent="0.25">
      <c r="A14218" s="104"/>
      <c r="B14218" s="104"/>
    </row>
    <row r="14219" spans="1:2" x14ac:dyDescent="0.25">
      <c r="A14219" s="104"/>
      <c r="B14219" s="104"/>
    </row>
    <row r="14220" spans="1:2" x14ac:dyDescent="0.25">
      <c r="A14220" s="104"/>
      <c r="B14220" s="104"/>
    </row>
    <row r="14221" spans="1:2" x14ac:dyDescent="0.25">
      <c r="A14221" s="104"/>
      <c r="B14221" s="104"/>
    </row>
    <row r="14222" spans="1:2" x14ac:dyDescent="0.25">
      <c r="A14222" s="104"/>
      <c r="B14222" s="104"/>
    </row>
    <row r="14223" spans="1:2" x14ac:dyDescent="0.25">
      <c r="A14223" s="104"/>
      <c r="B14223" s="104"/>
    </row>
    <row r="14224" spans="1:2" x14ac:dyDescent="0.25">
      <c r="A14224" s="104"/>
      <c r="B14224" s="104"/>
    </row>
    <row r="14225" spans="1:2" x14ac:dyDescent="0.25">
      <c r="A14225" s="104"/>
      <c r="B14225" s="104"/>
    </row>
    <row r="14226" spans="1:2" x14ac:dyDescent="0.25">
      <c r="A14226" s="104"/>
      <c r="B14226" s="104"/>
    </row>
    <row r="14227" spans="1:2" x14ac:dyDescent="0.25">
      <c r="A14227" s="104"/>
      <c r="B14227" s="104"/>
    </row>
    <row r="14228" spans="1:2" x14ac:dyDescent="0.25">
      <c r="A14228" s="104"/>
      <c r="B14228" s="104"/>
    </row>
    <row r="14229" spans="1:2" x14ac:dyDescent="0.25">
      <c r="A14229" s="104"/>
      <c r="B14229" s="104"/>
    </row>
    <row r="14230" spans="1:2" x14ac:dyDescent="0.25">
      <c r="A14230" s="104"/>
      <c r="B14230" s="104"/>
    </row>
    <row r="14231" spans="1:2" x14ac:dyDescent="0.25">
      <c r="A14231" s="104"/>
      <c r="B14231" s="104"/>
    </row>
    <row r="14232" spans="1:2" x14ac:dyDescent="0.25">
      <c r="A14232" s="104"/>
      <c r="B14232" s="104"/>
    </row>
    <row r="14233" spans="1:2" x14ac:dyDescent="0.25">
      <c r="A14233" s="104"/>
      <c r="B14233" s="104"/>
    </row>
    <row r="14234" spans="1:2" x14ac:dyDescent="0.25">
      <c r="A14234" s="104"/>
      <c r="B14234" s="104"/>
    </row>
    <row r="14235" spans="1:2" x14ac:dyDescent="0.25">
      <c r="A14235" s="104"/>
      <c r="B14235" s="104"/>
    </row>
    <row r="14236" spans="1:2" x14ac:dyDescent="0.25">
      <c r="A14236" s="104"/>
      <c r="B14236" s="104"/>
    </row>
    <row r="14237" spans="1:2" x14ac:dyDescent="0.25">
      <c r="A14237" s="104"/>
      <c r="B14237" s="104"/>
    </row>
    <row r="14238" spans="1:2" x14ac:dyDescent="0.25">
      <c r="A14238" s="104"/>
      <c r="B14238" s="104"/>
    </row>
    <row r="14239" spans="1:2" x14ac:dyDescent="0.25">
      <c r="A14239" s="104"/>
      <c r="B14239" s="104"/>
    </row>
    <row r="14240" spans="1:2" x14ac:dyDescent="0.25">
      <c r="A14240" s="104"/>
      <c r="B14240" s="104"/>
    </row>
    <row r="14241" spans="1:2" x14ac:dyDescent="0.25">
      <c r="A14241" s="104"/>
      <c r="B14241" s="104"/>
    </row>
    <row r="14242" spans="1:2" x14ac:dyDescent="0.25">
      <c r="A14242" s="104"/>
      <c r="B14242" s="104"/>
    </row>
    <row r="14243" spans="1:2" x14ac:dyDescent="0.25">
      <c r="A14243" s="104"/>
      <c r="B14243" s="104"/>
    </row>
    <row r="14244" spans="1:2" x14ac:dyDescent="0.25">
      <c r="A14244" s="104"/>
      <c r="B14244" s="104"/>
    </row>
    <row r="14245" spans="1:2" x14ac:dyDescent="0.25">
      <c r="A14245" s="104"/>
      <c r="B14245" s="104"/>
    </row>
    <row r="14246" spans="1:2" x14ac:dyDescent="0.25">
      <c r="A14246" s="104"/>
      <c r="B14246" s="104"/>
    </row>
    <row r="14247" spans="1:2" x14ac:dyDescent="0.25">
      <c r="A14247" s="104"/>
      <c r="B14247" s="104"/>
    </row>
    <row r="14248" spans="1:2" x14ac:dyDescent="0.25">
      <c r="A14248" s="104"/>
      <c r="B14248" s="104"/>
    </row>
    <row r="14249" spans="1:2" x14ac:dyDescent="0.25">
      <c r="A14249" s="104"/>
      <c r="B14249" s="104"/>
    </row>
    <row r="14250" spans="1:2" x14ac:dyDescent="0.25">
      <c r="A14250" s="104"/>
      <c r="B14250" s="104"/>
    </row>
    <row r="14251" spans="1:2" x14ac:dyDescent="0.25">
      <c r="A14251" s="104"/>
      <c r="B14251" s="104"/>
    </row>
    <row r="14252" spans="1:2" x14ac:dyDescent="0.25">
      <c r="A14252" s="104"/>
      <c r="B14252" s="104"/>
    </row>
    <row r="14253" spans="1:2" x14ac:dyDescent="0.25">
      <c r="A14253" s="104"/>
      <c r="B14253" s="104"/>
    </row>
    <row r="14254" spans="1:2" x14ac:dyDescent="0.25">
      <c r="A14254" s="104"/>
      <c r="B14254" s="104"/>
    </row>
    <row r="14255" spans="1:2" x14ac:dyDescent="0.25">
      <c r="A14255" s="104"/>
      <c r="B14255" s="104"/>
    </row>
    <row r="14256" spans="1:2" x14ac:dyDescent="0.25">
      <c r="A14256" s="104"/>
      <c r="B14256" s="104"/>
    </row>
    <row r="14257" spans="1:2" x14ac:dyDescent="0.25">
      <c r="A14257" s="104"/>
      <c r="B14257" s="104"/>
    </row>
    <row r="14258" spans="1:2" x14ac:dyDescent="0.25">
      <c r="A14258" s="104"/>
      <c r="B14258" s="104"/>
    </row>
    <row r="14259" spans="1:2" x14ac:dyDescent="0.25">
      <c r="A14259" s="104"/>
      <c r="B14259" s="104"/>
    </row>
    <row r="14260" spans="1:2" x14ac:dyDescent="0.25">
      <c r="A14260" s="104"/>
      <c r="B14260" s="104"/>
    </row>
    <row r="14261" spans="1:2" x14ac:dyDescent="0.25">
      <c r="A14261" s="104"/>
      <c r="B14261" s="104"/>
    </row>
    <row r="14262" spans="1:2" x14ac:dyDescent="0.25">
      <c r="A14262" s="104"/>
      <c r="B14262" s="104"/>
    </row>
    <row r="14263" spans="1:2" x14ac:dyDescent="0.25">
      <c r="A14263" s="104"/>
      <c r="B14263" s="104"/>
    </row>
    <row r="14264" spans="1:2" x14ac:dyDescent="0.25">
      <c r="A14264" s="104"/>
      <c r="B14264" s="104"/>
    </row>
    <row r="14265" spans="1:2" x14ac:dyDescent="0.25">
      <c r="A14265" s="104"/>
      <c r="B14265" s="104"/>
    </row>
    <row r="14266" spans="1:2" x14ac:dyDescent="0.25">
      <c r="A14266" s="104"/>
      <c r="B14266" s="104"/>
    </row>
    <row r="14267" spans="1:2" x14ac:dyDescent="0.25">
      <c r="A14267" s="104"/>
      <c r="B14267" s="104"/>
    </row>
    <row r="14268" spans="1:2" x14ac:dyDescent="0.25">
      <c r="A14268" s="104"/>
      <c r="B14268" s="104"/>
    </row>
    <row r="14269" spans="1:2" x14ac:dyDescent="0.25">
      <c r="A14269" s="104"/>
      <c r="B14269" s="104"/>
    </row>
    <row r="14270" spans="1:2" x14ac:dyDescent="0.25">
      <c r="A14270" s="104"/>
      <c r="B14270" s="104"/>
    </row>
    <row r="14271" spans="1:2" x14ac:dyDescent="0.25">
      <c r="A14271" s="104"/>
      <c r="B14271" s="104"/>
    </row>
    <row r="14272" spans="1:2" x14ac:dyDescent="0.25">
      <c r="A14272" s="104"/>
      <c r="B14272" s="104"/>
    </row>
    <row r="14273" spans="1:2" x14ac:dyDescent="0.25">
      <c r="A14273" s="104"/>
      <c r="B14273" s="104"/>
    </row>
    <row r="14274" spans="1:2" x14ac:dyDescent="0.25">
      <c r="A14274" s="104"/>
      <c r="B14274" s="104"/>
    </row>
    <row r="14275" spans="1:2" x14ac:dyDescent="0.25">
      <c r="A14275" s="104"/>
      <c r="B14275" s="104"/>
    </row>
    <row r="14276" spans="1:2" x14ac:dyDescent="0.25">
      <c r="A14276" s="104"/>
      <c r="B14276" s="104"/>
    </row>
    <row r="14277" spans="1:2" x14ac:dyDescent="0.25">
      <c r="A14277" s="104"/>
      <c r="B14277" s="104"/>
    </row>
    <row r="14278" spans="1:2" x14ac:dyDescent="0.25">
      <c r="A14278" s="104"/>
      <c r="B14278" s="104"/>
    </row>
    <row r="14279" spans="1:2" x14ac:dyDescent="0.25">
      <c r="A14279" s="104"/>
      <c r="B14279" s="104"/>
    </row>
    <row r="14280" spans="1:2" x14ac:dyDescent="0.25">
      <c r="A14280" s="104"/>
      <c r="B14280" s="104"/>
    </row>
    <row r="14281" spans="1:2" x14ac:dyDescent="0.25">
      <c r="A14281" s="104"/>
      <c r="B14281" s="104"/>
    </row>
    <row r="14282" spans="1:2" x14ac:dyDescent="0.25">
      <c r="A14282" s="104"/>
      <c r="B14282" s="104"/>
    </row>
    <row r="14283" spans="1:2" x14ac:dyDescent="0.25">
      <c r="A14283" s="104"/>
      <c r="B14283" s="104"/>
    </row>
    <row r="14284" spans="1:2" x14ac:dyDescent="0.25">
      <c r="A14284" s="104"/>
      <c r="B14284" s="104"/>
    </row>
    <row r="14285" spans="1:2" x14ac:dyDescent="0.25">
      <c r="A14285" s="104"/>
      <c r="B14285" s="104"/>
    </row>
    <row r="14286" spans="1:2" x14ac:dyDescent="0.25">
      <c r="A14286" s="104"/>
      <c r="B14286" s="104"/>
    </row>
    <row r="14287" spans="1:2" x14ac:dyDescent="0.25">
      <c r="A14287" s="104"/>
      <c r="B14287" s="104"/>
    </row>
    <row r="14288" spans="1:2" x14ac:dyDescent="0.25">
      <c r="A14288" s="104"/>
      <c r="B14288" s="104"/>
    </row>
    <row r="14289" spans="1:2" x14ac:dyDescent="0.25">
      <c r="A14289" s="104"/>
      <c r="B14289" s="104"/>
    </row>
    <row r="14290" spans="1:2" x14ac:dyDescent="0.25">
      <c r="A14290" s="104"/>
      <c r="B14290" s="104"/>
    </row>
    <row r="14291" spans="1:2" x14ac:dyDescent="0.25">
      <c r="A14291" s="104"/>
      <c r="B14291" s="104"/>
    </row>
    <row r="14292" spans="1:2" x14ac:dyDescent="0.25">
      <c r="A14292" s="104"/>
      <c r="B14292" s="104"/>
    </row>
    <row r="14293" spans="1:2" x14ac:dyDescent="0.25">
      <c r="A14293" s="104"/>
      <c r="B14293" s="104"/>
    </row>
    <row r="14294" spans="1:2" x14ac:dyDescent="0.25">
      <c r="A14294" s="104"/>
      <c r="B14294" s="104"/>
    </row>
    <row r="14295" spans="1:2" x14ac:dyDescent="0.25">
      <c r="A14295" s="104"/>
      <c r="B14295" s="104"/>
    </row>
    <row r="14296" spans="1:2" x14ac:dyDescent="0.25">
      <c r="A14296" s="104"/>
      <c r="B14296" s="104"/>
    </row>
    <row r="14297" spans="1:2" x14ac:dyDescent="0.25">
      <c r="A14297" s="104"/>
      <c r="B14297" s="104"/>
    </row>
    <row r="14298" spans="1:2" x14ac:dyDescent="0.25">
      <c r="A14298" s="104"/>
      <c r="B14298" s="104"/>
    </row>
    <row r="14299" spans="1:2" x14ac:dyDescent="0.25">
      <c r="A14299" s="104"/>
      <c r="B14299" s="104"/>
    </row>
    <row r="14300" spans="1:2" x14ac:dyDescent="0.25">
      <c r="A14300" s="104"/>
      <c r="B14300" s="104"/>
    </row>
    <row r="14301" spans="1:2" x14ac:dyDescent="0.25">
      <c r="A14301" s="104"/>
      <c r="B14301" s="104"/>
    </row>
    <row r="14302" spans="1:2" x14ac:dyDescent="0.25">
      <c r="A14302" s="104"/>
      <c r="B14302" s="104"/>
    </row>
    <row r="14303" spans="1:2" x14ac:dyDescent="0.25">
      <c r="A14303" s="104"/>
      <c r="B14303" s="104"/>
    </row>
    <row r="14304" spans="1:2" x14ac:dyDescent="0.25">
      <c r="A14304" s="104"/>
      <c r="B14304" s="104"/>
    </row>
    <row r="14305" spans="1:2" x14ac:dyDescent="0.25">
      <c r="A14305" s="104"/>
      <c r="B14305" s="104"/>
    </row>
    <row r="14306" spans="1:2" x14ac:dyDescent="0.25">
      <c r="A14306" s="104"/>
      <c r="B14306" s="104"/>
    </row>
    <row r="14307" spans="1:2" x14ac:dyDescent="0.25">
      <c r="A14307" s="104"/>
      <c r="B14307" s="104"/>
    </row>
    <row r="14308" spans="1:2" x14ac:dyDescent="0.25">
      <c r="A14308" s="104"/>
      <c r="B14308" s="104"/>
    </row>
    <row r="14309" spans="1:2" x14ac:dyDescent="0.25">
      <c r="A14309" s="104"/>
      <c r="B14309" s="104"/>
    </row>
    <row r="14310" spans="1:2" x14ac:dyDescent="0.25">
      <c r="A14310" s="104"/>
      <c r="B14310" s="104"/>
    </row>
    <row r="14311" spans="1:2" x14ac:dyDescent="0.25">
      <c r="A14311" s="104"/>
      <c r="B14311" s="104"/>
    </row>
    <row r="14312" spans="1:2" x14ac:dyDescent="0.25">
      <c r="A14312" s="104"/>
      <c r="B14312" s="104"/>
    </row>
    <row r="14313" spans="1:2" x14ac:dyDescent="0.25">
      <c r="A14313" s="104"/>
      <c r="B14313" s="104"/>
    </row>
    <row r="14314" spans="1:2" x14ac:dyDescent="0.25">
      <c r="A14314" s="104"/>
      <c r="B14314" s="104"/>
    </row>
    <row r="14315" spans="1:2" x14ac:dyDescent="0.25">
      <c r="A14315" s="104"/>
      <c r="B14315" s="104"/>
    </row>
    <row r="14316" spans="1:2" x14ac:dyDescent="0.25">
      <c r="A14316" s="104"/>
      <c r="B14316" s="104"/>
    </row>
    <row r="14317" spans="1:2" x14ac:dyDescent="0.25">
      <c r="A14317" s="104"/>
      <c r="B14317" s="104"/>
    </row>
    <row r="14318" spans="1:2" x14ac:dyDescent="0.25">
      <c r="A14318" s="104"/>
      <c r="B14318" s="104"/>
    </row>
    <row r="14319" spans="1:2" x14ac:dyDescent="0.25">
      <c r="A14319" s="104"/>
      <c r="B14319" s="104"/>
    </row>
    <row r="14320" spans="1:2" x14ac:dyDescent="0.25">
      <c r="A14320" s="104"/>
      <c r="B14320" s="104"/>
    </row>
    <row r="14321" spans="1:2" x14ac:dyDescent="0.25">
      <c r="A14321" s="104"/>
      <c r="B14321" s="104"/>
    </row>
    <row r="14322" spans="1:2" x14ac:dyDescent="0.25">
      <c r="A14322" s="104"/>
      <c r="B14322" s="104"/>
    </row>
    <row r="14323" spans="1:2" x14ac:dyDescent="0.25">
      <c r="A14323" s="104"/>
      <c r="B14323" s="104"/>
    </row>
    <row r="14324" spans="1:2" x14ac:dyDescent="0.25">
      <c r="A14324" s="104"/>
      <c r="B14324" s="104"/>
    </row>
    <row r="14325" spans="1:2" x14ac:dyDescent="0.25">
      <c r="A14325" s="104"/>
      <c r="B14325" s="104"/>
    </row>
    <row r="14326" spans="1:2" x14ac:dyDescent="0.25">
      <c r="A14326" s="104"/>
      <c r="B14326" s="104"/>
    </row>
    <row r="14327" spans="1:2" x14ac:dyDescent="0.25">
      <c r="A14327" s="104"/>
      <c r="B14327" s="104"/>
    </row>
    <row r="14328" spans="1:2" x14ac:dyDescent="0.25">
      <c r="A14328" s="104"/>
      <c r="B14328" s="104"/>
    </row>
    <row r="14329" spans="1:2" x14ac:dyDescent="0.25">
      <c r="A14329" s="104"/>
      <c r="B14329" s="104"/>
    </row>
    <row r="14330" spans="1:2" x14ac:dyDescent="0.25">
      <c r="A14330" s="104"/>
      <c r="B14330" s="104"/>
    </row>
    <row r="14331" spans="1:2" x14ac:dyDescent="0.25">
      <c r="A14331" s="104"/>
      <c r="B14331" s="104"/>
    </row>
    <row r="14332" spans="1:2" x14ac:dyDescent="0.25">
      <c r="A14332" s="104"/>
      <c r="B14332" s="104"/>
    </row>
    <row r="14333" spans="1:2" x14ac:dyDescent="0.25">
      <c r="A14333" s="104"/>
      <c r="B14333" s="104"/>
    </row>
    <row r="14334" spans="1:2" x14ac:dyDescent="0.25">
      <c r="A14334" s="104"/>
      <c r="B14334" s="104"/>
    </row>
    <row r="14335" spans="1:2" x14ac:dyDescent="0.25">
      <c r="A14335" s="104"/>
      <c r="B14335" s="104"/>
    </row>
    <row r="14336" spans="1:2" x14ac:dyDescent="0.25">
      <c r="A14336" s="104"/>
      <c r="B14336" s="104"/>
    </row>
    <row r="14337" spans="1:2" x14ac:dyDescent="0.25">
      <c r="A14337" s="104"/>
      <c r="B14337" s="104"/>
    </row>
    <row r="14338" spans="1:2" x14ac:dyDescent="0.25">
      <c r="A14338" s="104"/>
      <c r="B14338" s="104"/>
    </row>
    <row r="14339" spans="1:2" x14ac:dyDescent="0.25">
      <c r="A14339" s="104"/>
      <c r="B14339" s="104"/>
    </row>
    <row r="14340" spans="1:2" x14ac:dyDescent="0.25">
      <c r="A14340" s="104"/>
      <c r="B14340" s="104"/>
    </row>
    <row r="14341" spans="1:2" x14ac:dyDescent="0.25">
      <c r="A14341" s="104"/>
      <c r="B14341" s="104"/>
    </row>
    <row r="14342" spans="1:2" x14ac:dyDescent="0.25">
      <c r="A14342" s="104"/>
      <c r="B14342" s="104"/>
    </row>
    <row r="14343" spans="1:2" x14ac:dyDescent="0.25">
      <c r="A14343" s="104"/>
      <c r="B14343" s="104"/>
    </row>
    <row r="14344" spans="1:2" x14ac:dyDescent="0.25">
      <c r="A14344" s="104"/>
      <c r="B14344" s="104"/>
    </row>
    <row r="14345" spans="1:2" x14ac:dyDescent="0.25">
      <c r="A14345" s="104"/>
      <c r="B14345" s="104"/>
    </row>
    <row r="14346" spans="1:2" x14ac:dyDescent="0.25">
      <c r="A14346" s="104"/>
      <c r="B14346" s="104"/>
    </row>
    <row r="14347" spans="1:2" x14ac:dyDescent="0.25">
      <c r="A14347" s="104"/>
      <c r="B14347" s="104"/>
    </row>
    <row r="14348" spans="1:2" x14ac:dyDescent="0.25">
      <c r="A14348" s="104"/>
      <c r="B14348" s="104"/>
    </row>
    <row r="14349" spans="1:2" x14ac:dyDescent="0.25">
      <c r="A14349" s="104"/>
      <c r="B14349" s="104"/>
    </row>
    <row r="14350" spans="1:2" x14ac:dyDescent="0.25">
      <c r="A14350" s="104"/>
      <c r="B14350" s="104"/>
    </row>
    <row r="14351" spans="1:2" x14ac:dyDescent="0.25">
      <c r="A14351" s="104"/>
      <c r="B14351" s="104"/>
    </row>
    <row r="14352" spans="1:2" x14ac:dyDescent="0.25">
      <c r="A14352" s="104"/>
      <c r="B14352" s="104"/>
    </row>
    <row r="14353" spans="1:2" x14ac:dyDescent="0.25">
      <c r="A14353" s="104"/>
      <c r="B14353" s="104"/>
    </row>
    <row r="14354" spans="1:2" x14ac:dyDescent="0.25">
      <c r="A14354" s="104"/>
      <c r="B14354" s="104"/>
    </row>
    <row r="14355" spans="1:2" x14ac:dyDescent="0.25">
      <c r="A14355" s="104"/>
      <c r="B14355" s="104"/>
    </row>
    <row r="14356" spans="1:2" x14ac:dyDescent="0.25">
      <c r="A14356" s="104"/>
      <c r="B14356" s="104"/>
    </row>
    <row r="14357" spans="1:2" x14ac:dyDescent="0.25">
      <c r="A14357" s="104"/>
      <c r="B14357" s="104"/>
    </row>
    <row r="14358" spans="1:2" x14ac:dyDescent="0.25">
      <c r="A14358" s="104"/>
      <c r="B14358" s="104"/>
    </row>
    <row r="14359" spans="1:2" x14ac:dyDescent="0.25">
      <c r="A14359" s="104"/>
      <c r="B14359" s="104"/>
    </row>
    <row r="14360" spans="1:2" x14ac:dyDescent="0.25">
      <c r="A14360" s="104"/>
      <c r="B14360" s="104"/>
    </row>
    <row r="14361" spans="1:2" x14ac:dyDescent="0.25">
      <c r="A14361" s="104"/>
      <c r="B14361" s="104"/>
    </row>
    <row r="14362" spans="1:2" x14ac:dyDescent="0.25">
      <c r="A14362" s="104"/>
      <c r="B14362" s="104"/>
    </row>
    <row r="14363" spans="1:2" x14ac:dyDescent="0.25">
      <c r="A14363" s="104"/>
      <c r="B14363" s="104"/>
    </row>
    <row r="14364" spans="1:2" x14ac:dyDescent="0.25">
      <c r="A14364" s="104"/>
      <c r="B14364" s="104"/>
    </row>
    <row r="14365" spans="1:2" x14ac:dyDescent="0.25">
      <c r="A14365" s="104"/>
      <c r="B14365" s="104"/>
    </row>
    <row r="14366" spans="1:2" x14ac:dyDescent="0.25">
      <c r="A14366" s="104"/>
      <c r="B14366" s="104"/>
    </row>
    <row r="14367" spans="1:2" x14ac:dyDescent="0.25">
      <c r="A14367" s="104"/>
      <c r="B14367" s="104"/>
    </row>
    <row r="14368" spans="1:2" x14ac:dyDescent="0.25">
      <c r="A14368" s="104"/>
      <c r="B14368" s="104"/>
    </row>
    <row r="14369" spans="1:2" x14ac:dyDescent="0.25">
      <c r="A14369" s="104"/>
      <c r="B14369" s="104"/>
    </row>
    <row r="14370" spans="1:2" x14ac:dyDescent="0.25">
      <c r="A14370" s="104"/>
      <c r="B14370" s="104"/>
    </row>
    <row r="14371" spans="1:2" x14ac:dyDescent="0.25">
      <c r="A14371" s="104"/>
      <c r="B14371" s="104"/>
    </row>
    <row r="14372" spans="1:2" x14ac:dyDescent="0.25">
      <c r="A14372" s="104"/>
      <c r="B14372" s="104"/>
    </row>
    <row r="14373" spans="1:2" x14ac:dyDescent="0.25">
      <c r="A14373" s="104"/>
      <c r="B14373" s="104"/>
    </row>
    <row r="14374" spans="1:2" x14ac:dyDescent="0.25">
      <c r="A14374" s="104"/>
      <c r="B14374" s="104"/>
    </row>
    <row r="14375" spans="1:2" x14ac:dyDescent="0.25">
      <c r="A14375" s="104"/>
      <c r="B14375" s="104"/>
    </row>
    <row r="14376" spans="1:2" x14ac:dyDescent="0.25">
      <c r="A14376" s="104"/>
      <c r="B14376" s="104"/>
    </row>
    <row r="14377" spans="1:2" x14ac:dyDescent="0.25">
      <c r="A14377" s="104"/>
      <c r="B14377" s="104"/>
    </row>
    <row r="14378" spans="1:2" x14ac:dyDescent="0.25">
      <c r="A14378" s="104"/>
      <c r="B14378" s="104"/>
    </row>
    <row r="14379" spans="1:2" x14ac:dyDescent="0.25">
      <c r="A14379" s="104"/>
      <c r="B14379" s="104"/>
    </row>
    <row r="14380" spans="1:2" x14ac:dyDescent="0.25">
      <c r="A14380" s="104"/>
      <c r="B14380" s="104"/>
    </row>
    <row r="14381" spans="1:2" x14ac:dyDescent="0.25">
      <c r="A14381" s="104"/>
      <c r="B14381" s="104"/>
    </row>
    <row r="14382" spans="1:2" x14ac:dyDescent="0.25">
      <c r="A14382" s="104"/>
      <c r="B14382" s="104"/>
    </row>
    <row r="14383" spans="1:2" x14ac:dyDescent="0.25">
      <c r="A14383" s="104"/>
      <c r="B14383" s="104"/>
    </row>
    <row r="14384" spans="1:2" x14ac:dyDescent="0.25">
      <c r="A14384" s="104"/>
      <c r="B14384" s="104"/>
    </row>
    <row r="14385" spans="1:2" x14ac:dyDescent="0.25">
      <c r="A14385" s="104"/>
      <c r="B14385" s="104"/>
    </row>
    <row r="14386" spans="1:2" x14ac:dyDescent="0.25">
      <c r="A14386" s="104"/>
      <c r="B14386" s="104"/>
    </row>
    <row r="14387" spans="1:2" x14ac:dyDescent="0.25">
      <c r="A14387" s="104"/>
      <c r="B14387" s="104"/>
    </row>
    <row r="14388" spans="1:2" x14ac:dyDescent="0.25">
      <c r="A14388" s="104"/>
      <c r="B14388" s="104"/>
    </row>
    <row r="14389" spans="1:2" x14ac:dyDescent="0.25">
      <c r="A14389" s="104"/>
      <c r="B14389" s="104"/>
    </row>
    <row r="14390" spans="1:2" x14ac:dyDescent="0.25">
      <c r="A14390" s="104"/>
      <c r="B14390" s="104"/>
    </row>
    <row r="14391" spans="1:2" x14ac:dyDescent="0.25">
      <c r="A14391" s="104"/>
      <c r="B14391" s="104"/>
    </row>
    <row r="14392" spans="1:2" x14ac:dyDescent="0.25">
      <c r="A14392" s="104"/>
      <c r="B14392" s="104"/>
    </row>
    <row r="14393" spans="1:2" x14ac:dyDescent="0.25">
      <c r="A14393" s="104"/>
      <c r="B14393" s="104"/>
    </row>
    <row r="14394" spans="1:2" x14ac:dyDescent="0.25">
      <c r="A14394" s="104"/>
      <c r="B14394" s="104"/>
    </row>
    <row r="14395" spans="1:2" x14ac:dyDescent="0.25">
      <c r="A14395" s="104"/>
      <c r="B14395" s="104"/>
    </row>
    <row r="14396" spans="1:2" x14ac:dyDescent="0.25">
      <c r="A14396" s="104"/>
      <c r="B14396" s="104"/>
    </row>
    <row r="14397" spans="1:2" x14ac:dyDescent="0.25">
      <c r="A14397" s="104"/>
      <c r="B14397" s="104"/>
    </row>
    <row r="14398" spans="1:2" x14ac:dyDescent="0.25">
      <c r="A14398" s="104"/>
      <c r="B14398" s="104"/>
    </row>
    <row r="14399" spans="1:2" x14ac:dyDescent="0.25">
      <c r="A14399" s="104"/>
      <c r="B14399" s="104"/>
    </row>
    <row r="14400" spans="1:2" x14ac:dyDescent="0.25">
      <c r="A14400" s="104"/>
      <c r="B14400" s="104"/>
    </row>
    <row r="14401" spans="1:2" x14ac:dyDescent="0.25">
      <c r="A14401" s="104"/>
      <c r="B14401" s="104"/>
    </row>
    <row r="14402" spans="1:2" x14ac:dyDescent="0.25">
      <c r="A14402" s="104"/>
      <c r="B14402" s="104"/>
    </row>
    <row r="14403" spans="1:2" x14ac:dyDescent="0.25">
      <c r="A14403" s="104"/>
      <c r="B14403" s="104"/>
    </row>
    <row r="14404" spans="1:2" x14ac:dyDescent="0.25">
      <c r="A14404" s="104"/>
      <c r="B14404" s="104"/>
    </row>
    <row r="14405" spans="1:2" x14ac:dyDescent="0.25">
      <c r="A14405" s="104"/>
      <c r="B14405" s="104"/>
    </row>
    <row r="14406" spans="1:2" x14ac:dyDescent="0.25">
      <c r="A14406" s="104"/>
      <c r="B14406" s="104"/>
    </row>
    <row r="14407" spans="1:2" x14ac:dyDescent="0.25">
      <c r="A14407" s="104"/>
      <c r="B14407" s="104"/>
    </row>
    <row r="14408" spans="1:2" x14ac:dyDescent="0.25">
      <c r="A14408" s="104"/>
      <c r="B14408" s="104"/>
    </row>
    <row r="14409" spans="1:2" x14ac:dyDescent="0.25">
      <c r="A14409" s="104"/>
      <c r="B14409" s="104"/>
    </row>
    <row r="14410" spans="1:2" x14ac:dyDescent="0.25">
      <c r="A14410" s="104"/>
      <c r="B14410" s="104"/>
    </row>
    <row r="14411" spans="1:2" x14ac:dyDescent="0.25">
      <c r="A14411" s="104"/>
      <c r="B14411" s="104"/>
    </row>
    <row r="14412" spans="1:2" x14ac:dyDescent="0.25">
      <c r="A14412" s="104"/>
      <c r="B14412" s="104"/>
    </row>
    <row r="14413" spans="1:2" x14ac:dyDescent="0.25">
      <c r="A14413" s="104"/>
      <c r="B14413" s="104"/>
    </row>
    <row r="14414" spans="1:2" x14ac:dyDescent="0.25">
      <c r="A14414" s="104"/>
      <c r="B14414" s="104"/>
    </row>
    <row r="14415" spans="1:2" x14ac:dyDescent="0.25">
      <c r="A14415" s="104"/>
      <c r="B14415" s="104"/>
    </row>
    <row r="14416" spans="1:2" x14ac:dyDescent="0.25">
      <c r="A14416" s="104"/>
      <c r="B14416" s="104"/>
    </row>
    <row r="14417" spans="1:2" x14ac:dyDescent="0.25">
      <c r="A14417" s="104"/>
      <c r="B14417" s="104"/>
    </row>
    <row r="14418" spans="1:2" x14ac:dyDescent="0.25">
      <c r="A14418" s="104"/>
      <c r="B14418" s="104"/>
    </row>
    <row r="14419" spans="1:2" x14ac:dyDescent="0.25">
      <c r="A14419" s="104"/>
      <c r="B14419" s="104"/>
    </row>
    <row r="14420" spans="1:2" x14ac:dyDescent="0.25">
      <c r="A14420" s="104"/>
      <c r="B14420" s="104"/>
    </row>
    <row r="14421" spans="1:2" x14ac:dyDescent="0.25">
      <c r="A14421" s="104"/>
      <c r="B14421" s="104"/>
    </row>
    <row r="14422" spans="1:2" x14ac:dyDescent="0.25">
      <c r="A14422" s="104"/>
      <c r="B14422" s="104"/>
    </row>
    <row r="14423" spans="1:2" x14ac:dyDescent="0.25">
      <c r="A14423" s="104"/>
      <c r="B14423" s="104"/>
    </row>
    <row r="14424" spans="1:2" x14ac:dyDescent="0.25">
      <c r="A14424" s="104"/>
      <c r="B14424" s="104"/>
    </row>
    <row r="14425" spans="1:2" x14ac:dyDescent="0.25">
      <c r="A14425" s="104"/>
      <c r="B14425" s="104"/>
    </row>
    <row r="14426" spans="1:2" x14ac:dyDescent="0.25">
      <c r="A14426" s="104"/>
      <c r="B14426" s="104"/>
    </row>
    <row r="14427" spans="1:2" x14ac:dyDescent="0.25">
      <c r="A14427" s="104"/>
      <c r="B14427" s="104"/>
    </row>
    <row r="14428" spans="1:2" x14ac:dyDescent="0.25">
      <c r="A14428" s="104"/>
      <c r="B14428" s="104"/>
    </row>
    <row r="14429" spans="1:2" x14ac:dyDescent="0.25">
      <c r="A14429" s="104"/>
      <c r="B14429" s="104"/>
    </row>
    <row r="14430" spans="1:2" x14ac:dyDescent="0.25">
      <c r="A14430" s="104"/>
      <c r="B14430" s="104"/>
    </row>
    <row r="14431" spans="1:2" x14ac:dyDescent="0.25">
      <c r="A14431" s="104"/>
      <c r="B14431" s="104"/>
    </row>
    <row r="14432" spans="1:2" x14ac:dyDescent="0.25">
      <c r="A14432" s="104"/>
      <c r="B14432" s="104"/>
    </row>
    <row r="14433" spans="1:2" x14ac:dyDescent="0.25">
      <c r="A14433" s="104"/>
      <c r="B14433" s="104"/>
    </row>
    <row r="14434" spans="1:2" x14ac:dyDescent="0.25">
      <c r="A14434" s="104"/>
      <c r="B14434" s="104"/>
    </row>
    <row r="14435" spans="1:2" x14ac:dyDescent="0.25">
      <c r="A14435" s="104"/>
      <c r="B14435" s="104"/>
    </row>
    <row r="14436" spans="1:2" x14ac:dyDescent="0.25">
      <c r="A14436" s="104"/>
      <c r="B14436" s="104"/>
    </row>
    <row r="14437" spans="1:2" x14ac:dyDescent="0.25">
      <c r="A14437" s="104"/>
      <c r="B14437" s="104"/>
    </row>
    <row r="14438" spans="1:2" x14ac:dyDescent="0.25">
      <c r="A14438" s="104"/>
      <c r="B14438" s="104"/>
    </row>
    <row r="14439" spans="1:2" x14ac:dyDescent="0.25">
      <c r="A14439" s="104"/>
      <c r="B14439" s="104"/>
    </row>
    <row r="14440" spans="1:2" x14ac:dyDescent="0.25">
      <c r="A14440" s="104"/>
      <c r="B14440" s="104"/>
    </row>
    <row r="14441" spans="1:2" x14ac:dyDescent="0.25">
      <c r="A14441" s="104"/>
      <c r="B14441" s="104"/>
    </row>
    <row r="14442" spans="1:2" x14ac:dyDescent="0.25">
      <c r="A14442" s="104"/>
      <c r="B14442" s="104"/>
    </row>
    <row r="14443" spans="1:2" x14ac:dyDescent="0.25">
      <c r="A14443" s="104"/>
      <c r="B14443" s="104"/>
    </row>
    <row r="14444" spans="1:2" x14ac:dyDescent="0.25">
      <c r="A14444" s="104"/>
      <c r="B14444" s="104"/>
    </row>
    <row r="14445" spans="1:2" x14ac:dyDescent="0.25">
      <c r="A14445" s="104"/>
      <c r="B14445" s="104"/>
    </row>
    <row r="14446" spans="1:2" x14ac:dyDescent="0.25">
      <c r="A14446" s="104"/>
      <c r="B14446" s="104"/>
    </row>
    <row r="14447" spans="1:2" x14ac:dyDescent="0.25">
      <c r="A14447" s="104"/>
      <c r="B14447" s="104"/>
    </row>
    <row r="14448" spans="1:2" x14ac:dyDescent="0.25">
      <c r="A14448" s="104"/>
      <c r="B14448" s="104"/>
    </row>
    <row r="14449" spans="1:2" x14ac:dyDescent="0.25">
      <c r="A14449" s="104"/>
      <c r="B14449" s="104"/>
    </row>
    <row r="14450" spans="1:2" x14ac:dyDescent="0.25">
      <c r="A14450" s="104"/>
      <c r="B14450" s="104"/>
    </row>
    <row r="14451" spans="1:2" x14ac:dyDescent="0.25">
      <c r="A14451" s="104"/>
      <c r="B14451" s="104"/>
    </row>
    <row r="14452" spans="1:2" x14ac:dyDescent="0.25">
      <c r="A14452" s="104"/>
      <c r="B14452" s="104"/>
    </row>
    <row r="14453" spans="1:2" x14ac:dyDescent="0.25">
      <c r="A14453" s="104"/>
      <c r="B14453" s="104"/>
    </row>
    <row r="14454" spans="1:2" x14ac:dyDescent="0.25">
      <c r="A14454" s="104"/>
      <c r="B14454" s="104"/>
    </row>
    <row r="14455" spans="1:2" x14ac:dyDescent="0.25">
      <c r="A14455" s="104"/>
      <c r="B14455" s="104"/>
    </row>
    <row r="14456" spans="1:2" x14ac:dyDescent="0.25">
      <c r="A14456" s="104"/>
      <c r="B14456" s="104"/>
    </row>
    <row r="14457" spans="1:2" x14ac:dyDescent="0.25">
      <c r="A14457" s="104"/>
      <c r="B14457" s="104"/>
    </row>
    <row r="14458" spans="1:2" x14ac:dyDescent="0.25">
      <c r="A14458" s="104"/>
      <c r="B14458" s="104"/>
    </row>
    <row r="14459" spans="1:2" x14ac:dyDescent="0.25">
      <c r="A14459" s="104"/>
      <c r="B14459" s="104"/>
    </row>
    <row r="14460" spans="1:2" x14ac:dyDescent="0.25">
      <c r="A14460" s="104"/>
      <c r="B14460" s="104"/>
    </row>
    <row r="14461" spans="1:2" x14ac:dyDescent="0.25">
      <c r="A14461" s="104"/>
      <c r="B14461" s="104"/>
    </row>
    <row r="14462" spans="1:2" x14ac:dyDescent="0.25">
      <c r="A14462" s="104"/>
      <c r="B14462" s="104"/>
    </row>
    <row r="14463" spans="1:2" x14ac:dyDescent="0.25">
      <c r="A14463" s="104"/>
      <c r="B14463" s="104"/>
    </row>
    <row r="14464" spans="1:2" x14ac:dyDescent="0.25">
      <c r="A14464" s="104"/>
      <c r="B14464" s="104"/>
    </row>
    <row r="14465" spans="1:2" x14ac:dyDescent="0.25">
      <c r="A14465" s="104"/>
      <c r="B14465" s="104"/>
    </row>
    <row r="14466" spans="1:2" x14ac:dyDescent="0.25">
      <c r="A14466" s="104"/>
      <c r="B14466" s="104"/>
    </row>
    <row r="14467" spans="1:2" x14ac:dyDescent="0.25">
      <c r="A14467" s="104"/>
      <c r="B14467" s="104"/>
    </row>
    <row r="14468" spans="1:2" x14ac:dyDescent="0.25">
      <c r="A14468" s="104"/>
      <c r="B14468" s="104"/>
    </row>
    <row r="14469" spans="1:2" x14ac:dyDescent="0.25">
      <c r="A14469" s="104"/>
      <c r="B14469" s="104"/>
    </row>
    <row r="14470" spans="1:2" x14ac:dyDescent="0.25">
      <c r="A14470" s="104"/>
      <c r="B14470" s="104"/>
    </row>
    <row r="14471" spans="1:2" x14ac:dyDescent="0.25">
      <c r="A14471" s="104"/>
      <c r="B14471" s="104"/>
    </row>
    <row r="14472" spans="1:2" x14ac:dyDescent="0.25">
      <c r="A14472" s="104"/>
      <c r="B14472" s="104"/>
    </row>
    <row r="14473" spans="1:2" x14ac:dyDescent="0.25">
      <c r="A14473" s="104"/>
      <c r="B14473" s="104"/>
    </row>
    <row r="14474" spans="1:2" x14ac:dyDescent="0.25">
      <c r="A14474" s="104"/>
      <c r="B14474" s="104"/>
    </row>
    <row r="14475" spans="1:2" x14ac:dyDescent="0.25">
      <c r="A14475" s="104"/>
      <c r="B14475" s="104"/>
    </row>
    <row r="14476" spans="1:2" x14ac:dyDescent="0.25">
      <c r="A14476" s="104"/>
      <c r="B14476" s="104"/>
    </row>
    <row r="14477" spans="1:2" x14ac:dyDescent="0.25">
      <c r="A14477" s="104"/>
      <c r="B14477" s="104"/>
    </row>
    <row r="14478" spans="1:2" x14ac:dyDescent="0.25">
      <c r="A14478" s="104"/>
      <c r="B14478" s="104"/>
    </row>
    <row r="14479" spans="1:2" x14ac:dyDescent="0.25">
      <c r="A14479" s="104"/>
      <c r="B14479" s="104"/>
    </row>
    <row r="14480" spans="1:2" x14ac:dyDescent="0.25">
      <c r="A14480" s="104"/>
      <c r="B14480" s="104"/>
    </row>
    <row r="14481" spans="1:2" x14ac:dyDescent="0.25">
      <c r="A14481" s="104"/>
      <c r="B14481" s="104"/>
    </row>
    <row r="14482" spans="1:2" x14ac:dyDescent="0.25">
      <c r="A14482" s="104"/>
      <c r="B14482" s="104"/>
    </row>
    <row r="14483" spans="1:2" x14ac:dyDescent="0.25">
      <c r="A14483" s="104"/>
      <c r="B14483" s="104"/>
    </row>
    <row r="14484" spans="1:2" x14ac:dyDescent="0.25">
      <c r="A14484" s="104"/>
      <c r="B14484" s="104"/>
    </row>
    <row r="14485" spans="1:2" x14ac:dyDescent="0.25">
      <c r="A14485" s="104"/>
      <c r="B14485" s="104"/>
    </row>
    <row r="14486" spans="1:2" x14ac:dyDescent="0.25">
      <c r="A14486" s="104"/>
      <c r="B14486" s="104"/>
    </row>
    <row r="14487" spans="1:2" x14ac:dyDescent="0.25">
      <c r="A14487" s="104"/>
      <c r="B14487" s="104"/>
    </row>
    <row r="14488" spans="1:2" x14ac:dyDescent="0.25">
      <c r="A14488" s="104"/>
      <c r="B14488" s="104"/>
    </row>
    <row r="14489" spans="1:2" x14ac:dyDescent="0.25">
      <c r="A14489" s="104"/>
      <c r="B14489" s="104"/>
    </row>
    <row r="14490" spans="1:2" x14ac:dyDescent="0.25">
      <c r="A14490" s="104"/>
      <c r="B14490" s="104"/>
    </row>
    <row r="14491" spans="1:2" x14ac:dyDescent="0.25">
      <c r="A14491" s="104"/>
      <c r="B14491" s="104"/>
    </row>
    <row r="14492" spans="1:2" x14ac:dyDescent="0.25">
      <c r="A14492" s="104"/>
      <c r="B14492" s="104"/>
    </row>
    <row r="14493" spans="1:2" x14ac:dyDescent="0.25">
      <c r="A14493" s="104"/>
      <c r="B14493" s="104"/>
    </row>
    <row r="14494" spans="1:2" x14ac:dyDescent="0.25">
      <c r="A14494" s="104"/>
      <c r="B14494" s="104"/>
    </row>
    <row r="14495" spans="1:2" x14ac:dyDescent="0.25">
      <c r="A14495" s="104"/>
      <c r="B14495" s="104"/>
    </row>
    <row r="14496" spans="1:2" x14ac:dyDescent="0.25">
      <c r="A14496" s="104"/>
      <c r="B14496" s="104"/>
    </row>
    <row r="14497" spans="1:2" x14ac:dyDescent="0.25">
      <c r="A14497" s="104"/>
      <c r="B14497" s="104"/>
    </row>
    <row r="14498" spans="1:2" x14ac:dyDescent="0.25">
      <c r="A14498" s="104"/>
      <c r="B14498" s="104"/>
    </row>
    <row r="14499" spans="1:2" x14ac:dyDescent="0.25">
      <c r="A14499" s="104"/>
      <c r="B14499" s="104"/>
    </row>
    <row r="14500" spans="1:2" x14ac:dyDescent="0.25">
      <c r="A14500" s="104"/>
      <c r="B14500" s="104"/>
    </row>
    <row r="14501" spans="1:2" x14ac:dyDescent="0.25">
      <c r="A14501" s="104"/>
      <c r="B14501" s="104"/>
    </row>
    <row r="14502" spans="1:2" x14ac:dyDescent="0.25">
      <c r="A14502" s="104"/>
      <c r="B14502" s="104"/>
    </row>
    <row r="14503" spans="1:2" x14ac:dyDescent="0.25">
      <c r="A14503" s="104"/>
      <c r="B14503" s="104"/>
    </row>
    <row r="14504" spans="1:2" x14ac:dyDescent="0.25">
      <c r="A14504" s="104"/>
      <c r="B14504" s="104"/>
    </row>
    <row r="14505" spans="1:2" x14ac:dyDescent="0.25">
      <c r="A14505" s="104"/>
      <c r="B14505" s="104"/>
    </row>
    <row r="14506" spans="1:2" x14ac:dyDescent="0.25">
      <c r="A14506" s="104"/>
      <c r="B14506" s="104"/>
    </row>
    <row r="14507" spans="1:2" x14ac:dyDescent="0.25">
      <c r="A14507" s="104"/>
      <c r="B14507" s="104"/>
    </row>
    <row r="14508" spans="1:2" x14ac:dyDescent="0.25">
      <c r="A14508" s="104"/>
      <c r="B14508" s="104"/>
    </row>
    <row r="14509" spans="1:2" x14ac:dyDescent="0.25">
      <c r="A14509" s="104"/>
      <c r="B14509" s="104"/>
    </row>
    <row r="14510" spans="1:2" x14ac:dyDescent="0.25">
      <c r="A14510" s="104"/>
      <c r="B14510" s="104"/>
    </row>
    <row r="14511" spans="1:2" x14ac:dyDescent="0.25">
      <c r="A14511" s="104"/>
      <c r="B14511" s="104"/>
    </row>
    <row r="14512" spans="1:2" x14ac:dyDescent="0.25">
      <c r="A14512" s="104"/>
      <c r="B14512" s="104"/>
    </row>
    <row r="14513" spans="1:2" x14ac:dyDescent="0.25">
      <c r="A14513" s="104"/>
      <c r="B14513" s="104"/>
    </row>
    <row r="14514" spans="1:2" x14ac:dyDescent="0.25">
      <c r="A14514" s="104"/>
      <c r="B14514" s="104"/>
    </row>
    <row r="14515" spans="1:2" x14ac:dyDescent="0.25">
      <c r="A14515" s="104"/>
      <c r="B14515" s="104"/>
    </row>
    <row r="14516" spans="1:2" x14ac:dyDescent="0.25">
      <c r="A14516" s="104"/>
      <c r="B14516" s="104"/>
    </row>
    <row r="14517" spans="1:2" x14ac:dyDescent="0.25">
      <c r="A14517" s="104"/>
      <c r="B14517" s="104"/>
    </row>
    <row r="14518" spans="1:2" x14ac:dyDescent="0.25">
      <c r="A14518" s="104"/>
      <c r="B14518" s="104"/>
    </row>
    <row r="14519" spans="1:2" x14ac:dyDescent="0.25">
      <c r="A14519" s="104"/>
      <c r="B14519" s="104"/>
    </row>
    <row r="14520" spans="1:2" x14ac:dyDescent="0.25">
      <c r="A14520" s="104"/>
      <c r="B14520" s="104"/>
    </row>
    <row r="14521" spans="1:2" x14ac:dyDescent="0.25">
      <c r="A14521" s="104"/>
      <c r="B14521" s="104"/>
    </row>
    <row r="14522" spans="1:2" x14ac:dyDescent="0.25">
      <c r="A14522" s="104"/>
      <c r="B14522" s="104"/>
    </row>
    <row r="14523" spans="1:2" x14ac:dyDescent="0.25">
      <c r="A14523" s="104"/>
      <c r="B14523" s="104"/>
    </row>
    <row r="14524" spans="1:2" x14ac:dyDescent="0.25">
      <c r="A14524" s="104"/>
      <c r="B14524" s="104"/>
    </row>
    <row r="14525" spans="1:2" x14ac:dyDescent="0.25">
      <c r="A14525" s="104"/>
      <c r="B14525" s="104"/>
    </row>
    <row r="14526" spans="1:2" x14ac:dyDescent="0.25">
      <c r="A14526" s="104"/>
      <c r="B14526" s="104"/>
    </row>
    <row r="14527" spans="1:2" x14ac:dyDescent="0.25">
      <c r="A14527" s="104"/>
      <c r="B14527" s="104"/>
    </row>
    <row r="14528" spans="1:2" x14ac:dyDescent="0.25">
      <c r="A14528" s="104"/>
      <c r="B14528" s="104"/>
    </row>
    <row r="14529" spans="1:2" x14ac:dyDescent="0.25">
      <c r="A14529" s="104"/>
      <c r="B14529" s="104"/>
    </row>
    <row r="14530" spans="1:2" x14ac:dyDescent="0.25">
      <c r="A14530" s="104"/>
      <c r="B14530" s="104"/>
    </row>
    <row r="14531" spans="1:2" x14ac:dyDescent="0.25">
      <c r="A14531" s="104"/>
      <c r="B14531" s="104"/>
    </row>
    <row r="14532" spans="1:2" x14ac:dyDescent="0.25">
      <c r="A14532" s="104"/>
      <c r="B14532" s="104"/>
    </row>
    <row r="14533" spans="1:2" x14ac:dyDescent="0.25">
      <c r="A14533" s="104"/>
      <c r="B14533" s="104"/>
    </row>
    <row r="14534" spans="1:2" x14ac:dyDescent="0.25">
      <c r="A14534" s="104"/>
      <c r="B14534" s="104"/>
    </row>
    <row r="14535" spans="1:2" x14ac:dyDescent="0.25">
      <c r="A14535" s="104"/>
      <c r="B14535" s="104"/>
    </row>
    <row r="14536" spans="1:2" x14ac:dyDescent="0.25">
      <c r="A14536" s="104"/>
      <c r="B14536" s="104"/>
    </row>
    <row r="14537" spans="1:2" x14ac:dyDescent="0.25">
      <c r="A14537" s="104"/>
      <c r="B14537" s="104"/>
    </row>
    <row r="14538" spans="1:2" x14ac:dyDescent="0.25">
      <c r="A14538" s="104"/>
      <c r="B14538" s="104"/>
    </row>
    <row r="14539" spans="1:2" x14ac:dyDescent="0.25">
      <c r="A14539" s="104"/>
      <c r="B14539" s="104"/>
    </row>
    <row r="14540" spans="1:2" x14ac:dyDescent="0.25">
      <c r="A14540" s="104"/>
      <c r="B14540" s="104"/>
    </row>
    <row r="14541" spans="1:2" x14ac:dyDescent="0.25">
      <c r="A14541" s="104"/>
      <c r="B14541" s="104"/>
    </row>
    <row r="14542" spans="1:2" x14ac:dyDescent="0.25">
      <c r="A14542" s="104"/>
      <c r="B14542" s="104"/>
    </row>
    <row r="14543" spans="1:2" x14ac:dyDescent="0.25">
      <c r="A14543" s="104"/>
      <c r="B14543" s="104"/>
    </row>
    <row r="14544" spans="1:2" x14ac:dyDescent="0.25">
      <c r="A14544" s="104"/>
      <c r="B14544" s="104"/>
    </row>
    <row r="14545" spans="1:2" x14ac:dyDescent="0.25">
      <c r="A14545" s="104"/>
      <c r="B14545" s="104"/>
    </row>
    <row r="14546" spans="1:2" x14ac:dyDescent="0.25">
      <c r="A14546" s="104"/>
      <c r="B14546" s="104"/>
    </row>
    <row r="14547" spans="1:2" x14ac:dyDescent="0.25">
      <c r="A14547" s="104"/>
      <c r="B14547" s="104"/>
    </row>
    <row r="14548" spans="1:2" x14ac:dyDescent="0.25">
      <c r="A14548" s="104"/>
      <c r="B14548" s="104"/>
    </row>
    <row r="14549" spans="1:2" x14ac:dyDescent="0.25">
      <c r="A14549" s="104"/>
      <c r="B14549" s="104"/>
    </row>
    <row r="14550" spans="1:2" x14ac:dyDescent="0.25">
      <c r="A14550" s="104"/>
      <c r="B14550" s="104"/>
    </row>
    <row r="14551" spans="1:2" x14ac:dyDescent="0.25">
      <c r="A14551" s="104"/>
      <c r="B14551" s="104"/>
    </row>
    <row r="14552" spans="1:2" x14ac:dyDescent="0.25">
      <c r="A14552" s="104"/>
      <c r="B14552" s="104"/>
    </row>
    <row r="14553" spans="1:2" x14ac:dyDescent="0.25">
      <c r="A14553" s="104"/>
      <c r="B14553" s="104"/>
    </row>
    <row r="14554" spans="1:2" x14ac:dyDescent="0.25">
      <c r="A14554" s="104"/>
      <c r="B14554" s="104"/>
    </row>
    <row r="14555" spans="1:2" x14ac:dyDescent="0.25">
      <c r="A14555" s="104"/>
      <c r="B14555" s="104"/>
    </row>
    <row r="14556" spans="1:2" x14ac:dyDescent="0.25">
      <c r="A14556" s="104"/>
      <c r="B14556" s="104"/>
    </row>
    <row r="14557" spans="1:2" x14ac:dyDescent="0.25">
      <c r="A14557" s="104"/>
      <c r="B14557" s="104"/>
    </row>
    <row r="14558" spans="1:2" x14ac:dyDescent="0.25">
      <c r="A14558" s="104"/>
      <c r="B14558" s="104"/>
    </row>
    <row r="14559" spans="1:2" x14ac:dyDescent="0.25">
      <c r="A14559" s="104"/>
      <c r="B14559" s="104"/>
    </row>
    <row r="14560" spans="1:2" x14ac:dyDescent="0.25">
      <c r="A14560" s="104"/>
      <c r="B14560" s="104"/>
    </row>
    <row r="14561" spans="1:2" x14ac:dyDescent="0.25">
      <c r="A14561" s="104"/>
      <c r="B14561" s="104"/>
    </row>
    <row r="14562" spans="1:2" x14ac:dyDescent="0.25">
      <c r="A14562" s="104"/>
      <c r="B14562" s="104"/>
    </row>
    <row r="14563" spans="1:2" x14ac:dyDescent="0.25">
      <c r="A14563" s="104"/>
      <c r="B14563" s="104"/>
    </row>
    <row r="14564" spans="1:2" x14ac:dyDescent="0.25">
      <c r="A14564" s="104"/>
      <c r="B14564" s="104"/>
    </row>
    <row r="14565" spans="1:2" x14ac:dyDescent="0.25">
      <c r="A14565" s="104"/>
      <c r="B14565" s="104"/>
    </row>
    <row r="14566" spans="1:2" x14ac:dyDescent="0.25">
      <c r="A14566" s="104"/>
      <c r="B14566" s="104"/>
    </row>
    <row r="14567" spans="1:2" x14ac:dyDescent="0.25">
      <c r="A14567" s="104"/>
      <c r="B14567" s="104"/>
    </row>
    <row r="14568" spans="1:2" x14ac:dyDescent="0.25">
      <c r="A14568" s="104"/>
      <c r="B14568" s="104"/>
    </row>
    <row r="14569" spans="1:2" x14ac:dyDescent="0.25">
      <c r="A14569" s="104"/>
      <c r="B14569" s="104"/>
    </row>
    <row r="14570" spans="1:2" x14ac:dyDescent="0.25">
      <c r="A14570" s="104"/>
      <c r="B14570" s="104"/>
    </row>
    <row r="14571" spans="1:2" x14ac:dyDescent="0.25">
      <c r="A14571" s="104"/>
      <c r="B14571" s="104"/>
    </row>
    <row r="14572" spans="1:2" x14ac:dyDescent="0.25">
      <c r="A14572" s="104"/>
      <c r="B14572" s="104"/>
    </row>
    <row r="14573" spans="1:2" x14ac:dyDescent="0.25">
      <c r="A14573" s="104"/>
      <c r="B14573" s="104"/>
    </row>
    <row r="14574" spans="1:2" x14ac:dyDescent="0.25">
      <c r="A14574" s="104"/>
      <c r="B14574" s="104"/>
    </row>
    <row r="14575" spans="1:2" x14ac:dyDescent="0.25">
      <c r="A14575" s="104"/>
      <c r="B14575" s="104"/>
    </row>
    <row r="14576" spans="1:2" x14ac:dyDescent="0.25">
      <c r="A14576" s="104"/>
      <c r="B14576" s="104"/>
    </row>
    <row r="14577" spans="1:2" x14ac:dyDescent="0.25">
      <c r="A14577" s="104"/>
      <c r="B14577" s="104"/>
    </row>
    <row r="14578" spans="1:2" x14ac:dyDescent="0.25">
      <c r="A14578" s="104"/>
      <c r="B14578" s="104"/>
    </row>
    <row r="14579" spans="1:2" x14ac:dyDescent="0.25">
      <c r="A14579" s="104"/>
      <c r="B14579" s="104"/>
    </row>
    <row r="14580" spans="1:2" x14ac:dyDescent="0.25">
      <c r="A14580" s="104"/>
      <c r="B14580" s="104"/>
    </row>
    <row r="14581" spans="1:2" x14ac:dyDescent="0.25">
      <c r="A14581" s="104"/>
      <c r="B14581" s="104"/>
    </row>
    <row r="14582" spans="1:2" x14ac:dyDescent="0.25">
      <c r="A14582" s="104"/>
      <c r="B14582" s="104"/>
    </row>
    <row r="14583" spans="1:2" x14ac:dyDescent="0.25">
      <c r="A14583" s="104"/>
      <c r="B14583" s="104"/>
    </row>
    <row r="14584" spans="1:2" x14ac:dyDescent="0.25">
      <c r="A14584" s="104"/>
      <c r="B14584" s="104"/>
    </row>
    <row r="14585" spans="1:2" x14ac:dyDescent="0.25">
      <c r="A14585" s="104"/>
      <c r="B14585" s="104"/>
    </row>
    <row r="14586" spans="1:2" x14ac:dyDescent="0.25">
      <c r="A14586" s="104"/>
      <c r="B14586" s="104"/>
    </row>
    <row r="14587" spans="1:2" x14ac:dyDescent="0.25">
      <c r="A14587" s="104"/>
      <c r="B14587" s="104"/>
    </row>
    <row r="14588" spans="1:2" x14ac:dyDescent="0.25">
      <c r="A14588" s="104"/>
      <c r="B14588" s="104"/>
    </row>
    <row r="14589" spans="1:2" x14ac:dyDescent="0.25">
      <c r="A14589" s="104"/>
      <c r="B14589" s="104"/>
    </row>
    <row r="14590" spans="1:2" x14ac:dyDescent="0.25">
      <c r="A14590" s="104"/>
      <c r="B14590" s="104"/>
    </row>
    <row r="14591" spans="1:2" x14ac:dyDescent="0.25">
      <c r="A14591" s="104"/>
      <c r="B14591" s="104"/>
    </row>
    <row r="14592" spans="1:2" x14ac:dyDescent="0.25">
      <c r="A14592" s="104"/>
      <c r="B14592" s="104"/>
    </row>
    <row r="14593" spans="1:2" x14ac:dyDescent="0.25">
      <c r="A14593" s="104"/>
      <c r="B14593" s="104"/>
    </row>
    <row r="14594" spans="1:2" x14ac:dyDescent="0.25">
      <c r="A14594" s="104"/>
      <c r="B14594" s="104"/>
    </row>
    <row r="14595" spans="1:2" x14ac:dyDescent="0.25">
      <c r="A14595" s="104"/>
      <c r="B14595" s="104"/>
    </row>
    <row r="14596" spans="1:2" x14ac:dyDescent="0.25">
      <c r="A14596" s="104"/>
      <c r="B14596" s="104"/>
    </row>
    <row r="14597" spans="1:2" x14ac:dyDescent="0.25">
      <c r="A14597" s="104"/>
      <c r="B14597" s="104"/>
    </row>
    <row r="14598" spans="1:2" x14ac:dyDescent="0.25">
      <c r="A14598" s="104"/>
      <c r="B14598" s="104"/>
    </row>
    <row r="14599" spans="1:2" x14ac:dyDescent="0.25">
      <c r="A14599" s="104"/>
      <c r="B14599" s="104"/>
    </row>
    <row r="14600" spans="1:2" x14ac:dyDescent="0.25">
      <c r="A14600" s="104"/>
      <c r="B14600" s="104"/>
    </row>
    <row r="14601" spans="1:2" x14ac:dyDescent="0.25">
      <c r="A14601" s="104"/>
      <c r="B14601" s="104"/>
    </row>
    <row r="14602" spans="1:2" x14ac:dyDescent="0.25">
      <c r="A14602" s="104"/>
      <c r="B14602" s="104"/>
    </row>
    <row r="14603" spans="1:2" x14ac:dyDescent="0.25">
      <c r="A14603" s="104"/>
      <c r="B14603" s="104"/>
    </row>
    <row r="14604" spans="1:2" x14ac:dyDescent="0.25">
      <c r="A14604" s="104"/>
      <c r="B14604" s="104"/>
    </row>
    <row r="14605" spans="1:2" x14ac:dyDescent="0.25">
      <c r="A14605" s="104"/>
      <c r="B14605" s="104"/>
    </row>
    <row r="14606" spans="1:2" x14ac:dyDescent="0.25">
      <c r="A14606" s="104"/>
      <c r="B14606" s="104"/>
    </row>
    <row r="14607" spans="1:2" x14ac:dyDescent="0.25">
      <c r="A14607" s="104"/>
      <c r="B14607" s="104"/>
    </row>
    <row r="14608" spans="1:2" x14ac:dyDescent="0.25">
      <c r="A14608" s="104"/>
      <c r="B14608" s="104"/>
    </row>
    <row r="14609" spans="1:2" x14ac:dyDescent="0.25">
      <c r="A14609" s="104"/>
      <c r="B14609" s="104"/>
    </row>
    <row r="14610" spans="1:2" x14ac:dyDescent="0.25">
      <c r="A14610" s="104"/>
      <c r="B14610" s="104"/>
    </row>
    <row r="14611" spans="1:2" x14ac:dyDescent="0.25">
      <c r="A14611" s="104"/>
      <c r="B14611" s="104"/>
    </row>
    <row r="14612" spans="1:2" x14ac:dyDescent="0.25">
      <c r="A14612" s="104"/>
      <c r="B14612" s="104"/>
    </row>
    <row r="14613" spans="1:2" x14ac:dyDescent="0.25">
      <c r="A14613" s="104"/>
      <c r="B14613" s="104"/>
    </row>
    <row r="14614" spans="1:2" x14ac:dyDescent="0.25">
      <c r="A14614" s="104"/>
      <c r="B14614" s="104"/>
    </row>
    <row r="14615" spans="1:2" x14ac:dyDescent="0.25">
      <c r="A14615" s="104"/>
      <c r="B14615" s="104"/>
    </row>
    <row r="14616" spans="1:2" x14ac:dyDescent="0.25">
      <c r="A14616" s="104"/>
      <c r="B14616" s="104"/>
    </row>
    <row r="14617" spans="1:2" x14ac:dyDescent="0.25">
      <c r="A14617" s="104"/>
      <c r="B14617" s="104"/>
    </row>
    <row r="14618" spans="1:2" x14ac:dyDescent="0.25">
      <c r="A14618" s="104"/>
      <c r="B14618" s="104"/>
    </row>
    <row r="14619" spans="1:2" x14ac:dyDescent="0.25">
      <c r="A14619" s="104"/>
      <c r="B14619" s="104"/>
    </row>
    <row r="14620" spans="1:2" x14ac:dyDescent="0.25">
      <c r="A14620" s="104"/>
      <c r="B14620" s="104"/>
    </row>
    <row r="14621" spans="1:2" x14ac:dyDescent="0.25">
      <c r="A14621" s="104"/>
      <c r="B14621" s="104"/>
    </row>
    <row r="14622" spans="1:2" x14ac:dyDescent="0.25">
      <c r="A14622" s="104"/>
      <c r="B14622" s="104"/>
    </row>
    <row r="14623" spans="1:2" x14ac:dyDescent="0.25">
      <c r="A14623" s="104"/>
      <c r="B14623" s="104"/>
    </row>
    <row r="14624" spans="1:2" x14ac:dyDescent="0.25">
      <c r="A14624" s="104"/>
      <c r="B14624" s="104"/>
    </row>
    <row r="14625" spans="1:2" x14ac:dyDescent="0.25">
      <c r="A14625" s="104"/>
      <c r="B14625" s="104"/>
    </row>
    <row r="14626" spans="1:2" x14ac:dyDescent="0.25">
      <c r="A14626" s="104"/>
      <c r="B14626" s="104"/>
    </row>
    <row r="14627" spans="1:2" x14ac:dyDescent="0.25">
      <c r="A14627" s="104"/>
      <c r="B14627" s="104"/>
    </row>
    <row r="14628" spans="1:2" x14ac:dyDescent="0.25">
      <c r="A14628" s="104"/>
      <c r="B14628" s="104"/>
    </row>
    <row r="14629" spans="1:2" x14ac:dyDescent="0.25">
      <c r="A14629" s="104"/>
      <c r="B14629" s="104"/>
    </row>
    <row r="14630" spans="1:2" x14ac:dyDescent="0.25">
      <c r="A14630" s="104"/>
      <c r="B14630" s="104"/>
    </row>
    <row r="14631" spans="1:2" x14ac:dyDescent="0.25">
      <c r="A14631" s="104"/>
      <c r="B14631" s="104"/>
    </row>
    <row r="14632" spans="1:2" x14ac:dyDescent="0.25">
      <c r="A14632" s="104"/>
      <c r="B14632" s="104"/>
    </row>
    <row r="14633" spans="1:2" x14ac:dyDescent="0.25">
      <c r="A14633" s="104"/>
      <c r="B14633" s="104"/>
    </row>
    <row r="14634" spans="1:2" x14ac:dyDescent="0.25">
      <c r="A14634" s="104"/>
      <c r="B14634" s="104"/>
    </row>
    <row r="14635" spans="1:2" x14ac:dyDescent="0.25">
      <c r="A14635" s="104"/>
      <c r="B14635" s="104"/>
    </row>
    <row r="14636" spans="1:2" x14ac:dyDescent="0.25">
      <c r="A14636" s="104"/>
      <c r="B14636" s="104"/>
    </row>
    <row r="14637" spans="1:2" x14ac:dyDescent="0.25">
      <c r="A14637" s="104"/>
      <c r="B14637" s="104"/>
    </row>
    <row r="14638" spans="1:2" x14ac:dyDescent="0.25">
      <c r="A14638" s="104"/>
      <c r="B14638" s="104"/>
    </row>
    <row r="14639" spans="1:2" x14ac:dyDescent="0.25">
      <c r="A14639" s="104"/>
      <c r="B14639" s="104"/>
    </row>
    <row r="14640" spans="1:2" x14ac:dyDescent="0.25">
      <c r="A14640" s="104"/>
      <c r="B14640" s="104"/>
    </row>
    <row r="14641" spans="1:2" x14ac:dyDescent="0.25">
      <c r="A14641" s="104"/>
      <c r="B14641" s="104"/>
    </row>
    <row r="14642" spans="1:2" x14ac:dyDescent="0.25">
      <c r="A14642" s="104"/>
      <c r="B14642" s="104"/>
    </row>
    <row r="14643" spans="1:2" x14ac:dyDescent="0.25">
      <c r="A14643" s="104"/>
      <c r="B14643" s="104"/>
    </row>
    <row r="14644" spans="1:2" x14ac:dyDescent="0.25">
      <c r="A14644" s="104"/>
      <c r="B14644" s="104"/>
    </row>
    <row r="14645" spans="1:2" x14ac:dyDescent="0.25">
      <c r="A14645" s="104"/>
      <c r="B14645" s="104"/>
    </row>
    <row r="14646" spans="1:2" x14ac:dyDescent="0.25">
      <c r="A14646" s="104"/>
      <c r="B14646" s="104"/>
    </row>
    <row r="14647" spans="1:2" x14ac:dyDescent="0.25">
      <c r="A14647" s="104"/>
      <c r="B14647" s="104"/>
    </row>
    <row r="14648" spans="1:2" x14ac:dyDescent="0.25">
      <c r="A14648" s="104"/>
      <c r="B14648" s="104"/>
    </row>
    <row r="14649" spans="1:2" x14ac:dyDescent="0.25">
      <c r="A14649" s="104"/>
      <c r="B14649" s="104"/>
    </row>
    <row r="14650" spans="1:2" x14ac:dyDescent="0.25">
      <c r="A14650" s="104"/>
      <c r="B14650" s="104"/>
    </row>
    <row r="14651" spans="1:2" x14ac:dyDescent="0.25">
      <c r="A14651" s="104"/>
      <c r="B14651" s="104"/>
    </row>
    <row r="14652" spans="1:2" x14ac:dyDescent="0.25">
      <c r="A14652" s="104"/>
      <c r="B14652" s="104"/>
    </row>
    <row r="14653" spans="1:2" x14ac:dyDescent="0.25">
      <c r="A14653" s="104"/>
      <c r="B14653" s="104"/>
    </row>
    <row r="14654" spans="1:2" x14ac:dyDescent="0.25">
      <c r="A14654" s="104"/>
      <c r="B14654" s="104"/>
    </row>
    <row r="14655" spans="1:2" x14ac:dyDescent="0.25">
      <c r="A14655" s="104"/>
      <c r="B14655" s="104"/>
    </row>
    <row r="14656" spans="1:2" x14ac:dyDescent="0.25">
      <c r="A14656" s="104"/>
      <c r="B14656" s="104"/>
    </row>
    <row r="14657" spans="1:2" x14ac:dyDescent="0.25">
      <c r="A14657" s="104"/>
      <c r="B14657" s="104"/>
    </row>
    <row r="14658" spans="1:2" x14ac:dyDescent="0.25">
      <c r="A14658" s="104"/>
      <c r="B14658" s="104"/>
    </row>
    <row r="14659" spans="1:2" x14ac:dyDescent="0.25">
      <c r="A14659" s="104"/>
      <c r="B14659" s="104"/>
    </row>
    <row r="14660" spans="1:2" x14ac:dyDescent="0.25">
      <c r="A14660" s="104"/>
      <c r="B14660" s="104"/>
    </row>
    <row r="14661" spans="1:2" x14ac:dyDescent="0.25">
      <c r="A14661" s="104"/>
      <c r="B14661" s="104"/>
    </row>
    <row r="14662" spans="1:2" x14ac:dyDescent="0.25">
      <c r="A14662" s="104"/>
      <c r="B14662" s="104"/>
    </row>
    <row r="14663" spans="1:2" x14ac:dyDescent="0.25">
      <c r="A14663" s="104"/>
      <c r="B14663" s="104"/>
    </row>
    <row r="14664" spans="1:2" x14ac:dyDescent="0.25">
      <c r="A14664" s="104"/>
      <c r="B14664" s="104"/>
    </row>
    <row r="14665" spans="1:2" x14ac:dyDescent="0.25">
      <c r="A14665" s="104"/>
      <c r="B14665" s="104"/>
    </row>
    <row r="14666" spans="1:2" x14ac:dyDescent="0.25">
      <c r="A14666" s="104"/>
      <c r="B14666" s="104"/>
    </row>
    <row r="14667" spans="1:2" x14ac:dyDescent="0.25">
      <c r="A14667" s="104"/>
      <c r="B14667" s="104"/>
    </row>
    <row r="14668" spans="1:2" x14ac:dyDescent="0.25">
      <c r="A14668" s="104"/>
      <c r="B14668" s="104"/>
    </row>
    <row r="14669" spans="1:2" x14ac:dyDescent="0.25">
      <c r="A14669" s="104"/>
      <c r="B14669" s="104"/>
    </row>
    <row r="14670" spans="1:2" x14ac:dyDescent="0.25">
      <c r="A14670" s="104"/>
      <c r="B14670" s="104"/>
    </row>
    <row r="14671" spans="1:2" x14ac:dyDescent="0.25">
      <c r="A14671" s="104"/>
      <c r="B14671" s="104"/>
    </row>
    <row r="14672" spans="1:2" x14ac:dyDescent="0.25">
      <c r="A14672" s="104"/>
      <c r="B14672" s="104"/>
    </row>
    <row r="14673" spans="1:2" x14ac:dyDescent="0.25">
      <c r="A14673" s="104"/>
      <c r="B14673" s="104"/>
    </row>
    <row r="14674" spans="1:2" x14ac:dyDescent="0.25">
      <c r="A14674" s="104"/>
      <c r="B14674" s="104"/>
    </row>
    <row r="14675" spans="1:2" x14ac:dyDescent="0.25">
      <c r="A14675" s="104"/>
      <c r="B14675" s="104"/>
    </row>
    <row r="14676" spans="1:2" x14ac:dyDescent="0.25">
      <c r="A14676" s="104"/>
      <c r="B14676" s="104"/>
    </row>
    <row r="14677" spans="1:2" x14ac:dyDescent="0.25">
      <c r="A14677" s="104"/>
      <c r="B14677" s="104"/>
    </row>
    <row r="14678" spans="1:2" x14ac:dyDescent="0.25">
      <c r="A14678" s="104"/>
      <c r="B14678" s="104"/>
    </row>
    <row r="14679" spans="1:2" x14ac:dyDescent="0.25">
      <c r="A14679" s="104"/>
      <c r="B14679" s="104"/>
    </row>
    <row r="14680" spans="1:2" x14ac:dyDescent="0.25">
      <c r="A14680" s="104"/>
      <c r="B14680" s="104"/>
    </row>
    <row r="14681" spans="1:2" x14ac:dyDescent="0.25">
      <c r="A14681" s="104"/>
      <c r="B14681" s="104"/>
    </row>
    <row r="14682" spans="1:2" x14ac:dyDescent="0.25">
      <c r="A14682" s="104"/>
      <c r="B14682" s="104"/>
    </row>
    <row r="14683" spans="1:2" x14ac:dyDescent="0.25">
      <c r="A14683" s="104"/>
      <c r="B14683" s="104"/>
    </row>
    <row r="14684" spans="1:2" x14ac:dyDescent="0.25">
      <c r="A14684" s="104"/>
      <c r="B14684" s="104"/>
    </row>
    <row r="14685" spans="1:2" x14ac:dyDescent="0.25">
      <c r="A14685" s="104"/>
      <c r="B14685" s="104"/>
    </row>
    <row r="14686" spans="1:2" x14ac:dyDescent="0.25">
      <c r="A14686" s="104"/>
      <c r="B14686" s="104"/>
    </row>
    <row r="14687" spans="1:2" x14ac:dyDescent="0.25">
      <c r="A14687" s="104"/>
      <c r="B14687" s="104"/>
    </row>
    <row r="14688" spans="1:2" x14ac:dyDescent="0.25">
      <c r="A14688" s="104"/>
      <c r="B14688" s="104"/>
    </row>
    <row r="14689" spans="1:2" x14ac:dyDescent="0.25">
      <c r="A14689" s="104"/>
      <c r="B14689" s="104"/>
    </row>
    <row r="14690" spans="1:2" x14ac:dyDescent="0.25">
      <c r="A14690" s="104"/>
      <c r="B14690" s="104"/>
    </row>
    <row r="14691" spans="1:2" x14ac:dyDescent="0.25">
      <c r="A14691" s="104"/>
      <c r="B14691" s="104"/>
    </row>
    <row r="14692" spans="1:2" x14ac:dyDescent="0.25">
      <c r="A14692" s="104"/>
      <c r="B14692" s="104"/>
    </row>
    <row r="14693" spans="1:2" x14ac:dyDescent="0.25">
      <c r="A14693" s="104"/>
      <c r="B14693" s="104"/>
    </row>
    <row r="14694" spans="1:2" x14ac:dyDescent="0.25">
      <c r="A14694" s="104"/>
      <c r="B14694" s="104"/>
    </row>
    <row r="14695" spans="1:2" x14ac:dyDescent="0.25">
      <c r="A14695" s="104"/>
      <c r="B14695" s="104"/>
    </row>
    <row r="14696" spans="1:2" x14ac:dyDescent="0.25">
      <c r="A14696" s="104"/>
      <c r="B14696" s="104"/>
    </row>
    <row r="14697" spans="1:2" x14ac:dyDescent="0.25">
      <c r="A14697" s="104"/>
      <c r="B14697" s="104"/>
    </row>
    <row r="14698" spans="1:2" x14ac:dyDescent="0.25">
      <c r="A14698" s="104"/>
      <c r="B14698" s="104"/>
    </row>
    <row r="14699" spans="1:2" x14ac:dyDescent="0.25">
      <c r="A14699" s="104"/>
      <c r="B14699" s="104"/>
    </row>
    <row r="14700" spans="1:2" x14ac:dyDescent="0.25">
      <c r="A14700" s="104"/>
      <c r="B14700" s="104"/>
    </row>
    <row r="14701" spans="1:2" x14ac:dyDescent="0.25">
      <c r="A14701" s="104"/>
      <c r="B14701" s="104"/>
    </row>
    <row r="14702" spans="1:2" x14ac:dyDescent="0.25">
      <c r="A14702" s="104"/>
      <c r="B14702" s="104"/>
    </row>
    <row r="14703" spans="1:2" x14ac:dyDescent="0.25">
      <c r="A14703" s="104"/>
      <c r="B14703" s="104"/>
    </row>
    <row r="14704" spans="1:2" x14ac:dyDescent="0.25">
      <c r="A14704" s="104"/>
      <c r="B14704" s="104"/>
    </row>
    <row r="14705" spans="1:2" x14ac:dyDescent="0.25">
      <c r="A14705" s="104"/>
      <c r="B14705" s="104"/>
    </row>
    <row r="14706" spans="1:2" x14ac:dyDescent="0.25">
      <c r="A14706" s="104"/>
      <c r="B14706" s="104"/>
    </row>
    <row r="14707" spans="1:2" x14ac:dyDescent="0.25">
      <c r="A14707" s="104"/>
      <c r="B14707" s="104"/>
    </row>
    <row r="14708" spans="1:2" x14ac:dyDescent="0.25">
      <c r="A14708" s="104"/>
      <c r="B14708" s="104"/>
    </row>
    <row r="14709" spans="1:2" x14ac:dyDescent="0.25">
      <c r="A14709" s="104"/>
      <c r="B14709" s="104"/>
    </row>
    <row r="14710" spans="1:2" x14ac:dyDescent="0.25">
      <c r="A14710" s="104"/>
      <c r="B14710" s="104"/>
    </row>
    <row r="14711" spans="1:2" x14ac:dyDescent="0.25">
      <c r="A14711" s="104"/>
      <c r="B14711" s="104"/>
    </row>
    <row r="14712" spans="1:2" x14ac:dyDescent="0.25">
      <c r="A14712" s="104"/>
      <c r="B14712" s="104"/>
    </row>
    <row r="14713" spans="1:2" x14ac:dyDescent="0.25">
      <c r="A14713" s="104"/>
      <c r="B14713" s="104"/>
    </row>
    <row r="14714" spans="1:2" x14ac:dyDescent="0.25">
      <c r="A14714" s="104"/>
      <c r="B14714" s="104"/>
    </row>
    <row r="14715" spans="1:2" x14ac:dyDescent="0.25">
      <c r="A14715" s="104"/>
      <c r="B14715" s="104"/>
    </row>
    <row r="14716" spans="1:2" x14ac:dyDescent="0.25">
      <c r="A14716" s="104"/>
      <c r="B14716" s="104"/>
    </row>
    <row r="14717" spans="1:2" x14ac:dyDescent="0.25">
      <c r="A14717" s="104"/>
      <c r="B14717" s="104"/>
    </row>
    <row r="14718" spans="1:2" x14ac:dyDescent="0.25">
      <c r="A14718" s="104"/>
      <c r="B14718" s="104"/>
    </row>
    <row r="14719" spans="1:2" x14ac:dyDescent="0.25">
      <c r="A14719" s="104"/>
      <c r="B14719" s="104"/>
    </row>
    <row r="14720" spans="1:2" x14ac:dyDescent="0.25">
      <c r="A14720" s="104"/>
      <c r="B14720" s="104"/>
    </row>
    <row r="14721" spans="1:2" x14ac:dyDescent="0.25">
      <c r="A14721" s="104"/>
      <c r="B14721" s="104"/>
    </row>
    <row r="14722" spans="1:2" x14ac:dyDescent="0.25">
      <c r="A14722" s="104"/>
      <c r="B14722" s="104"/>
    </row>
    <row r="14723" spans="1:2" x14ac:dyDescent="0.25">
      <c r="A14723" s="104"/>
      <c r="B14723" s="104"/>
    </row>
    <row r="14724" spans="1:2" x14ac:dyDescent="0.25">
      <c r="A14724" s="104"/>
      <c r="B14724" s="104"/>
    </row>
    <row r="14725" spans="1:2" x14ac:dyDescent="0.25">
      <c r="A14725" s="104"/>
      <c r="B14725" s="104"/>
    </row>
    <row r="14726" spans="1:2" x14ac:dyDescent="0.25">
      <c r="A14726" s="104"/>
      <c r="B14726" s="104"/>
    </row>
    <row r="14727" spans="1:2" x14ac:dyDescent="0.25">
      <c r="A14727" s="104"/>
      <c r="B14727" s="104"/>
    </row>
    <row r="14728" spans="1:2" x14ac:dyDescent="0.25">
      <c r="A14728" s="104"/>
      <c r="B14728" s="104"/>
    </row>
    <row r="14729" spans="1:2" x14ac:dyDescent="0.25">
      <c r="A14729" s="104"/>
      <c r="B14729" s="104"/>
    </row>
    <row r="14730" spans="1:2" x14ac:dyDescent="0.25">
      <c r="A14730" s="104"/>
      <c r="B14730" s="104"/>
    </row>
    <row r="14731" spans="1:2" x14ac:dyDescent="0.25">
      <c r="A14731" s="104"/>
      <c r="B14731" s="104"/>
    </row>
    <row r="14732" spans="1:2" x14ac:dyDescent="0.25">
      <c r="A14732" s="104"/>
      <c r="B14732" s="104"/>
    </row>
    <row r="14733" spans="1:2" x14ac:dyDescent="0.25">
      <c r="A14733" s="104"/>
      <c r="B14733" s="104"/>
    </row>
    <row r="14734" spans="1:2" x14ac:dyDescent="0.25">
      <c r="A14734" s="104"/>
      <c r="B14734" s="104"/>
    </row>
    <row r="14735" spans="1:2" x14ac:dyDescent="0.25">
      <c r="A14735" s="104"/>
      <c r="B14735" s="104"/>
    </row>
    <row r="14736" spans="1:2" x14ac:dyDescent="0.25">
      <c r="A14736" s="104"/>
      <c r="B14736" s="104"/>
    </row>
    <row r="14737" spans="1:2" x14ac:dyDescent="0.25">
      <c r="A14737" s="104"/>
      <c r="B14737" s="104"/>
    </row>
    <row r="14738" spans="1:2" x14ac:dyDescent="0.25">
      <c r="A14738" s="104"/>
      <c r="B14738" s="104"/>
    </row>
    <row r="14739" spans="1:2" x14ac:dyDescent="0.25">
      <c r="A14739" s="104"/>
      <c r="B14739" s="104"/>
    </row>
    <row r="14740" spans="1:2" x14ac:dyDescent="0.25">
      <c r="A14740" s="104"/>
      <c r="B14740" s="104"/>
    </row>
    <row r="14741" spans="1:2" x14ac:dyDescent="0.25">
      <c r="A14741" s="104"/>
      <c r="B14741" s="104"/>
    </row>
    <row r="14742" spans="1:2" x14ac:dyDescent="0.25">
      <c r="A14742" s="104"/>
      <c r="B14742" s="104"/>
    </row>
    <row r="14743" spans="1:2" x14ac:dyDescent="0.25">
      <c r="A14743" s="104"/>
      <c r="B14743" s="104"/>
    </row>
    <row r="14744" spans="1:2" x14ac:dyDescent="0.25">
      <c r="A14744" s="104"/>
      <c r="B14744" s="104"/>
    </row>
    <row r="14745" spans="1:2" x14ac:dyDescent="0.25">
      <c r="A14745" s="104"/>
      <c r="B14745" s="104"/>
    </row>
    <row r="14746" spans="1:2" x14ac:dyDescent="0.25">
      <c r="A14746" s="104"/>
      <c r="B14746" s="104"/>
    </row>
    <row r="14747" spans="1:2" x14ac:dyDescent="0.25">
      <c r="A14747" s="104"/>
      <c r="B14747" s="104"/>
    </row>
    <row r="14748" spans="1:2" x14ac:dyDescent="0.25">
      <c r="A14748" s="104"/>
      <c r="B14748" s="104"/>
    </row>
    <row r="14749" spans="1:2" x14ac:dyDescent="0.25">
      <c r="A14749" s="104"/>
      <c r="B14749" s="104"/>
    </row>
    <row r="14750" spans="1:2" x14ac:dyDescent="0.25">
      <c r="A14750" s="104"/>
      <c r="B14750" s="104"/>
    </row>
    <row r="14751" spans="1:2" x14ac:dyDescent="0.25">
      <c r="A14751" s="104"/>
      <c r="B14751" s="104"/>
    </row>
    <row r="14752" spans="1:2" x14ac:dyDescent="0.25">
      <c r="A14752" s="104"/>
      <c r="B14752" s="104"/>
    </row>
    <row r="14753" spans="1:2" x14ac:dyDescent="0.25">
      <c r="A14753" s="104"/>
      <c r="B14753" s="104"/>
    </row>
    <row r="14754" spans="1:2" x14ac:dyDescent="0.25">
      <c r="A14754" s="104"/>
      <c r="B14754" s="104"/>
    </row>
    <row r="14755" spans="1:2" x14ac:dyDescent="0.25">
      <c r="A14755" s="104"/>
      <c r="B14755" s="104"/>
    </row>
    <row r="14756" spans="1:2" x14ac:dyDescent="0.25">
      <c r="A14756" s="104"/>
      <c r="B14756" s="104"/>
    </row>
    <row r="14757" spans="1:2" x14ac:dyDescent="0.25">
      <c r="A14757" s="104"/>
      <c r="B14757" s="104"/>
    </row>
    <row r="14758" spans="1:2" x14ac:dyDescent="0.25">
      <c r="A14758" s="104"/>
      <c r="B14758" s="104"/>
    </row>
    <row r="14759" spans="1:2" x14ac:dyDescent="0.25">
      <c r="A14759" s="104"/>
      <c r="B14759" s="104"/>
    </row>
    <row r="14760" spans="1:2" x14ac:dyDescent="0.25">
      <c r="A14760" s="104"/>
      <c r="B14760" s="104"/>
    </row>
    <row r="14761" spans="1:2" x14ac:dyDescent="0.25">
      <c r="A14761" s="104"/>
      <c r="B14761" s="104"/>
    </row>
    <row r="14762" spans="1:2" x14ac:dyDescent="0.25">
      <c r="A14762" s="104"/>
      <c r="B14762" s="104"/>
    </row>
    <row r="14763" spans="1:2" x14ac:dyDescent="0.25">
      <c r="A14763" s="104"/>
      <c r="B14763" s="104"/>
    </row>
    <row r="14764" spans="1:2" x14ac:dyDescent="0.25">
      <c r="A14764" s="104"/>
      <c r="B14764" s="104"/>
    </row>
    <row r="14765" spans="1:2" x14ac:dyDescent="0.25">
      <c r="A14765" s="104"/>
      <c r="B14765" s="104"/>
    </row>
    <row r="14766" spans="1:2" x14ac:dyDescent="0.25">
      <c r="A14766" s="104"/>
      <c r="B14766" s="104"/>
    </row>
    <row r="14767" spans="1:2" x14ac:dyDescent="0.25">
      <c r="A14767" s="104"/>
      <c r="B14767" s="104"/>
    </row>
    <row r="14768" spans="1:2" x14ac:dyDescent="0.25">
      <c r="A14768" s="104"/>
      <c r="B14768" s="104"/>
    </row>
    <row r="14769" spans="1:2" x14ac:dyDescent="0.25">
      <c r="A14769" s="104"/>
      <c r="B14769" s="104"/>
    </row>
    <row r="14770" spans="1:2" x14ac:dyDescent="0.25">
      <c r="A14770" s="104"/>
      <c r="B14770" s="104"/>
    </row>
    <row r="14771" spans="1:2" x14ac:dyDescent="0.25">
      <c r="A14771" s="104"/>
      <c r="B14771" s="104"/>
    </row>
    <row r="14772" spans="1:2" x14ac:dyDescent="0.25">
      <c r="A14772" s="104"/>
      <c r="B14772" s="104"/>
    </row>
    <row r="14773" spans="1:2" x14ac:dyDescent="0.25">
      <c r="A14773" s="104"/>
      <c r="B14773" s="104"/>
    </row>
    <row r="14774" spans="1:2" x14ac:dyDescent="0.25">
      <c r="A14774" s="104"/>
      <c r="B14774" s="104"/>
    </row>
    <row r="14775" spans="1:2" x14ac:dyDescent="0.25">
      <c r="A14775" s="104"/>
      <c r="B14775" s="104"/>
    </row>
    <row r="14776" spans="1:2" x14ac:dyDescent="0.25">
      <c r="A14776" s="104"/>
      <c r="B14776" s="104"/>
    </row>
    <row r="14777" spans="1:2" x14ac:dyDescent="0.25">
      <c r="A14777" s="104"/>
      <c r="B14777" s="104"/>
    </row>
    <row r="14778" spans="1:2" x14ac:dyDescent="0.25">
      <c r="A14778" s="104"/>
      <c r="B14778" s="104"/>
    </row>
    <row r="14779" spans="1:2" x14ac:dyDescent="0.25">
      <c r="A14779" s="104"/>
      <c r="B14779" s="104"/>
    </row>
    <row r="14780" spans="1:2" x14ac:dyDescent="0.25">
      <c r="A14780" s="104"/>
      <c r="B14780" s="104"/>
    </row>
    <row r="14781" spans="1:2" x14ac:dyDescent="0.25">
      <c r="A14781" s="104"/>
      <c r="B14781" s="104"/>
    </row>
    <row r="14782" spans="1:2" x14ac:dyDescent="0.25">
      <c r="A14782" s="104"/>
      <c r="B14782" s="104"/>
    </row>
    <row r="14783" spans="1:2" x14ac:dyDescent="0.25">
      <c r="A14783" s="104"/>
      <c r="B14783" s="104"/>
    </row>
    <row r="14784" spans="1:2" x14ac:dyDescent="0.25">
      <c r="A14784" s="104"/>
      <c r="B14784" s="104"/>
    </row>
    <row r="14785" spans="1:2" x14ac:dyDescent="0.25">
      <c r="A14785" s="104"/>
      <c r="B14785" s="104"/>
    </row>
    <row r="14786" spans="1:2" x14ac:dyDescent="0.25">
      <c r="A14786" s="104"/>
      <c r="B14786" s="104"/>
    </row>
    <row r="14787" spans="1:2" x14ac:dyDescent="0.25">
      <c r="A14787" s="104"/>
      <c r="B14787" s="104"/>
    </row>
    <row r="14788" spans="1:2" x14ac:dyDescent="0.25">
      <c r="A14788" s="104"/>
      <c r="B14788" s="104"/>
    </row>
    <row r="14789" spans="1:2" x14ac:dyDescent="0.25">
      <c r="A14789" s="104"/>
      <c r="B14789" s="104"/>
    </row>
    <row r="14790" spans="1:2" x14ac:dyDescent="0.25">
      <c r="A14790" s="104"/>
      <c r="B14790" s="104"/>
    </row>
    <row r="14791" spans="1:2" x14ac:dyDescent="0.25">
      <c r="A14791" s="104"/>
      <c r="B14791" s="104"/>
    </row>
    <row r="14792" spans="1:2" x14ac:dyDescent="0.25">
      <c r="A14792" s="104"/>
      <c r="B14792" s="104"/>
    </row>
    <row r="14793" spans="1:2" x14ac:dyDescent="0.25">
      <c r="A14793" s="104"/>
      <c r="B14793" s="104"/>
    </row>
    <row r="14794" spans="1:2" x14ac:dyDescent="0.25">
      <c r="A14794" s="104"/>
      <c r="B14794" s="104"/>
    </row>
    <row r="14795" spans="1:2" x14ac:dyDescent="0.25">
      <c r="A14795" s="104"/>
      <c r="B14795" s="104"/>
    </row>
    <row r="14796" spans="1:2" x14ac:dyDescent="0.25">
      <c r="A14796" s="104"/>
      <c r="B14796" s="104"/>
    </row>
    <row r="14797" spans="1:2" x14ac:dyDescent="0.25">
      <c r="A14797" s="104"/>
      <c r="B14797" s="104"/>
    </row>
    <row r="14798" spans="1:2" x14ac:dyDescent="0.25">
      <c r="A14798" s="104"/>
      <c r="B14798" s="104"/>
    </row>
    <row r="14799" spans="1:2" x14ac:dyDescent="0.25">
      <c r="A14799" s="104"/>
      <c r="B14799" s="104"/>
    </row>
    <row r="14800" spans="1:2" x14ac:dyDescent="0.25">
      <c r="A14800" s="104"/>
      <c r="B14800" s="104"/>
    </row>
    <row r="14801" spans="1:2" x14ac:dyDescent="0.25">
      <c r="A14801" s="104"/>
      <c r="B14801" s="104"/>
    </row>
    <row r="14802" spans="1:2" x14ac:dyDescent="0.25">
      <c r="A14802" s="104"/>
      <c r="B14802" s="104"/>
    </row>
    <row r="14803" spans="1:2" x14ac:dyDescent="0.25">
      <c r="A14803" s="104"/>
      <c r="B14803" s="104"/>
    </row>
    <row r="14804" spans="1:2" x14ac:dyDescent="0.25">
      <c r="A14804" s="104"/>
      <c r="B14804" s="104"/>
    </row>
    <row r="14805" spans="1:2" x14ac:dyDescent="0.25">
      <c r="A14805" s="104"/>
      <c r="B14805" s="104"/>
    </row>
    <row r="14806" spans="1:2" x14ac:dyDescent="0.25">
      <c r="A14806" s="104"/>
      <c r="B14806" s="104"/>
    </row>
    <row r="14807" spans="1:2" x14ac:dyDescent="0.25">
      <c r="A14807" s="104"/>
      <c r="B14807" s="104"/>
    </row>
    <row r="14808" spans="1:2" x14ac:dyDescent="0.25">
      <c r="A14808" s="104"/>
      <c r="B14808" s="104"/>
    </row>
    <row r="14809" spans="1:2" x14ac:dyDescent="0.25">
      <c r="A14809" s="104"/>
      <c r="B14809" s="104"/>
    </row>
    <row r="14810" spans="1:2" x14ac:dyDescent="0.25">
      <c r="A14810" s="104"/>
      <c r="B14810" s="104"/>
    </row>
    <row r="14811" spans="1:2" x14ac:dyDescent="0.25">
      <c r="A14811" s="104"/>
      <c r="B14811" s="104"/>
    </row>
    <row r="14812" spans="1:2" x14ac:dyDescent="0.25">
      <c r="A14812" s="104"/>
      <c r="B14812" s="104"/>
    </row>
    <row r="14813" spans="1:2" x14ac:dyDescent="0.25">
      <c r="A14813" s="104"/>
      <c r="B14813" s="104"/>
    </row>
    <row r="14814" spans="1:2" x14ac:dyDescent="0.25">
      <c r="A14814" s="104"/>
      <c r="B14814" s="104"/>
    </row>
    <row r="14815" spans="1:2" x14ac:dyDescent="0.25">
      <c r="A14815" s="104"/>
      <c r="B14815" s="104"/>
    </row>
    <row r="14816" spans="1:2" x14ac:dyDescent="0.25">
      <c r="A14816" s="104"/>
      <c r="B14816" s="104"/>
    </row>
    <row r="14817" spans="1:2" x14ac:dyDescent="0.25">
      <c r="A14817" s="104"/>
      <c r="B14817" s="104"/>
    </row>
    <row r="14818" spans="1:2" x14ac:dyDescent="0.25">
      <c r="A14818" s="104"/>
      <c r="B14818" s="104"/>
    </row>
    <row r="14819" spans="1:2" x14ac:dyDescent="0.25">
      <c r="A14819" s="104"/>
      <c r="B14819" s="104"/>
    </row>
    <row r="14820" spans="1:2" x14ac:dyDescent="0.25">
      <c r="A14820" s="104"/>
      <c r="B14820" s="104"/>
    </row>
    <row r="14821" spans="1:2" x14ac:dyDescent="0.25">
      <c r="A14821" s="104"/>
      <c r="B14821" s="104"/>
    </row>
    <row r="14822" spans="1:2" x14ac:dyDescent="0.25">
      <c r="A14822" s="104"/>
      <c r="B14822" s="104"/>
    </row>
    <row r="14823" spans="1:2" x14ac:dyDescent="0.25">
      <c r="A14823" s="104"/>
      <c r="B14823" s="104"/>
    </row>
    <row r="14824" spans="1:2" x14ac:dyDescent="0.25">
      <c r="A14824" s="104"/>
      <c r="B14824" s="104"/>
    </row>
    <row r="14825" spans="1:2" x14ac:dyDescent="0.25">
      <c r="A14825" s="104"/>
      <c r="B14825" s="104"/>
    </row>
    <row r="14826" spans="1:2" x14ac:dyDescent="0.25">
      <c r="A14826" s="104"/>
      <c r="B14826" s="104"/>
    </row>
    <row r="14827" spans="1:2" x14ac:dyDescent="0.25">
      <c r="A14827" s="104"/>
      <c r="B14827" s="104"/>
    </row>
    <row r="14828" spans="1:2" x14ac:dyDescent="0.25">
      <c r="A14828" s="104"/>
      <c r="B14828" s="104"/>
    </row>
    <row r="14829" spans="1:2" x14ac:dyDescent="0.25">
      <c r="A14829" s="104"/>
      <c r="B14829" s="104"/>
    </row>
    <row r="14830" spans="1:2" x14ac:dyDescent="0.25">
      <c r="A14830" s="104"/>
      <c r="B14830" s="104"/>
    </row>
    <row r="14831" spans="1:2" x14ac:dyDescent="0.25">
      <c r="A14831" s="104"/>
      <c r="B14831" s="104"/>
    </row>
    <row r="14832" spans="1:2" x14ac:dyDescent="0.25">
      <c r="A14832" s="104"/>
      <c r="B14832" s="104"/>
    </row>
    <row r="14833" spans="1:2" x14ac:dyDescent="0.25">
      <c r="A14833" s="104"/>
      <c r="B14833" s="104"/>
    </row>
    <row r="14834" spans="1:2" x14ac:dyDescent="0.25">
      <c r="A14834" s="104"/>
      <c r="B14834" s="104"/>
    </row>
    <row r="14835" spans="1:2" x14ac:dyDescent="0.25">
      <c r="A14835" s="104"/>
      <c r="B14835" s="104"/>
    </row>
    <row r="14836" spans="1:2" x14ac:dyDescent="0.25">
      <c r="A14836" s="104"/>
      <c r="B14836" s="104"/>
    </row>
    <row r="14837" spans="1:2" x14ac:dyDescent="0.25">
      <c r="A14837" s="104"/>
      <c r="B14837" s="104"/>
    </row>
    <row r="14838" spans="1:2" x14ac:dyDescent="0.25">
      <c r="A14838" s="104"/>
      <c r="B14838" s="104"/>
    </row>
    <row r="14839" spans="1:2" x14ac:dyDescent="0.25">
      <c r="A14839" s="104"/>
      <c r="B14839" s="104"/>
    </row>
    <row r="14840" spans="1:2" x14ac:dyDescent="0.25">
      <c r="A14840" s="104"/>
      <c r="B14840" s="104"/>
    </row>
    <row r="14841" spans="1:2" x14ac:dyDescent="0.25">
      <c r="A14841" s="104"/>
      <c r="B14841" s="104"/>
    </row>
    <row r="14842" spans="1:2" x14ac:dyDescent="0.25">
      <c r="A14842" s="104"/>
      <c r="B14842" s="104"/>
    </row>
    <row r="14843" spans="1:2" x14ac:dyDescent="0.25">
      <c r="A14843" s="104"/>
      <c r="B14843" s="104"/>
    </row>
    <row r="14844" spans="1:2" x14ac:dyDescent="0.25">
      <c r="A14844" s="104"/>
      <c r="B14844" s="104"/>
    </row>
    <row r="14845" spans="1:2" x14ac:dyDescent="0.25">
      <c r="A14845" s="104"/>
      <c r="B14845" s="104"/>
    </row>
    <row r="14846" spans="1:2" x14ac:dyDescent="0.25">
      <c r="A14846" s="104"/>
      <c r="B14846" s="104"/>
    </row>
    <row r="14847" spans="1:2" x14ac:dyDescent="0.25">
      <c r="A14847" s="104"/>
      <c r="B14847" s="104"/>
    </row>
    <row r="14848" spans="1:2" x14ac:dyDescent="0.25">
      <c r="A14848" s="104"/>
      <c r="B14848" s="104"/>
    </row>
    <row r="14849" spans="1:2" x14ac:dyDescent="0.25">
      <c r="A14849" s="104"/>
      <c r="B14849" s="104"/>
    </row>
    <row r="14850" spans="1:2" x14ac:dyDescent="0.25">
      <c r="A14850" s="104"/>
      <c r="B14850" s="104"/>
    </row>
    <row r="14851" spans="1:2" x14ac:dyDescent="0.25">
      <c r="A14851" s="104"/>
      <c r="B14851" s="104"/>
    </row>
    <row r="14852" spans="1:2" x14ac:dyDescent="0.25">
      <c r="A14852" s="104"/>
      <c r="B14852" s="104"/>
    </row>
    <row r="14853" spans="1:2" x14ac:dyDescent="0.25">
      <c r="A14853" s="104"/>
      <c r="B14853" s="104"/>
    </row>
    <row r="14854" spans="1:2" x14ac:dyDescent="0.25">
      <c r="A14854" s="104"/>
      <c r="B14854" s="104"/>
    </row>
    <row r="14855" spans="1:2" x14ac:dyDescent="0.25">
      <c r="A14855" s="104"/>
      <c r="B14855" s="104"/>
    </row>
    <row r="14856" spans="1:2" x14ac:dyDescent="0.25">
      <c r="A14856" s="104"/>
      <c r="B14856" s="104"/>
    </row>
    <row r="14857" spans="1:2" x14ac:dyDescent="0.25">
      <c r="A14857" s="104"/>
      <c r="B14857" s="104"/>
    </row>
    <row r="14858" spans="1:2" x14ac:dyDescent="0.25">
      <c r="A14858" s="104"/>
      <c r="B14858" s="104"/>
    </row>
    <row r="14859" spans="1:2" x14ac:dyDescent="0.25">
      <c r="A14859" s="104"/>
      <c r="B14859" s="104"/>
    </row>
    <row r="14860" spans="1:2" x14ac:dyDescent="0.25">
      <c r="A14860" s="104"/>
      <c r="B14860" s="104"/>
    </row>
    <row r="14861" spans="1:2" x14ac:dyDescent="0.25">
      <c r="A14861" s="104"/>
      <c r="B14861" s="104"/>
    </row>
    <row r="14862" spans="1:2" x14ac:dyDescent="0.25">
      <c r="A14862" s="104"/>
      <c r="B14862" s="104"/>
    </row>
    <row r="14863" spans="1:2" x14ac:dyDescent="0.25">
      <c r="A14863" s="104"/>
      <c r="B14863" s="104"/>
    </row>
    <row r="14864" spans="1:2" x14ac:dyDescent="0.25">
      <c r="A14864" s="104"/>
      <c r="B14864" s="104"/>
    </row>
    <row r="14865" spans="1:2" x14ac:dyDescent="0.25">
      <c r="A14865" s="104"/>
      <c r="B14865" s="104"/>
    </row>
    <row r="14866" spans="1:2" x14ac:dyDescent="0.25">
      <c r="A14866" s="104"/>
      <c r="B14866" s="104"/>
    </row>
    <row r="14867" spans="1:2" x14ac:dyDescent="0.25">
      <c r="A14867" s="104"/>
      <c r="B14867" s="104"/>
    </row>
    <row r="14868" spans="1:2" x14ac:dyDescent="0.25">
      <c r="A14868" s="104"/>
      <c r="B14868" s="104"/>
    </row>
    <row r="14869" spans="1:2" x14ac:dyDescent="0.25">
      <c r="A14869" s="104"/>
      <c r="B14869" s="104"/>
    </row>
    <row r="14870" spans="1:2" x14ac:dyDescent="0.25">
      <c r="A14870" s="104"/>
      <c r="B14870" s="104"/>
    </row>
    <row r="14871" spans="1:2" x14ac:dyDescent="0.25">
      <c r="A14871" s="104"/>
      <c r="B14871" s="104"/>
    </row>
    <row r="14872" spans="1:2" x14ac:dyDescent="0.25">
      <c r="A14872" s="104"/>
      <c r="B14872" s="104"/>
    </row>
    <row r="14873" spans="1:2" x14ac:dyDescent="0.25">
      <c r="A14873" s="104"/>
      <c r="B14873" s="104"/>
    </row>
    <row r="14874" spans="1:2" x14ac:dyDescent="0.25">
      <c r="A14874" s="104"/>
      <c r="B14874" s="104"/>
    </row>
    <row r="14875" spans="1:2" x14ac:dyDescent="0.25">
      <c r="A14875" s="104"/>
      <c r="B14875" s="104"/>
    </row>
    <row r="14876" spans="1:2" x14ac:dyDescent="0.25">
      <c r="A14876" s="104"/>
      <c r="B14876" s="104"/>
    </row>
    <row r="14877" spans="1:2" x14ac:dyDescent="0.25">
      <c r="A14877" s="104"/>
      <c r="B14877" s="104"/>
    </row>
    <row r="14878" spans="1:2" x14ac:dyDescent="0.25">
      <c r="A14878" s="104"/>
      <c r="B14878" s="104"/>
    </row>
    <row r="14879" spans="1:2" x14ac:dyDescent="0.25">
      <c r="A14879" s="104"/>
      <c r="B14879" s="104"/>
    </row>
    <row r="14880" spans="1:2" x14ac:dyDescent="0.25">
      <c r="A14880" s="104"/>
      <c r="B14880" s="104"/>
    </row>
    <row r="14881" spans="1:2" x14ac:dyDescent="0.25">
      <c r="A14881" s="104"/>
      <c r="B14881" s="104"/>
    </row>
    <row r="14882" spans="1:2" x14ac:dyDescent="0.25">
      <c r="A14882" s="104"/>
      <c r="B14882" s="104"/>
    </row>
    <row r="14883" spans="1:2" x14ac:dyDescent="0.25">
      <c r="A14883" s="104"/>
      <c r="B14883" s="104"/>
    </row>
    <row r="14884" spans="1:2" x14ac:dyDescent="0.25">
      <c r="A14884" s="104"/>
      <c r="B14884" s="104"/>
    </row>
    <row r="14885" spans="1:2" x14ac:dyDescent="0.25">
      <c r="A14885" s="104"/>
      <c r="B14885" s="104"/>
    </row>
    <row r="14886" spans="1:2" x14ac:dyDescent="0.25">
      <c r="A14886" s="104"/>
      <c r="B14886" s="104"/>
    </row>
    <row r="14887" spans="1:2" x14ac:dyDescent="0.25">
      <c r="A14887" s="104"/>
      <c r="B14887" s="104"/>
    </row>
    <row r="14888" spans="1:2" x14ac:dyDescent="0.25">
      <c r="A14888" s="104"/>
      <c r="B14888" s="104"/>
    </row>
    <row r="14889" spans="1:2" x14ac:dyDescent="0.25">
      <c r="A14889" s="104"/>
      <c r="B14889" s="104"/>
    </row>
    <row r="14890" spans="1:2" x14ac:dyDescent="0.25">
      <c r="A14890" s="104"/>
      <c r="B14890" s="104"/>
    </row>
    <row r="14891" spans="1:2" x14ac:dyDescent="0.25">
      <c r="A14891" s="104"/>
      <c r="B14891" s="104"/>
    </row>
    <row r="14892" spans="1:2" x14ac:dyDescent="0.25">
      <c r="A14892" s="104"/>
      <c r="B14892" s="104"/>
    </row>
    <row r="14893" spans="1:2" x14ac:dyDescent="0.25">
      <c r="A14893" s="104"/>
      <c r="B14893" s="104"/>
    </row>
    <row r="14894" spans="1:2" x14ac:dyDescent="0.25">
      <c r="A14894" s="104"/>
      <c r="B14894" s="104"/>
    </row>
    <row r="14895" spans="1:2" x14ac:dyDescent="0.25">
      <c r="A14895" s="104"/>
      <c r="B14895" s="104"/>
    </row>
    <row r="14896" spans="1:2" x14ac:dyDescent="0.25">
      <c r="A14896" s="104"/>
      <c r="B14896" s="104"/>
    </row>
    <row r="14897" spans="1:2" x14ac:dyDescent="0.25">
      <c r="A14897" s="104"/>
      <c r="B14897" s="104"/>
    </row>
    <row r="14898" spans="1:2" x14ac:dyDescent="0.25">
      <c r="A14898" s="104"/>
      <c r="B14898" s="104"/>
    </row>
    <row r="14899" spans="1:2" x14ac:dyDescent="0.25">
      <c r="A14899" s="104"/>
      <c r="B14899" s="104"/>
    </row>
    <row r="14900" spans="1:2" x14ac:dyDescent="0.25">
      <c r="A14900" s="104"/>
      <c r="B14900" s="104"/>
    </row>
    <row r="14901" spans="1:2" x14ac:dyDescent="0.25">
      <c r="A14901" s="104"/>
      <c r="B14901" s="104"/>
    </row>
    <row r="14902" spans="1:2" x14ac:dyDescent="0.25">
      <c r="A14902" s="104"/>
      <c r="B14902" s="104"/>
    </row>
    <row r="14903" spans="1:2" x14ac:dyDescent="0.25">
      <c r="A14903" s="104"/>
      <c r="B14903" s="104"/>
    </row>
    <row r="14904" spans="1:2" x14ac:dyDescent="0.25">
      <c r="A14904" s="104"/>
      <c r="B14904" s="104"/>
    </row>
    <row r="14905" spans="1:2" x14ac:dyDescent="0.25">
      <c r="A14905" s="104"/>
      <c r="B14905" s="104"/>
    </row>
    <row r="14906" spans="1:2" x14ac:dyDescent="0.25">
      <c r="A14906" s="104"/>
      <c r="B14906" s="104"/>
    </row>
    <row r="14907" spans="1:2" x14ac:dyDescent="0.25">
      <c r="A14907" s="104"/>
      <c r="B14907" s="104"/>
    </row>
    <row r="14908" spans="1:2" x14ac:dyDescent="0.25">
      <c r="A14908" s="104"/>
      <c r="B14908" s="104"/>
    </row>
    <row r="14909" spans="1:2" x14ac:dyDescent="0.25">
      <c r="A14909" s="104"/>
      <c r="B14909" s="104"/>
    </row>
    <row r="14910" spans="1:2" x14ac:dyDescent="0.25">
      <c r="A14910" s="104"/>
      <c r="B14910" s="104"/>
    </row>
    <row r="14911" spans="1:2" x14ac:dyDescent="0.25">
      <c r="A14911" s="104"/>
      <c r="B14911" s="104"/>
    </row>
    <row r="14912" spans="1:2" x14ac:dyDescent="0.25">
      <c r="A14912" s="104"/>
      <c r="B14912" s="104"/>
    </row>
    <row r="14913" spans="1:2" x14ac:dyDescent="0.25">
      <c r="A14913" s="104"/>
      <c r="B14913" s="104"/>
    </row>
    <row r="14914" spans="1:2" x14ac:dyDescent="0.25">
      <c r="A14914" s="104"/>
      <c r="B14914" s="104"/>
    </row>
    <row r="14915" spans="1:2" x14ac:dyDescent="0.25">
      <c r="A14915" s="104"/>
      <c r="B14915" s="104"/>
    </row>
    <row r="14916" spans="1:2" x14ac:dyDescent="0.25">
      <c r="A14916" s="104"/>
      <c r="B14916" s="104"/>
    </row>
    <row r="14917" spans="1:2" x14ac:dyDescent="0.25">
      <c r="A14917" s="104"/>
      <c r="B14917" s="104"/>
    </row>
    <row r="14918" spans="1:2" x14ac:dyDescent="0.25">
      <c r="A14918" s="104"/>
      <c r="B14918" s="104"/>
    </row>
    <row r="14919" spans="1:2" x14ac:dyDescent="0.25">
      <c r="A14919" s="104"/>
      <c r="B14919" s="104"/>
    </row>
    <row r="14920" spans="1:2" x14ac:dyDescent="0.25">
      <c r="A14920" s="104"/>
      <c r="B14920" s="104"/>
    </row>
    <row r="14921" spans="1:2" x14ac:dyDescent="0.25">
      <c r="A14921" s="104"/>
      <c r="B14921" s="104"/>
    </row>
    <row r="14922" spans="1:2" x14ac:dyDescent="0.25">
      <c r="A14922" s="104"/>
      <c r="B14922" s="104"/>
    </row>
    <row r="14923" spans="1:2" x14ac:dyDescent="0.25">
      <c r="A14923" s="104"/>
      <c r="B14923" s="104"/>
    </row>
    <row r="14924" spans="1:2" x14ac:dyDescent="0.25">
      <c r="A14924" s="104"/>
      <c r="B14924" s="104"/>
    </row>
    <row r="14925" spans="1:2" x14ac:dyDescent="0.25">
      <c r="A14925" s="104"/>
      <c r="B14925" s="104"/>
    </row>
    <row r="14926" spans="1:2" x14ac:dyDescent="0.25">
      <c r="A14926" s="104"/>
      <c r="B14926" s="104"/>
    </row>
    <row r="14927" spans="1:2" x14ac:dyDescent="0.25">
      <c r="A14927" s="104"/>
      <c r="B14927" s="104"/>
    </row>
    <row r="14928" spans="1:2" x14ac:dyDescent="0.25">
      <c r="A14928" s="104"/>
      <c r="B14928" s="104"/>
    </row>
    <row r="14929" spans="1:2" x14ac:dyDescent="0.25">
      <c r="A14929" s="104"/>
      <c r="B14929" s="104"/>
    </row>
    <row r="14930" spans="1:2" x14ac:dyDescent="0.25">
      <c r="A14930" s="104"/>
      <c r="B14930" s="104"/>
    </row>
    <row r="14931" spans="1:2" x14ac:dyDescent="0.25">
      <c r="A14931" s="104"/>
      <c r="B14931" s="104"/>
    </row>
    <row r="14932" spans="1:2" x14ac:dyDescent="0.25">
      <c r="A14932" s="104"/>
      <c r="B14932" s="104"/>
    </row>
    <row r="14933" spans="1:2" x14ac:dyDescent="0.25">
      <c r="A14933" s="104"/>
      <c r="B14933" s="104"/>
    </row>
    <row r="14934" spans="1:2" x14ac:dyDescent="0.25">
      <c r="A14934" s="104"/>
      <c r="B14934" s="104"/>
    </row>
    <row r="14935" spans="1:2" x14ac:dyDescent="0.25">
      <c r="A14935" s="104"/>
      <c r="B14935" s="104"/>
    </row>
    <row r="14936" spans="1:2" x14ac:dyDescent="0.25">
      <c r="A14936" s="104"/>
      <c r="B14936" s="104"/>
    </row>
    <row r="14937" spans="1:2" x14ac:dyDescent="0.25">
      <c r="A14937" s="104"/>
      <c r="B14937" s="104"/>
    </row>
    <row r="14938" spans="1:2" x14ac:dyDescent="0.25">
      <c r="A14938" s="104"/>
      <c r="B14938" s="104"/>
    </row>
    <row r="14939" spans="1:2" x14ac:dyDescent="0.25">
      <c r="A14939" s="104"/>
      <c r="B14939" s="104"/>
    </row>
    <row r="14940" spans="1:2" x14ac:dyDescent="0.25">
      <c r="A14940" s="104"/>
      <c r="B14940" s="104"/>
    </row>
    <row r="14941" spans="1:2" x14ac:dyDescent="0.25">
      <c r="A14941" s="104"/>
      <c r="B14941" s="104"/>
    </row>
    <row r="14942" spans="1:2" x14ac:dyDescent="0.25">
      <c r="A14942" s="104"/>
      <c r="B14942" s="104"/>
    </row>
    <row r="14943" spans="1:2" x14ac:dyDescent="0.25">
      <c r="A14943" s="104"/>
      <c r="B14943" s="104"/>
    </row>
    <row r="14944" spans="1:2" x14ac:dyDescent="0.25">
      <c r="A14944" s="104"/>
      <c r="B14944" s="104"/>
    </row>
    <row r="14945" spans="1:2" x14ac:dyDescent="0.25">
      <c r="A14945" s="104"/>
      <c r="B14945" s="104"/>
    </row>
    <row r="14946" spans="1:2" x14ac:dyDescent="0.25">
      <c r="A14946" s="104"/>
      <c r="B14946" s="104"/>
    </row>
    <row r="14947" spans="1:2" x14ac:dyDescent="0.25">
      <c r="A14947" s="104"/>
      <c r="B14947" s="104"/>
    </row>
    <row r="14948" spans="1:2" x14ac:dyDescent="0.25">
      <c r="A14948" s="104"/>
      <c r="B14948" s="104"/>
    </row>
    <row r="14949" spans="1:2" x14ac:dyDescent="0.25">
      <c r="A14949" s="104"/>
      <c r="B14949" s="104"/>
    </row>
    <row r="14950" spans="1:2" x14ac:dyDescent="0.25">
      <c r="A14950" s="104"/>
      <c r="B14950" s="104"/>
    </row>
    <row r="14951" spans="1:2" x14ac:dyDescent="0.25">
      <c r="A14951" s="104"/>
      <c r="B14951" s="104"/>
    </row>
    <row r="14952" spans="1:2" x14ac:dyDescent="0.25">
      <c r="A14952" s="104"/>
      <c r="B14952" s="104"/>
    </row>
    <row r="14953" spans="1:2" x14ac:dyDescent="0.25">
      <c r="A14953" s="104"/>
      <c r="B14953" s="104"/>
    </row>
    <row r="14954" spans="1:2" x14ac:dyDescent="0.25">
      <c r="A14954" s="104"/>
      <c r="B14954" s="104"/>
    </row>
    <row r="14955" spans="1:2" x14ac:dyDescent="0.25">
      <c r="A14955" s="104"/>
      <c r="B14955" s="104"/>
    </row>
    <row r="14956" spans="1:2" x14ac:dyDescent="0.25">
      <c r="A14956" s="104"/>
      <c r="B14956" s="104"/>
    </row>
    <row r="14957" spans="1:2" x14ac:dyDescent="0.25">
      <c r="A14957" s="104"/>
      <c r="B14957" s="104"/>
    </row>
    <row r="14958" spans="1:2" x14ac:dyDescent="0.25">
      <c r="A14958" s="104"/>
      <c r="B14958" s="104"/>
    </row>
    <row r="14959" spans="1:2" x14ac:dyDescent="0.25">
      <c r="A14959" s="104"/>
      <c r="B14959" s="104"/>
    </row>
    <row r="14960" spans="1:2" x14ac:dyDescent="0.25">
      <c r="A14960" s="104"/>
      <c r="B14960" s="104"/>
    </row>
    <row r="14961" spans="1:2" x14ac:dyDescent="0.25">
      <c r="A14961" s="104"/>
      <c r="B14961" s="104"/>
    </row>
    <row r="14962" spans="1:2" x14ac:dyDescent="0.25">
      <c r="A14962" s="104"/>
      <c r="B14962" s="104"/>
    </row>
    <row r="14963" spans="1:2" x14ac:dyDescent="0.25">
      <c r="A14963" s="104"/>
      <c r="B14963" s="104"/>
    </row>
    <row r="14964" spans="1:2" x14ac:dyDescent="0.25">
      <c r="A14964" s="104"/>
      <c r="B14964" s="104"/>
    </row>
    <row r="14965" spans="1:2" x14ac:dyDescent="0.25">
      <c r="A14965" s="104"/>
      <c r="B14965" s="104"/>
    </row>
    <row r="14966" spans="1:2" x14ac:dyDescent="0.25">
      <c r="A14966" s="104"/>
      <c r="B14966" s="104"/>
    </row>
    <row r="14967" spans="1:2" x14ac:dyDescent="0.25">
      <c r="A14967" s="104"/>
      <c r="B14967" s="104"/>
    </row>
    <row r="14968" spans="1:2" x14ac:dyDescent="0.25">
      <c r="A14968" s="104"/>
      <c r="B14968" s="104"/>
    </row>
    <row r="14969" spans="1:2" x14ac:dyDescent="0.25">
      <c r="A14969" s="104"/>
      <c r="B14969" s="104"/>
    </row>
    <row r="14970" spans="1:2" x14ac:dyDescent="0.25">
      <c r="A14970" s="104"/>
      <c r="B14970" s="104"/>
    </row>
    <row r="14971" spans="1:2" x14ac:dyDescent="0.25">
      <c r="A14971" s="104"/>
      <c r="B14971" s="104"/>
    </row>
    <row r="14972" spans="1:2" x14ac:dyDescent="0.25">
      <c r="A14972" s="104"/>
      <c r="B14972" s="104"/>
    </row>
    <row r="14973" spans="1:2" x14ac:dyDescent="0.25">
      <c r="A14973" s="104"/>
      <c r="B14973" s="104"/>
    </row>
    <row r="14974" spans="1:2" x14ac:dyDescent="0.25">
      <c r="A14974" s="104"/>
      <c r="B14974" s="104"/>
    </row>
    <row r="14975" spans="1:2" x14ac:dyDescent="0.25">
      <c r="A14975" s="104"/>
      <c r="B14975" s="104"/>
    </row>
    <row r="14976" spans="1:2" x14ac:dyDescent="0.25">
      <c r="A14976" s="104"/>
      <c r="B14976" s="104"/>
    </row>
    <row r="14977" spans="1:2" x14ac:dyDescent="0.25">
      <c r="A14977" s="104"/>
      <c r="B14977" s="104"/>
    </row>
    <row r="14978" spans="1:2" x14ac:dyDescent="0.25">
      <c r="A14978" s="104"/>
      <c r="B14978" s="104"/>
    </row>
    <row r="14979" spans="1:2" x14ac:dyDescent="0.25">
      <c r="A14979" s="104"/>
      <c r="B14979" s="104"/>
    </row>
    <row r="14980" spans="1:2" x14ac:dyDescent="0.25">
      <c r="A14980" s="104"/>
      <c r="B14980" s="104"/>
    </row>
    <row r="14981" spans="1:2" x14ac:dyDescent="0.25">
      <c r="A14981" s="104"/>
      <c r="B14981" s="104"/>
    </row>
    <row r="14982" spans="1:2" x14ac:dyDescent="0.25">
      <c r="A14982" s="104"/>
      <c r="B14982" s="104"/>
    </row>
    <row r="14983" spans="1:2" x14ac:dyDescent="0.25">
      <c r="A14983" s="104"/>
      <c r="B14983" s="104"/>
    </row>
    <row r="14984" spans="1:2" x14ac:dyDescent="0.25">
      <c r="A14984" s="104"/>
      <c r="B14984" s="104"/>
    </row>
    <row r="14985" spans="1:2" x14ac:dyDescent="0.25">
      <c r="A14985" s="104"/>
      <c r="B14985" s="104"/>
    </row>
    <row r="14986" spans="1:2" x14ac:dyDescent="0.25">
      <c r="A14986" s="104"/>
      <c r="B14986" s="104"/>
    </row>
    <row r="14987" spans="1:2" x14ac:dyDescent="0.25">
      <c r="A14987" s="104"/>
      <c r="B14987" s="104"/>
    </row>
    <row r="14988" spans="1:2" x14ac:dyDescent="0.25">
      <c r="A14988" s="104"/>
      <c r="B14988" s="104"/>
    </row>
    <row r="14989" spans="1:2" x14ac:dyDescent="0.25">
      <c r="A14989" s="104"/>
      <c r="B14989" s="104"/>
    </row>
    <row r="14990" spans="1:2" x14ac:dyDescent="0.25">
      <c r="A14990" s="104"/>
      <c r="B14990" s="104"/>
    </row>
    <row r="14991" spans="1:2" x14ac:dyDescent="0.25">
      <c r="A14991" s="104"/>
      <c r="B14991" s="104"/>
    </row>
    <row r="14992" spans="1:2" x14ac:dyDescent="0.25">
      <c r="A14992" s="104"/>
      <c r="B14992" s="104"/>
    </row>
    <row r="14993" spans="1:2" x14ac:dyDescent="0.25">
      <c r="A14993" s="104"/>
      <c r="B14993" s="104"/>
    </row>
    <row r="14994" spans="1:2" x14ac:dyDescent="0.25">
      <c r="A14994" s="104"/>
      <c r="B14994" s="104"/>
    </row>
    <row r="14995" spans="1:2" x14ac:dyDescent="0.25">
      <c r="A14995" s="104"/>
      <c r="B14995" s="104"/>
    </row>
    <row r="14996" spans="1:2" x14ac:dyDescent="0.25">
      <c r="A14996" s="104"/>
      <c r="B14996" s="104"/>
    </row>
    <row r="14997" spans="1:2" x14ac:dyDescent="0.25">
      <c r="A14997" s="104"/>
      <c r="B14997" s="104"/>
    </row>
    <row r="14998" spans="1:2" x14ac:dyDescent="0.25">
      <c r="A14998" s="104"/>
      <c r="B14998" s="104"/>
    </row>
    <row r="14999" spans="1:2" x14ac:dyDescent="0.25">
      <c r="A14999" s="104"/>
      <c r="B14999" s="104"/>
    </row>
    <row r="15000" spans="1:2" x14ac:dyDescent="0.25">
      <c r="A15000" s="104"/>
      <c r="B15000" s="104"/>
    </row>
    <row r="15001" spans="1:2" x14ac:dyDescent="0.25">
      <c r="A15001" s="104"/>
      <c r="B15001" s="104"/>
    </row>
    <row r="15002" spans="1:2" x14ac:dyDescent="0.25">
      <c r="A15002" s="104"/>
      <c r="B15002" s="104"/>
    </row>
    <row r="15003" spans="1:2" x14ac:dyDescent="0.25">
      <c r="A15003" s="104"/>
      <c r="B15003" s="104"/>
    </row>
    <row r="15004" spans="1:2" x14ac:dyDescent="0.25">
      <c r="A15004" s="104"/>
      <c r="B15004" s="104"/>
    </row>
    <row r="15005" spans="1:2" x14ac:dyDescent="0.25">
      <c r="A15005" s="104"/>
      <c r="B15005" s="104"/>
    </row>
    <row r="15006" spans="1:2" x14ac:dyDescent="0.25">
      <c r="A15006" s="104"/>
      <c r="B15006" s="104"/>
    </row>
    <row r="15007" spans="1:2" x14ac:dyDescent="0.25">
      <c r="A15007" s="104"/>
      <c r="B15007" s="104"/>
    </row>
    <row r="15008" spans="1:2" x14ac:dyDescent="0.25">
      <c r="A15008" s="104"/>
      <c r="B15008" s="104"/>
    </row>
    <row r="15009" spans="1:2" x14ac:dyDescent="0.25">
      <c r="A15009" s="104"/>
      <c r="B15009" s="104"/>
    </row>
    <row r="15010" spans="1:2" x14ac:dyDescent="0.25">
      <c r="A15010" s="104"/>
      <c r="B15010" s="104"/>
    </row>
    <row r="15011" spans="1:2" x14ac:dyDescent="0.25">
      <c r="A15011" s="104"/>
      <c r="B15011" s="104"/>
    </row>
    <row r="15012" spans="1:2" x14ac:dyDescent="0.25">
      <c r="A15012" s="104"/>
      <c r="B15012" s="104"/>
    </row>
    <row r="15013" spans="1:2" x14ac:dyDescent="0.25">
      <c r="A15013" s="104"/>
      <c r="B15013" s="104"/>
    </row>
    <row r="15014" spans="1:2" x14ac:dyDescent="0.25">
      <c r="A15014" s="104"/>
      <c r="B15014" s="104"/>
    </row>
    <row r="15015" spans="1:2" x14ac:dyDescent="0.25">
      <c r="A15015" s="104"/>
      <c r="B15015" s="104"/>
    </row>
    <row r="15016" spans="1:2" x14ac:dyDescent="0.25">
      <c r="A15016" s="104"/>
      <c r="B15016" s="104"/>
    </row>
    <row r="15017" spans="1:2" x14ac:dyDescent="0.25">
      <c r="A15017" s="104"/>
      <c r="B15017" s="104"/>
    </row>
    <row r="15018" spans="1:2" x14ac:dyDescent="0.25">
      <c r="A15018" s="104"/>
      <c r="B15018" s="104"/>
    </row>
    <row r="15019" spans="1:2" x14ac:dyDescent="0.25">
      <c r="A15019" s="104"/>
      <c r="B15019" s="104"/>
    </row>
    <row r="15020" spans="1:2" x14ac:dyDescent="0.25">
      <c r="A15020" s="104"/>
      <c r="B15020" s="104"/>
    </row>
    <row r="15021" spans="1:2" x14ac:dyDescent="0.25">
      <c r="A15021" s="104"/>
      <c r="B15021" s="104"/>
    </row>
    <row r="15022" spans="1:2" x14ac:dyDescent="0.25">
      <c r="A15022" s="104"/>
      <c r="B15022" s="104"/>
    </row>
    <row r="15023" spans="1:2" x14ac:dyDescent="0.25">
      <c r="A15023" s="104"/>
      <c r="B15023" s="104"/>
    </row>
    <row r="15024" spans="1:2" x14ac:dyDescent="0.25">
      <c r="A15024" s="104"/>
      <c r="B15024" s="104"/>
    </row>
    <row r="15025" spans="1:2" x14ac:dyDescent="0.25">
      <c r="A15025" s="104"/>
      <c r="B15025" s="104"/>
    </row>
    <row r="15026" spans="1:2" x14ac:dyDescent="0.25">
      <c r="A15026" s="104"/>
      <c r="B15026" s="104"/>
    </row>
    <row r="15027" spans="1:2" x14ac:dyDescent="0.25">
      <c r="A15027" s="104"/>
      <c r="B15027" s="104"/>
    </row>
    <row r="15028" spans="1:2" x14ac:dyDescent="0.25">
      <c r="A15028" s="104"/>
      <c r="B15028" s="104"/>
    </row>
    <row r="15029" spans="1:2" x14ac:dyDescent="0.25">
      <c r="A15029" s="104"/>
      <c r="B15029" s="104"/>
    </row>
    <row r="15030" spans="1:2" x14ac:dyDescent="0.25">
      <c r="A15030" s="104"/>
      <c r="B15030" s="104"/>
    </row>
    <row r="15031" spans="1:2" x14ac:dyDescent="0.25">
      <c r="A15031" s="104"/>
      <c r="B15031" s="104"/>
    </row>
    <row r="15032" spans="1:2" x14ac:dyDescent="0.25">
      <c r="A15032" s="104"/>
      <c r="B15032" s="104"/>
    </row>
    <row r="15033" spans="1:2" x14ac:dyDescent="0.25">
      <c r="A15033" s="104"/>
      <c r="B15033" s="104"/>
    </row>
    <row r="15034" spans="1:2" x14ac:dyDescent="0.25">
      <c r="A15034" s="104"/>
      <c r="B15034" s="104"/>
    </row>
    <row r="15035" spans="1:2" x14ac:dyDescent="0.25">
      <c r="A15035" s="104"/>
      <c r="B15035" s="104"/>
    </row>
    <row r="15036" spans="1:2" x14ac:dyDescent="0.25">
      <c r="A15036" s="104"/>
      <c r="B15036" s="104"/>
    </row>
    <row r="15037" spans="1:2" x14ac:dyDescent="0.25">
      <c r="A15037" s="104"/>
      <c r="B15037" s="104"/>
    </row>
    <row r="15038" spans="1:2" x14ac:dyDescent="0.25">
      <c r="A15038" s="104"/>
      <c r="B15038" s="104"/>
    </row>
    <row r="15039" spans="1:2" x14ac:dyDescent="0.25">
      <c r="A15039" s="104"/>
      <c r="B15039" s="104"/>
    </row>
    <row r="15040" spans="1:2" x14ac:dyDescent="0.25">
      <c r="A15040" s="104"/>
      <c r="B15040" s="104"/>
    </row>
    <row r="15041" spans="1:2" x14ac:dyDescent="0.25">
      <c r="A15041" s="104"/>
      <c r="B15041" s="104"/>
    </row>
    <row r="15042" spans="1:2" x14ac:dyDescent="0.25">
      <c r="A15042" s="104"/>
      <c r="B15042" s="104"/>
    </row>
    <row r="15043" spans="1:2" x14ac:dyDescent="0.25">
      <c r="A15043" s="104"/>
      <c r="B15043" s="104"/>
    </row>
    <row r="15044" spans="1:2" x14ac:dyDescent="0.25">
      <c r="A15044" s="104"/>
      <c r="B15044" s="104"/>
    </row>
    <row r="15045" spans="1:2" x14ac:dyDescent="0.25">
      <c r="A15045" s="104"/>
      <c r="B15045" s="104"/>
    </row>
    <row r="15046" spans="1:2" x14ac:dyDescent="0.25">
      <c r="A15046" s="104"/>
      <c r="B15046" s="104"/>
    </row>
    <row r="15047" spans="1:2" x14ac:dyDescent="0.25">
      <c r="A15047" s="104"/>
      <c r="B15047" s="104"/>
    </row>
    <row r="15048" spans="1:2" x14ac:dyDescent="0.25">
      <c r="A15048" s="104"/>
      <c r="B15048" s="104"/>
    </row>
    <row r="15049" spans="1:2" x14ac:dyDescent="0.25">
      <c r="A15049" s="104"/>
      <c r="B15049" s="104"/>
    </row>
    <row r="15050" spans="1:2" x14ac:dyDescent="0.25">
      <c r="A15050" s="104"/>
      <c r="B15050" s="104"/>
    </row>
    <row r="15051" spans="1:2" x14ac:dyDescent="0.25">
      <c r="A15051" s="104"/>
      <c r="B15051" s="104"/>
    </row>
    <row r="15052" spans="1:2" x14ac:dyDescent="0.25">
      <c r="A15052" s="104"/>
      <c r="B15052" s="104"/>
    </row>
    <row r="15053" spans="1:2" x14ac:dyDescent="0.25">
      <c r="A15053" s="104"/>
      <c r="B15053" s="104"/>
    </row>
    <row r="15054" spans="1:2" x14ac:dyDescent="0.25">
      <c r="A15054" s="104"/>
      <c r="B15054" s="104"/>
    </row>
    <row r="15055" spans="1:2" x14ac:dyDescent="0.25">
      <c r="A15055" s="104"/>
      <c r="B15055" s="104"/>
    </row>
    <row r="15056" spans="1:2" x14ac:dyDescent="0.25">
      <c r="A15056" s="104"/>
      <c r="B15056" s="104"/>
    </row>
    <row r="15057" spans="1:2" x14ac:dyDescent="0.25">
      <c r="A15057" s="104"/>
      <c r="B15057" s="104"/>
    </row>
    <row r="15058" spans="1:2" x14ac:dyDescent="0.25">
      <c r="A15058" s="104"/>
      <c r="B15058" s="104"/>
    </row>
    <row r="15059" spans="1:2" x14ac:dyDescent="0.25">
      <c r="A15059" s="104"/>
      <c r="B15059" s="104"/>
    </row>
    <row r="15060" spans="1:2" x14ac:dyDescent="0.25">
      <c r="A15060" s="104"/>
      <c r="B15060" s="104"/>
    </row>
    <row r="15061" spans="1:2" x14ac:dyDescent="0.25">
      <c r="A15061" s="104"/>
      <c r="B15061" s="104"/>
    </row>
    <row r="15062" spans="1:2" x14ac:dyDescent="0.25">
      <c r="A15062" s="104"/>
      <c r="B15062" s="104"/>
    </row>
    <row r="15063" spans="1:2" x14ac:dyDescent="0.25">
      <c r="A15063" s="104"/>
      <c r="B15063" s="104"/>
    </row>
    <row r="15064" spans="1:2" x14ac:dyDescent="0.25">
      <c r="A15064" s="104"/>
      <c r="B15064" s="104"/>
    </row>
    <row r="15065" spans="1:2" x14ac:dyDescent="0.25">
      <c r="A15065" s="104"/>
      <c r="B15065" s="104"/>
    </row>
    <row r="15066" spans="1:2" x14ac:dyDescent="0.25">
      <c r="A15066" s="104"/>
      <c r="B15066" s="104"/>
    </row>
    <row r="15067" spans="1:2" x14ac:dyDescent="0.25">
      <c r="A15067" s="104"/>
      <c r="B15067" s="104"/>
    </row>
    <row r="15068" spans="1:2" x14ac:dyDescent="0.25">
      <c r="A15068" s="104"/>
      <c r="B15068" s="104"/>
    </row>
    <row r="15069" spans="1:2" x14ac:dyDescent="0.25">
      <c r="A15069" s="104"/>
      <c r="B15069" s="104"/>
    </row>
    <row r="15070" spans="1:2" x14ac:dyDescent="0.25">
      <c r="A15070" s="104"/>
      <c r="B15070" s="104"/>
    </row>
    <row r="15071" spans="1:2" x14ac:dyDescent="0.25">
      <c r="A15071" s="104"/>
      <c r="B15071" s="104"/>
    </row>
    <row r="15072" spans="1:2" x14ac:dyDescent="0.25">
      <c r="A15072" s="104"/>
      <c r="B15072" s="104"/>
    </row>
    <row r="15073" spans="1:2" x14ac:dyDescent="0.25">
      <c r="A15073" s="104"/>
      <c r="B15073" s="104"/>
    </row>
    <row r="15074" spans="1:2" x14ac:dyDescent="0.25">
      <c r="A15074" s="104"/>
      <c r="B15074" s="104"/>
    </row>
    <row r="15075" spans="1:2" x14ac:dyDescent="0.25">
      <c r="A15075" s="104"/>
      <c r="B15075" s="104"/>
    </row>
    <row r="15076" spans="1:2" x14ac:dyDescent="0.25">
      <c r="A15076" s="104"/>
      <c r="B15076" s="104"/>
    </row>
    <row r="15077" spans="1:2" x14ac:dyDescent="0.25">
      <c r="A15077" s="104"/>
      <c r="B15077" s="104"/>
    </row>
    <row r="15078" spans="1:2" x14ac:dyDescent="0.25">
      <c r="A15078" s="104"/>
      <c r="B15078" s="104"/>
    </row>
    <row r="15079" spans="1:2" x14ac:dyDescent="0.25">
      <c r="A15079" s="104"/>
      <c r="B15079" s="104"/>
    </row>
    <row r="15080" spans="1:2" x14ac:dyDescent="0.25">
      <c r="A15080" s="104"/>
      <c r="B15080" s="104"/>
    </row>
    <row r="15081" spans="1:2" x14ac:dyDescent="0.25">
      <c r="A15081" s="104"/>
      <c r="B15081" s="104"/>
    </row>
    <row r="15082" spans="1:2" x14ac:dyDescent="0.25">
      <c r="A15082" s="104"/>
      <c r="B15082" s="104"/>
    </row>
    <row r="15083" spans="1:2" x14ac:dyDescent="0.25">
      <c r="A15083" s="104"/>
      <c r="B15083" s="104"/>
    </row>
    <row r="15084" spans="1:2" x14ac:dyDescent="0.25">
      <c r="A15084" s="104"/>
      <c r="B15084" s="104"/>
    </row>
    <row r="15085" spans="1:2" x14ac:dyDescent="0.25">
      <c r="A15085" s="104"/>
      <c r="B15085" s="104"/>
    </row>
    <row r="15086" spans="1:2" x14ac:dyDescent="0.25">
      <c r="A15086" s="104"/>
      <c r="B15086" s="104"/>
    </row>
    <row r="15087" spans="1:2" x14ac:dyDescent="0.25">
      <c r="A15087" s="104"/>
      <c r="B15087" s="104"/>
    </row>
    <row r="15088" spans="1:2" x14ac:dyDescent="0.25">
      <c r="A15088" s="104"/>
      <c r="B15088" s="104"/>
    </row>
    <row r="15089" spans="1:2" x14ac:dyDescent="0.25">
      <c r="A15089" s="104"/>
      <c r="B15089" s="104"/>
    </row>
    <row r="15090" spans="1:2" x14ac:dyDescent="0.25">
      <c r="A15090" s="104"/>
      <c r="B15090" s="104"/>
    </row>
    <row r="15091" spans="1:2" x14ac:dyDescent="0.25">
      <c r="A15091" s="104"/>
      <c r="B15091" s="104"/>
    </row>
    <row r="15092" spans="1:2" x14ac:dyDescent="0.25">
      <c r="A15092" s="104"/>
      <c r="B15092" s="104"/>
    </row>
    <row r="15093" spans="1:2" x14ac:dyDescent="0.25">
      <c r="A15093" s="104"/>
      <c r="B15093" s="104"/>
    </row>
    <row r="15094" spans="1:2" x14ac:dyDescent="0.25">
      <c r="A15094" s="104"/>
      <c r="B15094" s="104"/>
    </row>
    <row r="15095" spans="1:2" x14ac:dyDescent="0.25">
      <c r="A15095" s="104"/>
      <c r="B15095" s="104"/>
    </row>
    <row r="15096" spans="1:2" x14ac:dyDescent="0.25">
      <c r="A15096" s="104"/>
      <c r="B15096" s="104"/>
    </row>
    <row r="15097" spans="1:2" x14ac:dyDescent="0.25">
      <c r="A15097" s="104"/>
      <c r="B15097" s="104"/>
    </row>
    <row r="15098" spans="1:2" x14ac:dyDescent="0.25">
      <c r="A15098" s="104"/>
      <c r="B15098" s="104"/>
    </row>
    <row r="15099" spans="1:2" x14ac:dyDescent="0.25">
      <c r="A15099" s="104"/>
      <c r="B15099" s="104"/>
    </row>
    <row r="15100" spans="1:2" x14ac:dyDescent="0.25">
      <c r="A15100" s="104"/>
      <c r="B15100" s="104"/>
    </row>
    <row r="15101" spans="1:2" x14ac:dyDescent="0.25">
      <c r="A15101" s="104"/>
      <c r="B15101" s="104"/>
    </row>
    <row r="15102" spans="1:2" x14ac:dyDescent="0.25">
      <c r="A15102" s="104"/>
      <c r="B15102" s="104"/>
    </row>
    <row r="15103" spans="1:2" x14ac:dyDescent="0.25">
      <c r="A15103" s="104"/>
      <c r="B15103" s="104"/>
    </row>
    <row r="15104" spans="1:2" x14ac:dyDescent="0.25">
      <c r="A15104" s="104"/>
      <c r="B15104" s="104"/>
    </row>
    <row r="15105" spans="1:2" x14ac:dyDescent="0.25">
      <c r="A15105" s="104"/>
      <c r="B15105" s="104"/>
    </row>
    <row r="15106" spans="1:2" x14ac:dyDescent="0.25">
      <c r="A15106" s="104"/>
      <c r="B15106" s="104"/>
    </row>
    <row r="15107" spans="1:2" x14ac:dyDescent="0.25">
      <c r="A15107" s="104"/>
      <c r="B15107" s="104"/>
    </row>
    <row r="15108" spans="1:2" x14ac:dyDescent="0.25">
      <c r="A15108" s="104"/>
      <c r="B15108" s="104"/>
    </row>
    <row r="15109" spans="1:2" x14ac:dyDescent="0.25">
      <c r="A15109" s="104"/>
      <c r="B15109" s="104"/>
    </row>
    <row r="15110" spans="1:2" x14ac:dyDescent="0.25">
      <c r="A15110" s="104"/>
      <c r="B15110" s="104"/>
    </row>
    <row r="15111" spans="1:2" x14ac:dyDescent="0.25">
      <c r="A15111" s="104"/>
      <c r="B15111" s="104"/>
    </row>
    <row r="15112" spans="1:2" x14ac:dyDescent="0.25">
      <c r="A15112" s="104"/>
      <c r="B15112" s="104"/>
    </row>
    <row r="15113" spans="1:2" x14ac:dyDescent="0.25">
      <c r="A15113" s="104"/>
      <c r="B15113" s="104"/>
    </row>
    <row r="15114" spans="1:2" x14ac:dyDescent="0.25">
      <c r="A15114" s="104"/>
      <c r="B15114" s="104"/>
    </row>
    <row r="15115" spans="1:2" x14ac:dyDescent="0.25">
      <c r="A15115" s="104"/>
      <c r="B15115" s="104"/>
    </row>
    <row r="15116" spans="1:2" x14ac:dyDescent="0.25">
      <c r="A15116" s="104"/>
      <c r="B15116" s="104"/>
    </row>
    <row r="15117" spans="1:2" x14ac:dyDescent="0.25">
      <c r="A15117" s="104"/>
      <c r="B15117" s="104"/>
    </row>
    <row r="15118" spans="1:2" x14ac:dyDescent="0.25">
      <c r="A15118" s="104"/>
      <c r="B15118" s="104"/>
    </row>
    <row r="15119" spans="1:2" x14ac:dyDescent="0.25">
      <c r="A15119" s="104"/>
      <c r="B15119" s="104"/>
    </row>
    <row r="15120" spans="1:2" x14ac:dyDescent="0.25">
      <c r="A15120" s="104"/>
      <c r="B15120" s="104"/>
    </row>
    <row r="15121" spans="1:2" x14ac:dyDescent="0.25">
      <c r="A15121" s="104"/>
      <c r="B15121" s="104"/>
    </row>
    <row r="15122" spans="1:2" x14ac:dyDescent="0.25">
      <c r="A15122" s="104"/>
      <c r="B15122" s="104"/>
    </row>
    <row r="15123" spans="1:2" x14ac:dyDescent="0.25">
      <c r="A15123" s="104"/>
      <c r="B15123" s="104"/>
    </row>
    <row r="15124" spans="1:2" x14ac:dyDescent="0.25">
      <c r="A15124" s="104"/>
      <c r="B15124" s="104"/>
    </row>
    <row r="15125" spans="1:2" x14ac:dyDescent="0.25">
      <c r="A15125" s="104"/>
      <c r="B15125" s="104"/>
    </row>
    <row r="15126" spans="1:2" x14ac:dyDescent="0.25">
      <c r="A15126" s="104"/>
      <c r="B15126" s="104"/>
    </row>
    <row r="15127" spans="1:2" x14ac:dyDescent="0.25">
      <c r="A15127" s="104"/>
      <c r="B15127" s="104"/>
    </row>
    <row r="15128" spans="1:2" x14ac:dyDescent="0.25">
      <c r="A15128" s="104"/>
      <c r="B15128" s="104"/>
    </row>
    <row r="15129" spans="1:2" x14ac:dyDescent="0.25">
      <c r="A15129" s="104"/>
      <c r="B15129" s="104"/>
    </row>
    <row r="15130" spans="1:2" x14ac:dyDescent="0.25">
      <c r="A15130" s="104"/>
      <c r="B15130" s="104"/>
    </row>
    <row r="15131" spans="1:2" x14ac:dyDescent="0.25">
      <c r="A15131" s="104"/>
      <c r="B15131" s="104"/>
    </row>
    <row r="15132" spans="1:2" x14ac:dyDescent="0.25">
      <c r="A15132" s="104"/>
      <c r="B15132" s="104"/>
    </row>
    <row r="15133" spans="1:2" x14ac:dyDescent="0.25">
      <c r="A15133" s="104"/>
      <c r="B15133" s="104"/>
    </row>
    <row r="15134" spans="1:2" x14ac:dyDescent="0.25">
      <c r="A15134" s="104"/>
      <c r="B15134" s="104"/>
    </row>
    <row r="15135" spans="1:2" x14ac:dyDescent="0.25">
      <c r="A15135" s="104"/>
      <c r="B15135" s="104"/>
    </row>
    <row r="15136" spans="1:2" x14ac:dyDescent="0.25">
      <c r="A15136" s="104"/>
      <c r="B15136" s="104"/>
    </row>
    <row r="15137" spans="1:2" x14ac:dyDescent="0.25">
      <c r="A15137" s="104"/>
      <c r="B15137" s="104"/>
    </row>
    <row r="15138" spans="1:2" x14ac:dyDescent="0.25">
      <c r="A15138" s="104"/>
      <c r="B15138" s="104"/>
    </row>
    <row r="15139" spans="1:2" x14ac:dyDescent="0.25">
      <c r="A15139" s="104"/>
      <c r="B15139" s="104"/>
    </row>
    <row r="15140" spans="1:2" x14ac:dyDescent="0.25">
      <c r="A15140" s="104"/>
      <c r="B15140" s="104"/>
    </row>
    <row r="15141" spans="1:2" x14ac:dyDescent="0.25">
      <c r="A15141" s="104"/>
      <c r="B15141" s="104"/>
    </row>
    <row r="15142" spans="1:2" x14ac:dyDescent="0.25">
      <c r="A15142" s="104"/>
      <c r="B15142" s="104"/>
    </row>
    <row r="15143" spans="1:2" x14ac:dyDescent="0.25">
      <c r="A15143" s="104"/>
      <c r="B15143" s="104"/>
    </row>
    <row r="15144" spans="1:2" x14ac:dyDescent="0.25">
      <c r="A15144" s="104"/>
      <c r="B15144" s="104"/>
    </row>
    <row r="15145" spans="1:2" x14ac:dyDescent="0.25">
      <c r="A15145" s="104"/>
      <c r="B15145" s="104"/>
    </row>
    <row r="15146" spans="1:2" x14ac:dyDescent="0.25">
      <c r="A15146" s="104"/>
      <c r="B15146" s="104"/>
    </row>
    <row r="15147" spans="1:2" x14ac:dyDescent="0.25">
      <c r="A15147" s="104"/>
      <c r="B15147" s="104"/>
    </row>
    <row r="15148" spans="1:2" x14ac:dyDescent="0.25">
      <c r="A15148" s="104"/>
      <c r="B15148" s="104"/>
    </row>
    <row r="15149" spans="1:2" x14ac:dyDescent="0.25">
      <c r="A15149" s="104"/>
      <c r="B15149" s="104"/>
    </row>
    <row r="15150" spans="1:2" x14ac:dyDescent="0.25">
      <c r="A15150" s="104"/>
      <c r="B15150" s="104"/>
    </row>
    <row r="15151" spans="1:2" x14ac:dyDescent="0.25">
      <c r="A15151" s="104"/>
      <c r="B15151" s="104"/>
    </row>
    <row r="15152" spans="1:2" x14ac:dyDescent="0.25">
      <c r="A15152" s="104"/>
      <c r="B15152" s="104"/>
    </row>
    <row r="15153" spans="1:2" x14ac:dyDescent="0.25">
      <c r="A15153" s="104"/>
      <c r="B15153" s="104"/>
    </row>
    <row r="15154" spans="1:2" x14ac:dyDescent="0.25">
      <c r="A15154" s="104"/>
      <c r="B15154" s="104"/>
    </row>
    <row r="15155" spans="1:2" x14ac:dyDescent="0.25">
      <c r="A15155" s="104"/>
      <c r="B15155" s="104"/>
    </row>
    <row r="15156" spans="1:2" x14ac:dyDescent="0.25">
      <c r="A15156" s="104"/>
      <c r="B15156" s="104"/>
    </row>
    <row r="15157" spans="1:2" x14ac:dyDescent="0.25">
      <c r="A15157" s="104"/>
      <c r="B15157" s="104"/>
    </row>
    <row r="15158" spans="1:2" x14ac:dyDescent="0.25">
      <c r="A15158" s="104"/>
      <c r="B15158" s="104"/>
    </row>
    <row r="15159" spans="1:2" x14ac:dyDescent="0.25">
      <c r="A15159" s="104"/>
      <c r="B15159" s="104"/>
    </row>
    <row r="15160" spans="1:2" x14ac:dyDescent="0.25">
      <c r="A15160" s="104"/>
      <c r="B15160" s="104"/>
    </row>
    <row r="15161" spans="1:2" x14ac:dyDescent="0.25">
      <c r="A15161" s="104"/>
      <c r="B15161" s="104"/>
    </row>
    <row r="15162" spans="1:2" x14ac:dyDescent="0.25">
      <c r="A15162" s="104"/>
      <c r="B15162" s="104"/>
    </row>
    <row r="15163" spans="1:2" x14ac:dyDescent="0.25">
      <c r="A15163" s="104"/>
      <c r="B15163" s="104"/>
    </row>
    <row r="15164" spans="1:2" x14ac:dyDescent="0.25">
      <c r="A15164" s="104"/>
      <c r="B15164" s="104"/>
    </row>
    <row r="15165" spans="1:2" x14ac:dyDescent="0.25">
      <c r="A15165" s="104"/>
      <c r="B15165" s="104"/>
    </row>
    <row r="15166" spans="1:2" x14ac:dyDescent="0.25">
      <c r="A15166" s="104"/>
      <c r="B15166" s="104"/>
    </row>
    <row r="15167" spans="1:2" x14ac:dyDescent="0.25">
      <c r="A15167" s="104"/>
      <c r="B15167" s="104"/>
    </row>
    <row r="15168" spans="1:2" x14ac:dyDescent="0.25">
      <c r="A15168" s="104"/>
      <c r="B15168" s="104"/>
    </row>
    <row r="15169" spans="1:2" x14ac:dyDescent="0.25">
      <c r="A15169" s="104"/>
      <c r="B15169" s="104"/>
    </row>
    <row r="15170" spans="1:2" x14ac:dyDescent="0.25">
      <c r="A15170" s="104"/>
      <c r="B15170" s="104"/>
    </row>
    <row r="15171" spans="1:2" x14ac:dyDescent="0.25">
      <c r="A15171" s="104"/>
      <c r="B15171" s="104"/>
    </row>
    <row r="15172" spans="1:2" x14ac:dyDescent="0.25">
      <c r="A15172" s="104"/>
      <c r="B15172" s="104"/>
    </row>
    <row r="15173" spans="1:2" x14ac:dyDescent="0.25">
      <c r="A15173" s="104"/>
      <c r="B15173" s="104"/>
    </row>
    <row r="15174" spans="1:2" x14ac:dyDescent="0.25">
      <c r="A15174" s="104"/>
      <c r="B15174" s="104"/>
    </row>
    <row r="15175" spans="1:2" x14ac:dyDescent="0.25">
      <c r="A15175" s="104"/>
      <c r="B15175" s="104"/>
    </row>
    <row r="15176" spans="1:2" x14ac:dyDescent="0.25">
      <c r="A15176" s="104"/>
      <c r="B15176" s="104"/>
    </row>
    <row r="15177" spans="1:2" x14ac:dyDescent="0.25">
      <c r="A15177" s="104"/>
      <c r="B15177" s="104"/>
    </row>
    <row r="15178" spans="1:2" x14ac:dyDescent="0.25">
      <c r="A15178" s="104"/>
      <c r="B15178" s="104"/>
    </row>
    <row r="15179" spans="1:2" x14ac:dyDescent="0.25">
      <c r="A15179" s="104"/>
      <c r="B15179" s="104"/>
    </row>
    <row r="15180" spans="1:2" x14ac:dyDescent="0.25">
      <c r="A15180" s="104"/>
      <c r="B15180" s="104"/>
    </row>
    <row r="15181" spans="1:2" x14ac:dyDescent="0.25">
      <c r="A15181" s="104"/>
      <c r="B15181" s="104"/>
    </row>
    <row r="15182" spans="1:2" x14ac:dyDescent="0.25">
      <c r="A15182" s="104"/>
      <c r="B15182" s="104"/>
    </row>
    <row r="15183" spans="1:2" x14ac:dyDescent="0.25">
      <c r="A15183" s="104"/>
      <c r="B15183" s="104"/>
    </row>
    <row r="15184" spans="1:2" x14ac:dyDescent="0.25">
      <c r="A15184" s="104"/>
      <c r="B15184" s="104"/>
    </row>
    <row r="15185" spans="1:2" x14ac:dyDescent="0.25">
      <c r="A15185" s="104"/>
      <c r="B15185" s="104"/>
    </row>
    <row r="15186" spans="1:2" x14ac:dyDescent="0.25">
      <c r="A15186" s="104"/>
      <c r="B15186" s="104"/>
    </row>
    <row r="15187" spans="1:2" x14ac:dyDescent="0.25">
      <c r="A15187" s="104"/>
      <c r="B15187" s="104"/>
    </row>
    <row r="15188" spans="1:2" x14ac:dyDescent="0.25">
      <c r="A15188" s="104"/>
      <c r="B15188" s="104"/>
    </row>
    <row r="15189" spans="1:2" x14ac:dyDescent="0.25">
      <c r="A15189" s="104"/>
      <c r="B15189" s="104"/>
    </row>
    <row r="15190" spans="1:2" x14ac:dyDescent="0.25">
      <c r="A15190" s="104"/>
      <c r="B15190" s="104"/>
    </row>
    <row r="15191" spans="1:2" x14ac:dyDescent="0.25">
      <c r="A15191" s="104"/>
      <c r="B15191" s="104"/>
    </row>
    <row r="15192" spans="1:2" x14ac:dyDescent="0.25">
      <c r="A15192" s="104"/>
      <c r="B15192" s="104"/>
    </row>
    <row r="15193" spans="1:2" x14ac:dyDescent="0.25">
      <c r="A15193" s="104"/>
      <c r="B15193" s="104"/>
    </row>
    <row r="15194" spans="1:2" x14ac:dyDescent="0.25">
      <c r="A15194" s="104"/>
      <c r="B15194" s="104"/>
    </row>
    <row r="15195" spans="1:2" x14ac:dyDescent="0.25">
      <c r="A15195" s="104"/>
      <c r="B15195" s="104"/>
    </row>
    <row r="15196" spans="1:2" x14ac:dyDescent="0.25">
      <c r="A15196" s="104"/>
      <c r="B15196" s="104"/>
    </row>
    <row r="15197" spans="1:2" x14ac:dyDescent="0.25">
      <c r="A15197" s="104"/>
      <c r="B15197" s="104"/>
    </row>
    <row r="15198" spans="1:2" x14ac:dyDescent="0.25">
      <c r="A15198" s="104"/>
      <c r="B15198" s="104"/>
    </row>
    <row r="15199" spans="1:2" x14ac:dyDescent="0.25">
      <c r="A15199" s="104"/>
      <c r="B15199" s="104"/>
    </row>
    <row r="15200" spans="1:2" x14ac:dyDescent="0.25">
      <c r="A15200" s="104"/>
      <c r="B15200" s="104"/>
    </row>
    <row r="15201" spans="1:2" x14ac:dyDescent="0.25">
      <c r="A15201" s="104"/>
      <c r="B15201" s="104"/>
    </row>
    <row r="15202" spans="1:2" x14ac:dyDescent="0.25">
      <c r="A15202" s="104"/>
      <c r="B15202" s="104"/>
    </row>
    <row r="15203" spans="1:2" x14ac:dyDescent="0.25">
      <c r="A15203" s="104"/>
      <c r="B15203" s="104"/>
    </row>
    <row r="15204" spans="1:2" x14ac:dyDescent="0.25">
      <c r="A15204" s="104"/>
      <c r="B15204" s="104"/>
    </row>
    <row r="15205" spans="1:2" x14ac:dyDescent="0.25">
      <c r="A15205" s="104"/>
      <c r="B15205" s="104"/>
    </row>
    <row r="15206" spans="1:2" x14ac:dyDescent="0.25">
      <c r="A15206" s="104"/>
      <c r="B15206" s="104"/>
    </row>
    <row r="15207" spans="1:2" x14ac:dyDescent="0.25">
      <c r="A15207" s="104"/>
      <c r="B15207" s="104"/>
    </row>
    <row r="15208" spans="1:2" x14ac:dyDescent="0.25">
      <c r="A15208" s="104"/>
      <c r="B15208" s="104"/>
    </row>
    <row r="15209" spans="1:2" x14ac:dyDescent="0.25">
      <c r="A15209" s="104"/>
      <c r="B15209" s="104"/>
    </row>
    <row r="15210" spans="1:2" x14ac:dyDescent="0.25">
      <c r="A15210" s="104"/>
      <c r="B15210" s="104"/>
    </row>
    <row r="15211" spans="1:2" x14ac:dyDescent="0.25">
      <c r="A15211" s="104"/>
      <c r="B15211" s="104"/>
    </row>
    <row r="15212" spans="1:2" x14ac:dyDescent="0.25">
      <c r="A15212" s="104"/>
      <c r="B15212" s="104"/>
    </row>
    <row r="15213" spans="1:2" x14ac:dyDescent="0.25">
      <c r="A15213" s="104"/>
      <c r="B15213" s="104"/>
    </row>
    <row r="15214" spans="1:2" x14ac:dyDescent="0.25">
      <c r="A15214" s="104"/>
      <c r="B15214" s="104"/>
    </row>
    <row r="15215" spans="1:2" x14ac:dyDescent="0.25">
      <c r="A15215" s="104"/>
      <c r="B15215" s="104"/>
    </row>
    <row r="15216" spans="1:2" x14ac:dyDescent="0.25">
      <c r="A15216" s="104"/>
      <c r="B15216" s="104"/>
    </row>
    <row r="15217" spans="1:2" x14ac:dyDescent="0.25">
      <c r="A15217" s="104"/>
      <c r="B15217" s="104"/>
    </row>
    <row r="15218" spans="1:2" x14ac:dyDescent="0.25">
      <c r="A15218" s="104"/>
      <c r="B15218" s="104"/>
    </row>
    <row r="15219" spans="1:2" x14ac:dyDescent="0.25">
      <c r="A15219" s="104"/>
      <c r="B15219" s="104"/>
    </row>
    <row r="15220" spans="1:2" x14ac:dyDescent="0.25">
      <c r="A15220" s="104"/>
      <c r="B15220" s="104"/>
    </row>
    <row r="15221" spans="1:2" x14ac:dyDescent="0.25">
      <c r="A15221" s="104"/>
      <c r="B15221" s="104"/>
    </row>
    <row r="15222" spans="1:2" x14ac:dyDescent="0.25">
      <c r="A15222" s="104"/>
      <c r="B15222" s="104"/>
    </row>
    <row r="15223" spans="1:2" x14ac:dyDescent="0.25">
      <c r="A15223" s="104"/>
      <c r="B15223" s="104"/>
    </row>
    <row r="15224" spans="1:2" x14ac:dyDescent="0.25">
      <c r="A15224" s="104"/>
      <c r="B15224" s="104"/>
    </row>
    <row r="15225" spans="1:2" x14ac:dyDescent="0.25">
      <c r="A15225" s="104"/>
      <c r="B15225" s="104"/>
    </row>
    <row r="15226" spans="1:2" x14ac:dyDescent="0.25">
      <c r="A15226" s="104"/>
      <c r="B15226" s="104"/>
    </row>
    <row r="15227" spans="1:2" x14ac:dyDescent="0.25">
      <c r="A15227" s="104"/>
      <c r="B15227" s="104"/>
    </row>
    <row r="15228" spans="1:2" x14ac:dyDescent="0.25">
      <c r="A15228" s="104"/>
      <c r="B15228" s="104"/>
    </row>
    <row r="15229" spans="1:2" x14ac:dyDescent="0.25">
      <c r="A15229" s="104"/>
      <c r="B15229" s="104"/>
    </row>
    <row r="15230" spans="1:2" x14ac:dyDescent="0.25">
      <c r="A15230" s="104"/>
      <c r="B15230" s="104"/>
    </row>
    <row r="15231" spans="1:2" x14ac:dyDescent="0.25">
      <c r="A15231" s="104"/>
      <c r="B15231" s="104"/>
    </row>
    <row r="15232" spans="1:2" x14ac:dyDescent="0.25">
      <c r="A15232" s="104"/>
      <c r="B15232" s="104"/>
    </row>
    <row r="15233" spans="1:2" x14ac:dyDescent="0.25">
      <c r="A15233" s="104"/>
      <c r="B15233" s="104"/>
    </row>
    <row r="15234" spans="1:2" x14ac:dyDescent="0.25">
      <c r="A15234" s="104"/>
      <c r="B15234" s="104"/>
    </row>
    <row r="15235" spans="1:2" x14ac:dyDescent="0.25">
      <c r="A15235" s="104"/>
      <c r="B15235" s="104"/>
    </row>
    <row r="15236" spans="1:2" x14ac:dyDescent="0.25">
      <c r="A15236" s="104"/>
      <c r="B15236" s="104"/>
    </row>
    <row r="15237" spans="1:2" x14ac:dyDescent="0.25">
      <c r="A15237" s="104"/>
      <c r="B15237" s="104"/>
    </row>
    <row r="15238" spans="1:2" x14ac:dyDescent="0.25">
      <c r="A15238" s="104"/>
      <c r="B15238" s="104"/>
    </row>
    <row r="15239" spans="1:2" x14ac:dyDescent="0.25">
      <c r="A15239" s="104"/>
      <c r="B15239" s="104"/>
    </row>
    <row r="15240" spans="1:2" x14ac:dyDescent="0.25">
      <c r="A15240" s="104"/>
      <c r="B15240" s="104"/>
    </row>
    <row r="15241" spans="1:2" x14ac:dyDescent="0.25">
      <c r="A15241" s="104"/>
      <c r="B15241" s="104"/>
    </row>
    <row r="15242" spans="1:2" x14ac:dyDescent="0.25">
      <c r="A15242" s="104"/>
      <c r="B15242" s="104"/>
    </row>
    <row r="15243" spans="1:2" x14ac:dyDescent="0.25">
      <c r="A15243" s="104"/>
      <c r="B15243" s="104"/>
    </row>
    <row r="15244" spans="1:2" x14ac:dyDescent="0.25">
      <c r="A15244" s="104"/>
      <c r="B15244" s="104"/>
    </row>
    <row r="15245" spans="1:2" x14ac:dyDescent="0.25">
      <c r="A15245" s="104"/>
      <c r="B15245" s="104"/>
    </row>
    <row r="15246" spans="1:2" x14ac:dyDescent="0.25">
      <c r="A15246" s="104"/>
      <c r="B15246" s="104"/>
    </row>
    <row r="15247" spans="1:2" x14ac:dyDescent="0.25">
      <c r="A15247" s="104"/>
      <c r="B15247" s="104"/>
    </row>
    <row r="15248" spans="1:2" x14ac:dyDescent="0.25">
      <c r="A15248" s="104"/>
      <c r="B15248" s="104"/>
    </row>
    <row r="15249" spans="1:2" x14ac:dyDescent="0.25">
      <c r="A15249" s="104"/>
      <c r="B15249" s="104"/>
    </row>
    <row r="15250" spans="1:2" x14ac:dyDescent="0.25">
      <c r="A15250" s="104"/>
      <c r="B15250" s="104"/>
    </row>
    <row r="15251" spans="1:2" x14ac:dyDescent="0.25">
      <c r="A15251" s="104"/>
      <c r="B15251" s="104"/>
    </row>
    <row r="15252" spans="1:2" x14ac:dyDescent="0.25">
      <c r="A15252" s="104"/>
      <c r="B15252" s="104"/>
    </row>
    <row r="15253" spans="1:2" x14ac:dyDescent="0.25">
      <c r="A15253" s="104"/>
      <c r="B15253" s="104"/>
    </row>
    <row r="15254" spans="1:2" x14ac:dyDescent="0.25">
      <c r="A15254" s="104"/>
      <c r="B15254" s="104"/>
    </row>
    <row r="15255" spans="1:2" x14ac:dyDescent="0.25">
      <c r="A15255" s="104"/>
      <c r="B15255" s="104"/>
    </row>
    <row r="15256" spans="1:2" x14ac:dyDescent="0.25">
      <c r="A15256" s="104"/>
      <c r="B15256" s="104"/>
    </row>
    <row r="15257" spans="1:2" x14ac:dyDescent="0.25">
      <c r="A15257" s="104"/>
      <c r="B15257" s="104"/>
    </row>
    <row r="15258" spans="1:2" x14ac:dyDescent="0.25">
      <c r="A15258" s="104"/>
      <c r="B15258" s="104"/>
    </row>
    <row r="15259" spans="1:2" x14ac:dyDescent="0.25">
      <c r="A15259" s="104"/>
      <c r="B15259" s="104"/>
    </row>
    <row r="15260" spans="1:2" x14ac:dyDescent="0.25">
      <c r="A15260" s="104"/>
      <c r="B15260" s="104"/>
    </row>
    <row r="15261" spans="1:2" x14ac:dyDescent="0.25">
      <c r="A15261" s="104"/>
      <c r="B15261" s="104"/>
    </row>
    <row r="15262" spans="1:2" x14ac:dyDescent="0.25">
      <c r="A15262" s="104"/>
      <c r="B15262" s="104"/>
    </row>
    <row r="15263" spans="1:2" x14ac:dyDescent="0.25">
      <c r="A15263" s="104"/>
      <c r="B15263" s="104"/>
    </row>
    <row r="15264" spans="1:2" x14ac:dyDescent="0.25">
      <c r="A15264" s="104"/>
      <c r="B15264" s="104"/>
    </row>
    <row r="15265" spans="1:2" x14ac:dyDescent="0.25">
      <c r="A15265" s="104"/>
      <c r="B15265" s="104"/>
    </row>
    <row r="15266" spans="1:2" x14ac:dyDescent="0.25">
      <c r="A15266" s="104"/>
      <c r="B15266" s="104"/>
    </row>
    <row r="15267" spans="1:2" x14ac:dyDescent="0.25">
      <c r="A15267" s="104"/>
      <c r="B15267" s="104"/>
    </row>
    <row r="15268" spans="1:2" x14ac:dyDescent="0.25">
      <c r="A15268" s="104"/>
      <c r="B15268" s="104"/>
    </row>
    <row r="15269" spans="1:2" x14ac:dyDescent="0.25">
      <c r="A15269" s="104"/>
      <c r="B15269" s="104"/>
    </row>
    <row r="15270" spans="1:2" x14ac:dyDescent="0.25">
      <c r="A15270" s="104"/>
      <c r="B15270" s="104"/>
    </row>
    <row r="15271" spans="1:2" x14ac:dyDescent="0.25">
      <c r="A15271" s="104"/>
      <c r="B15271" s="104"/>
    </row>
    <row r="15272" spans="1:2" x14ac:dyDescent="0.25">
      <c r="A15272" s="104"/>
      <c r="B15272" s="104"/>
    </row>
    <row r="15273" spans="1:2" x14ac:dyDescent="0.25">
      <c r="A15273" s="104"/>
      <c r="B15273" s="104"/>
    </row>
    <row r="15274" spans="1:2" x14ac:dyDescent="0.25">
      <c r="A15274" s="104"/>
      <c r="B15274" s="104"/>
    </row>
    <row r="15275" spans="1:2" x14ac:dyDescent="0.25">
      <c r="A15275" s="104"/>
      <c r="B15275" s="104"/>
    </row>
    <row r="15276" spans="1:2" x14ac:dyDescent="0.25">
      <c r="A15276" s="104"/>
      <c r="B15276" s="104"/>
    </row>
    <row r="15277" spans="1:2" x14ac:dyDescent="0.25">
      <c r="A15277" s="104"/>
      <c r="B15277" s="104"/>
    </row>
    <row r="15278" spans="1:2" x14ac:dyDescent="0.25">
      <c r="A15278" s="104"/>
      <c r="B15278" s="104"/>
    </row>
    <row r="15279" spans="1:2" x14ac:dyDescent="0.25">
      <c r="A15279" s="104"/>
      <c r="B15279" s="104"/>
    </row>
    <row r="15280" spans="1:2" x14ac:dyDescent="0.25">
      <c r="A15280" s="104"/>
      <c r="B15280" s="104"/>
    </row>
    <row r="15281" spans="1:2" x14ac:dyDescent="0.25">
      <c r="A15281" s="104"/>
      <c r="B15281" s="104"/>
    </row>
    <row r="15282" spans="1:2" x14ac:dyDescent="0.25">
      <c r="A15282" s="104"/>
      <c r="B15282" s="104"/>
    </row>
    <row r="15283" spans="1:2" x14ac:dyDescent="0.25">
      <c r="A15283" s="104"/>
      <c r="B15283" s="104"/>
    </row>
    <row r="15284" spans="1:2" x14ac:dyDescent="0.25">
      <c r="A15284" s="104"/>
      <c r="B15284" s="104"/>
    </row>
    <row r="15285" spans="1:2" x14ac:dyDescent="0.25">
      <c r="A15285" s="104"/>
      <c r="B15285" s="104"/>
    </row>
    <row r="15286" spans="1:2" x14ac:dyDescent="0.25">
      <c r="A15286" s="104"/>
      <c r="B15286" s="104"/>
    </row>
    <row r="15287" spans="1:2" x14ac:dyDescent="0.25">
      <c r="A15287" s="104"/>
      <c r="B15287" s="104"/>
    </row>
    <row r="15288" spans="1:2" x14ac:dyDescent="0.25">
      <c r="A15288" s="104"/>
      <c r="B15288" s="104"/>
    </row>
    <row r="15289" spans="1:2" x14ac:dyDescent="0.25">
      <c r="A15289" s="104"/>
      <c r="B15289" s="104"/>
    </row>
    <row r="15290" spans="1:2" x14ac:dyDescent="0.25">
      <c r="A15290" s="104"/>
      <c r="B15290" s="104"/>
    </row>
    <row r="15291" spans="1:2" x14ac:dyDescent="0.25">
      <c r="A15291" s="104"/>
      <c r="B15291" s="104"/>
    </row>
    <row r="15292" spans="1:2" x14ac:dyDescent="0.25">
      <c r="A15292" s="104"/>
      <c r="B15292" s="104"/>
    </row>
    <row r="15293" spans="1:2" x14ac:dyDescent="0.25">
      <c r="A15293" s="104"/>
      <c r="B15293" s="104"/>
    </row>
    <row r="15294" spans="1:2" x14ac:dyDescent="0.25">
      <c r="A15294" s="104"/>
      <c r="B15294" s="104"/>
    </row>
    <row r="15295" spans="1:2" x14ac:dyDescent="0.25">
      <c r="A15295" s="104"/>
      <c r="B15295" s="104"/>
    </row>
    <row r="15296" spans="1:2" x14ac:dyDescent="0.25">
      <c r="A15296" s="104"/>
      <c r="B15296" s="104"/>
    </row>
    <row r="15297" spans="1:2" x14ac:dyDescent="0.25">
      <c r="A15297" s="104"/>
      <c r="B15297" s="104"/>
    </row>
    <row r="15298" spans="1:2" x14ac:dyDescent="0.25">
      <c r="A15298" s="104"/>
      <c r="B15298" s="104"/>
    </row>
    <row r="15299" spans="1:2" x14ac:dyDescent="0.25">
      <c r="A15299" s="104"/>
      <c r="B15299" s="104"/>
    </row>
    <row r="15300" spans="1:2" x14ac:dyDescent="0.25">
      <c r="A15300" s="104"/>
      <c r="B15300" s="104"/>
    </row>
    <row r="15301" spans="1:2" x14ac:dyDescent="0.25">
      <c r="A15301" s="104"/>
      <c r="B15301" s="104"/>
    </row>
    <row r="15302" spans="1:2" x14ac:dyDescent="0.25">
      <c r="A15302" s="104"/>
      <c r="B15302" s="104"/>
    </row>
    <row r="15303" spans="1:2" x14ac:dyDescent="0.25">
      <c r="A15303" s="104"/>
      <c r="B15303" s="104"/>
    </row>
    <row r="15304" spans="1:2" x14ac:dyDescent="0.25">
      <c r="A15304" s="104"/>
      <c r="B15304" s="104"/>
    </row>
    <row r="15305" spans="1:2" x14ac:dyDescent="0.25">
      <c r="A15305" s="104"/>
      <c r="B15305" s="104"/>
    </row>
    <row r="15306" spans="1:2" x14ac:dyDescent="0.25">
      <c r="A15306" s="104"/>
      <c r="B15306" s="104"/>
    </row>
    <row r="15307" spans="1:2" x14ac:dyDescent="0.25">
      <c r="A15307" s="104"/>
      <c r="B15307" s="104"/>
    </row>
    <row r="15308" spans="1:2" x14ac:dyDescent="0.25">
      <c r="A15308" s="104"/>
      <c r="B15308" s="104"/>
    </row>
    <row r="15309" spans="1:2" x14ac:dyDescent="0.25">
      <c r="A15309" s="104"/>
      <c r="B15309" s="104"/>
    </row>
    <row r="15310" spans="1:2" x14ac:dyDescent="0.25">
      <c r="A15310" s="104"/>
      <c r="B15310" s="104"/>
    </row>
    <row r="15311" spans="1:2" x14ac:dyDescent="0.25">
      <c r="A15311" s="104"/>
      <c r="B15311" s="104"/>
    </row>
    <row r="15312" spans="1:2" x14ac:dyDescent="0.25">
      <c r="A15312" s="104"/>
      <c r="B15312" s="104"/>
    </row>
    <row r="15313" spans="1:2" x14ac:dyDescent="0.25">
      <c r="A15313" s="104"/>
      <c r="B15313" s="104"/>
    </row>
    <row r="15314" spans="1:2" x14ac:dyDescent="0.25">
      <c r="A15314" s="104"/>
      <c r="B15314" s="104"/>
    </row>
    <row r="15315" spans="1:2" x14ac:dyDescent="0.25">
      <c r="A15315" s="104"/>
      <c r="B15315" s="104"/>
    </row>
    <row r="15316" spans="1:2" x14ac:dyDescent="0.25">
      <c r="A15316" s="104"/>
      <c r="B15316" s="104"/>
    </row>
    <row r="15317" spans="1:2" x14ac:dyDescent="0.25">
      <c r="A15317" s="104"/>
      <c r="B15317" s="104"/>
    </row>
    <row r="15318" spans="1:2" x14ac:dyDescent="0.25">
      <c r="A15318" s="104"/>
      <c r="B15318" s="104"/>
    </row>
    <row r="15319" spans="1:2" x14ac:dyDescent="0.25">
      <c r="A15319" s="104"/>
      <c r="B15319" s="104"/>
    </row>
    <row r="15320" spans="1:2" x14ac:dyDescent="0.25">
      <c r="A15320" s="104"/>
      <c r="B15320" s="104"/>
    </row>
    <row r="15321" spans="1:2" x14ac:dyDescent="0.25">
      <c r="A15321" s="104"/>
      <c r="B15321" s="104"/>
    </row>
    <row r="15322" spans="1:2" x14ac:dyDescent="0.25">
      <c r="A15322" s="104"/>
      <c r="B15322" s="104"/>
    </row>
    <row r="15323" spans="1:2" x14ac:dyDescent="0.25">
      <c r="A15323" s="104"/>
      <c r="B15323" s="104"/>
    </row>
    <row r="15324" spans="1:2" x14ac:dyDescent="0.25">
      <c r="A15324" s="104"/>
      <c r="B15324" s="104"/>
    </row>
    <row r="15325" spans="1:2" x14ac:dyDescent="0.25">
      <c r="A15325" s="104"/>
      <c r="B15325" s="104"/>
    </row>
    <row r="15326" spans="1:2" x14ac:dyDescent="0.25">
      <c r="A15326" s="104"/>
      <c r="B15326" s="104"/>
    </row>
    <row r="15327" spans="1:2" x14ac:dyDescent="0.25">
      <c r="A15327" s="104"/>
      <c r="B15327" s="104"/>
    </row>
    <row r="15328" spans="1:2" x14ac:dyDescent="0.25">
      <c r="A15328" s="104"/>
      <c r="B15328" s="104"/>
    </row>
    <row r="15329" spans="1:2" x14ac:dyDescent="0.25">
      <c r="A15329" s="104"/>
      <c r="B15329" s="104"/>
    </row>
    <row r="15330" spans="1:2" x14ac:dyDescent="0.25">
      <c r="A15330" s="104"/>
      <c r="B15330" s="104"/>
    </row>
    <row r="15331" spans="1:2" x14ac:dyDescent="0.25">
      <c r="A15331" s="104"/>
      <c r="B15331" s="104"/>
    </row>
    <row r="15332" spans="1:2" x14ac:dyDescent="0.25">
      <c r="A15332" s="104"/>
      <c r="B15332" s="104"/>
    </row>
    <row r="15333" spans="1:2" x14ac:dyDescent="0.25">
      <c r="A15333" s="104"/>
      <c r="B15333" s="104"/>
    </row>
    <row r="15334" spans="1:2" x14ac:dyDescent="0.25">
      <c r="A15334" s="104"/>
      <c r="B15334" s="104"/>
    </row>
    <row r="15335" spans="1:2" x14ac:dyDescent="0.25">
      <c r="A15335" s="104"/>
      <c r="B15335" s="104"/>
    </row>
    <row r="15336" spans="1:2" x14ac:dyDescent="0.25">
      <c r="A15336" s="104"/>
      <c r="B15336" s="104"/>
    </row>
    <row r="15337" spans="1:2" x14ac:dyDescent="0.25">
      <c r="A15337" s="104"/>
      <c r="B15337" s="104"/>
    </row>
    <row r="15338" spans="1:2" x14ac:dyDescent="0.25">
      <c r="A15338" s="104"/>
      <c r="B15338" s="104"/>
    </row>
    <row r="15339" spans="1:2" x14ac:dyDescent="0.25">
      <c r="A15339" s="104"/>
      <c r="B15339" s="104"/>
    </row>
    <row r="15340" spans="1:2" x14ac:dyDescent="0.25">
      <c r="A15340" s="104"/>
      <c r="B15340" s="104"/>
    </row>
    <row r="15341" spans="1:2" x14ac:dyDescent="0.25">
      <c r="A15341" s="104"/>
      <c r="B15341" s="104"/>
    </row>
    <row r="15342" spans="1:2" x14ac:dyDescent="0.25">
      <c r="A15342" s="104"/>
      <c r="B15342" s="104"/>
    </row>
    <row r="15343" spans="1:2" x14ac:dyDescent="0.25">
      <c r="A15343" s="104"/>
      <c r="B15343" s="104"/>
    </row>
    <row r="15344" spans="1:2" x14ac:dyDescent="0.25">
      <c r="A15344" s="104"/>
      <c r="B15344" s="104"/>
    </row>
    <row r="15345" spans="1:2" x14ac:dyDescent="0.25">
      <c r="A15345" s="104"/>
      <c r="B15345" s="104"/>
    </row>
    <row r="15346" spans="1:2" x14ac:dyDescent="0.25">
      <c r="A15346" s="104"/>
      <c r="B15346" s="104"/>
    </row>
    <row r="15347" spans="1:2" x14ac:dyDescent="0.25">
      <c r="A15347" s="104"/>
      <c r="B15347" s="104"/>
    </row>
    <row r="15348" spans="1:2" x14ac:dyDescent="0.25">
      <c r="A15348" s="104"/>
      <c r="B15348" s="104"/>
    </row>
    <row r="15349" spans="1:2" x14ac:dyDescent="0.25">
      <c r="A15349" s="104"/>
      <c r="B15349" s="104"/>
    </row>
    <row r="15350" spans="1:2" x14ac:dyDescent="0.25">
      <c r="A15350" s="104"/>
      <c r="B15350" s="104"/>
    </row>
    <row r="15351" spans="1:2" x14ac:dyDescent="0.25">
      <c r="A15351" s="104"/>
      <c r="B15351" s="104"/>
    </row>
    <row r="15352" spans="1:2" x14ac:dyDescent="0.25">
      <c r="A15352" s="104"/>
      <c r="B15352" s="104"/>
    </row>
    <row r="15353" spans="1:2" x14ac:dyDescent="0.25">
      <c r="A15353" s="104"/>
      <c r="B15353" s="104"/>
    </row>
    <row r="15354" spans="1:2" x14ac:dyDescent="0.25">
      <c r="A15354" s="104"/>
      <c r="B15354" s="104"/>
    </row>
    <row r="15355" spans="1:2" x14ac:dyDescent="0.25">
      <c r="A15355" s="104"/>
      <c r="B15355" s="104"/>
    </row>
    <row r="15356" spans="1:2" x14ac:dyDescent="0.25">
      <c r="A15356" s="104"/>
      <c r="B15356" s="104"/>
    </row>
    <row r="15357" spans="1:2" x14ac:dyDescent="0.25">
      <c r="A15357" s="104"/>
      <c r="B15357" s="104"/>
    </row>
    <row r="15358" spans="1:2" x14ac:dyDescent="0.25">
      <c r="A15358" s="104"/>
      <c r="B15358" s="104"/>
    </row>
    <row r="15359" spans="1:2" x14ac:dyDescent="0.25">
      <c r="A15359" s="104"/>
      <c r="B15359" s="104"/>
    </row>
    <row r="15360" spans="1:2" x14ac:dyDescent="0.25">
      <c r="A15360" s="104"/>
      <c r="B15360" s="104"/>
    </row>
    <row r="15361" spans="1:2" x14ac:dyDescent="0.25">
      <c r="A15361" s="104"/>
      <c r="B15361" s="104"/>
    </row>
    <row r="15362" spans="1:2" x14ac:dyDescent="0.25">
      <c r="A15362" s="104"/>
      <c r="B15362" s="104"/>
    </row>
    <row r="15363" spans="1:2" x14ac:dyDescent="0.25">
      <c r="A15363" s="104"/>
      <c r="B15363" s="104"/>
    </row>
    <row r="15364" spans="1:2" x14ac:dyDescent="0.25">
      <c r="A15364" s="104"/>
      <c r="B15364" s="104"/>
    </row>
    <row r="15365" spans="1:2" x14ac:dyDescent="0.25">
      <c r="A15365" s="104"/>
      <c r="B15365" s="104"/>
    </row>
    <row r="15366" spans="1:2" x14ac:dyDescent="0.25">
      <c r="A15366" s="104"/>
      <c r="B15366" s="104"/>
    </row>
    <row r="15367" spans="1:2" x14ac:dyDescent="0.25">
      <c r="A15367" s="104"/>
      <c r="B15367" s="104"/>
    </row>
    <row r="15368" spans="1:2" x14ac:dyDescent="0.25">
      <c r="A15368" s="104"/>
      <c r="B15368" s="104"/>
    </row>
    <row r="15369" spans="1:2" x14ac:dyDescent="0.25">
      <c r="A15369" s="104"/>
      <c r="B15369" s="104"/>
    </row>
    <row r="15370" spans="1:2" x14ac:dyDescent="0.25">
      <c r="A15370" s="104"/>
      <c r="B15370" s="104"/>
    </row>
    <row r="15371" spans="1:2" x14ac:dyDescent="0.25">
      <c r="A15371" s="104"/>
      <c r="B15371" s="104"/>
    </row>
    <row r="15372" spans="1:2" x14ac:dyDescent="0.25">
      <c r="A15372" s="104"/>
      <c r="B15372" s="104"/>
    </row>
    <row r="15373" spans="1:2" x14ac:dyDescent="0.25">
      <c r="A15373" s="104"/>
      <c r="B15373" s="104"/>
    </row>
    <row r="15374" spans="1:2" x14ac:dyDescent="0.25">
      <c r="A15374" s="104"/>
      <c r="B15374" s="104"/>
    </row>
    <row r="15375" spans="1:2" x14ac:dyDescent="0.25">
      <c r="A15375" s="104"/>
      <c r="B15375" s="104"/>
    </row>
    <row r="15376" spans="1:2" x14ac:dyDescent="0.25">
      <c r="A15376" s="104"/>
      <c r="B15376" s="104"/>
    </row>
    <row r="15377" spans="1:2" x14ac:dyDescent="0.25">
      <c r="A15377" s="104"/>
      <c r="B15377" s="104"/>
    </row>
    <row r="15378" spans="1:2" x14ac:dyDescent="0.25">
      <c r="A15378" s="104"/>
      <c r="B15378" s="104"/>
    </row>
    <row r="15379" spans="1:2" x14ac:dyDescent="0.25">
      <c r="A15379" s="104"/>
      <c r="B15379" s="104"/>
    </row>
    <row r="15380" spans="1:2" x14ac:dyDescent="0.25">
      <c r="A15380" s="104"/>
      <c r="B15380" s="104"/>
    </row>
    <row r="15381" spans="1:2" x14ac:dyDescent="0.25">
      <c r="A15381" s="104"/>
      <c r="B15381" s="104"/>
    </row>
    <row r="15382" spans="1:2" x14ac:dyDescent="0.25">
      <c r="A15382" s="104"/>
      <c r="B15382" s="104"/>
    </row>
    <row r="15383" spans="1:2" x14ac:dyDescent="0.25">
      <c r="A15383" s="104"/>
      <c r="B15383" s="104"/>
    </row>
    <row r="15384" spans="1:2" x14ac:dyDescent="0.25">
      <c r="A15384" s="104"/>
      <c r="B15384" s="104"/>
    </row>
    <row r="15385" spans="1:2" x14ac:dyDescent="0.25">
      <c r="A15385" s="104"/>
      <c r="B15385" s="104"/>
    </row>
    <row r="15386" spans="1:2" x14ac:dyDescent="0.25">
      <c r="A15386" s="104"/>
      <c r="B15386" s="104"/>
    </row>
    <row r="15387" spans="1:2" x14ac:dyDescent="0.25">
      <c r="A15387" s="104"/>
      <c r="B15387" s="104"/>
    </row>
    <row r="15388" spans="1:2" x14ac:dyDescent="0.25">
      <c r="A15388" s="104"/>
      <c r="B15388" s="104"/>
    </row>
    <row r="15389" spans="1:2" x14ac:dyDescent="0.25">
      <c r="A15389" s="104"/>
      <c r="B15389" s="104"/>
    </row>
    <row r="15390" spans="1:2" x14ac:dyDescent="0.25">
      <c r="A15390" s="104"/>
      <c r="B15390" s="104"/>
    </row>
    <row r="15391" spans="1:2" x14ac:dyDescent="0.25">
      <c r="A15391" s="104"/>
      <c r="B15391" s="104"/>
    </row>
    <row r="15392" spans="1:2" x14ac:dyDescent="0.25">
      <c r="A15392" s="104"/>
      <c r="B15392" s="104"/>
    </row>
    <row r="15393" spans="1:2" x14ac:dyDescent="0.25">
      <c r="A15393" s="104"/>
      <c r="B15393" s="104"/>
    </row>
    <row r="15394" spans="1:2" x14ac:dyDescent="0.25">
      <c r="A15394" s="104"/>
      <c r="B15394" s="104"/>
    </row>
    <row r="15395" spans="1:2" x14ac:dyDescent="0.25">
      <c r="A15395" s="104"/>
      <c r="B15395" s="104"/>
    </row>
    <row r="15396" spans="1:2" x14ac:dyDescent="0.25">
      <c r="A15396" s="104"/>
      <c r="B15396" s="104"/>
    </row>
    <row r="15397" spans="1:2" x14ac:dyDescent="0.25">
      <c r="A15397" s="104"/>
      <c r="B15397" s="104"/>
    </row>
    <row r="15398" spans="1:2" x14ac:dyDescent="0.25">
      <c r="A15398" s="104"/>
      <c r="B15398" s="104"/>
    </row>
    <row r="15399" spans="1:2" x14ac:dyDescent="0.25">
      <c r="A15399" s="104"/>
      <c r="B15399" s="104"/>
    </row>
    <row r="15400" spans="1:2" x14ac:dyDescent="0.25">
      <c r="A15400" s="104"/>
      <c r="B15400" s="104"/>
    </row>
    <row r="15401" spans="1:2" x14ac:dyDescent="0.25">
      <c r="A15401" s="104"/>
      <c r="B15401" s="104"/>
    </row>
    <row r="15402" spans="1:2" x14ac:dyDescent="0.25">
      <c r="A15402" s="104"/>
      <c r="B15402" s="104"/>
    </row>
    <row r="15403" spans="1:2" x14ac:dyDescent="0.25">
      <c r="A15403" s="104"/>
      <c r="B15403" s="104"/>
    </row>
    <row r="15404" spans="1:2" x14ac:dyDescent="0.25">
      <c r="A15404" s="104"/>
      <c r="B15404" s="104"/>
    </row>
    <row r="15405" spans="1:2" x14ac:dyDescent="0.25">
      <c r="A15405" s="104"/>
      <c r="B15405" s="104"/>
    </row>
    <row r="15406" spans="1:2" x14ac:dyDescent="0.25">
      <c r="A15406" s="104"/>
      <c r="B15406" s="104"/>
    </row>
    <row r="15407" spans="1:2" x14ac:dyDescent="0.25">
      <c r="A15407" s="104"/>
      <c r="B15407" s="104"/>
    </row>
    <row r="15408" spans="1:2" x14ac:dyDescent="0.25">
      <c r="A15408" s="104"/>
      <c r="B15408" s="104"/>
    </row>
    <row r="15409" spans="1:2" x14ac:dyDescent="0.25">
      <c r="A15409" s="104"/>
      <c r="B15409" s="104"/>
    </row>
    <row r="15410" spans="1:2" x14ac:dyDescent="0.25">
      <c r="A15410" s="104"/>
      <c r="B15410" s="104"/>
    </row>
    <row r="15411" spans="1:2" x14ac:dyDescent="0.25">
      <c r="A15411" s="104"/>
      <c r="B15411" s="104"/>
    </row>
    <row r="15412" spans="1:2" x14ac:dyDescent="0.25">
      <c r="A15412" s="104"/>
      <c r="B15412" s="104"/>
    </row>
    <row r="15413" spans="1:2" x14ac:dyDescent="0.25">
      <c r="A15413" s="104"/>
      <c r="B15413" s="104"/>
    </row>
    <row r="15414" spans="1:2" x14ac:dyDescent="0.25">
      <c r="A15414" s="104"/>
      <c r="B15414" s="104"/>
    </row>
    <row r="15415" spans="1:2" x14ac:dyDescent="0.25">
      <c r="A15415" s="104"/>
      <c r="B15415" s="104"/>
    </row>
    <row r="15416" spans="1:2" x14ac:dyDescent="0.25">
      <c r="A15416" s="104"/>
      <c r="B15416" s="104"/>
    </row>
    <row r="15417" spans="1:2" x14ac:dyDescent="0.25">
      <c r="A15417" s="104"/>
      <c r="B15417" s="104"/>
    </row>
    <row r="15418" spans="1:2" x14ac:dyDescent="0.25">
      <c r="A15418" s="104"/>
      <c r="B15418" s="104"/>
    </row>
    <row r="15419" spans="1:2" x14ac:dyDescent="0.25">
      <c r="A15419" s="104"/>
      <c r="B15419" s="104"/>
    </row>
    <row r="15420" spans="1:2" x14ac:dyDescent="0.25">
      <c r="A15420" s="104"/>
      <c r="B15420" s="104"/>
    </row>
    <row r="15421" spans="1:2" x14ac:dyDescent="0.25">
      <c r="A15421" s="104"/>
      <c r="B15421" s="104"/>
    </row>
    <row r="15422" spans="1:2" x14ac:dyDescent="0.25">
      <c r="A15422" s="104"/>
      <c r="B15422" s="104"/>
    </row>
    <row r="15423" spans="1:2" x14ac:dyDescent="0.25">
      <c r="A15423" s="104"/>
      <c r="B15423" s="104"/>
    </row>
    <row r="15424" spans="1:2" x14ac:dyDescent="0.25">
      <c r="A15424" s="104"/>
      <c r="B15424" s="104"/>
    </row>
    <row r="15425" spans="1:2" x14ac:dyDescent="0.25">
      <c r="A15425" s="104"/>
      <c r="B15425" s="104"/>
    </row>
    <row r="15426" spans="1:2" x14ac:dyDescent="0.25">
      <c r="A15426" s="104"/>
      <c r="B15426" s="104"/>
    </row>
    <row r="15427" spans="1:2" x14ac:dyDescent="0.25">
      <c r="A15427" s="104"/>
      <c r="B15427" s="104"/>
    </row>
    <row r="15428" spans="1:2" x14ac:dyDescent="0.25">
      <c r="A15428" s="104"/>
      <c r="B15428" s="104"/>
    </row>
    <row r="15429" spans="1:2" x14ac:dyDescent="0.25">
      <c r="A15429" s="104"/>
      <c r="B15429" s="104"/>
    </row>
    <row r="15430" spans="1:2" x14ac:dyDescent="0.25">
      <c r="A15430" s="104"/>
      <c r="B15430" s="104"/>
    </row>
    <row r="15431" spans="1:2" x14ac:dyDescent="0.25">
      <c r="A15431" s="104"/>
      <c r="B15431" s="104"/>
    </row>
    <row r="15432" spans="1:2" x14ac:dyDescent="0.25">
      <c r="A15432" s="104"/>
      <c r="B15432" s="104"/>
    </row>
    <row r="15433" spans="1:2" x14ac:dyDescent="0.25">
      <c r="A15433" s="104"/>
      <c r="B15433" s="104"/>
    </row>
    <row r="15434" spans="1:2" x14ac:dyDescent="0.25">
      <c r="A15434" s="104"/>
      <c r="B15434" s="104"/>
    </row>
    <row r="15435" spans="1:2" x14ac:dyDescent="0.25">
      <c r="A15435" s="104"/>
      <c r="B15435" s="104"/>
    </row>
    <row r="15436" spans="1:2" x14ac:dyDescent="0.25">
      <c r="A15436" s="104"/>
      <c r="B15436" s="104"/>
    </row>
    <row r="15437" spans="1:2" x14ac:dyDescent="0.25">
      <c r="A15437" s="104"/>
      <c r="B15437" s="104"/>
    </row>
    <row r="15438" spans="1:2" x14ac:dyDescent="0.25">
      <c r="A15438" s="104"/>
      <c r="B15438" s="104"/>
    </row>
    <row r="15439" spans="1:2" x14ac:dyDescent="0.25">
      <c r="A15439" s="104"/>
      <c r="B15439" s="104"/>
    </row>
    <row r="15440" spans="1:2" x14ac:dyDescent="0.25">
      <c r="A15440" s="104"/>
      <c r="B15440" s="104"/>
    </row>
    <row r="15441" spans="1:2" x14ac:dyDescent="0.25">
      <c r="A15441" s="104"/>
      <c r="B15441" s="104"/>
    </row>
    <row r="15442" spans="1:2" x14ac:dyDescent="0.25">
      <c r="A15442" s="104"/>
      <c r="B15442" s="104"/>
    </row>
    <row r="15443" spans="1:2" x14ac:dyDescent="0.25">
      <c r="A15443" s="104"/>
      <c r="B15443" s="104"/>
    </row>
    <row r="15444" spans="1:2" x14ac:dyDescent="0.25">
      <c r="A15444" s="104"/>
      <c r="B15444" s="104"/>
    </row>
    <row r="15445" spans="1:2" x14ac:dyDescent="0.25">
      <c r="A15445" s="104"/>
      <c r="B15445" s="104"/>
    </row>
    <row r="15446" spans="1:2" x14ac:dyDescent="0.25">
      <c r="A15446" s="104"/>
      <c r="B15446" s="104"/>
    </row>
    <row r="15447" spans="1:2" x14ac:dyDescent="0.25">
      <c r="A15447" s="104"/>
      <c r="B15447" s="104"/>
    </row>
    <row r="15448" spans="1:2" x14ac:dyDescent="0.25">
      <c r="A15448" s="104"/>
      <c r="B15448" s="104"/>
    </row>
    <row r="15449" spans="1:2" x14ac:dyDescent="0.25">
      <c r="A15449" s="104"/>
      <c r="B15449" s="104"/>
    </row>
    <row r="15450" spans="1:2" x14ac:dyDescent="0.25">
      <c r="A15450" s="104"/>
      <c r="B15450" s="104"/>
    </row>
    <row r="15451" spans="1:2" x14ac:dyDescent="0.25">
      <c r="A15451" s="104"/>
      <c r="B15451" s="104"/>
    </row>
    <row r="15452" spans="1:2" x14ac:dyDescent="0.25">
      <c r="A15452" s="104"/>
      <c r="B15452" s="104"/>
    </row>
    <row r="15453" spans="1:2" x14ac:dyDescent="0.25">
      <c r="A15453" s="104"/>
      <c r="B15453" s="104"/>
    </row>
    <row r="15454" spans="1:2" x14ac:dyDescent="0.25">
      <c r="A15454" s="104"/>
      <c r="B15454" s="104"/>
    </row>
    <row r="15455" spans="1:2" x14ac:dyDescent="0.25">
      <c r="A15455" s="104"/>
      <c r="B15455" s="104"/>
    </row>
    <row r="15456" spans="1:2" x14ac:dyDescent="0.25">
      <c r="A15456" s="104"/>
      <c r="B15456" s="104"/>
    </row>
    <row r="15457" spans="1:2" x14ac:dyDescent="0.25">
      <c r="A15457" s="104"/>
      <c r="B15457" s="104"/>
    </row>
    <row r="15458" spans="1:2" x14ac:dyDescent="0.25">
      <c r="A15458" s="104"/>
      <c r="B15458" s="104"/>
    </row>
    <row r="15459" spans="1:2" x14ac:dyDescent="0.25">
      <c r="A15459" s="104"/>
      <c r="B15459" s="104"/>
    </row>
    <row r="15460" spans="1:2" x14ac:dyDescent="0.25">
      <c r="A15460" s="104"/>
      <c r="B15460" s="104"/>
    </row>
    <row r="15461" spans="1:2" x14ac:dyDescent="0.25">
      <c r="A15461" s="104"/>
      <c r="B15461" s="104"/>
    </row>
    <row r="15462" spans="1:2" x14ac:dyDescent="0.25">
      <c r="A15462" s="104"/>
      <c r="B15462" s="104"/>
    </row>
    <row r="15463" spans="1:2" x14ac:dyDescent="0.25">
      <c r="A15463" s="104"/>
      <c r="B15463" s="104"/>
    </row>
    <row r="15464" spans="1:2" x14ac:dyDescent="0.25">
      <c r="A15464" s="104"/>
      <c r="B15464" s="104"/>
    </row>
    <row r="15465" spans="1:2" x14ac:dyDescent="0.25">
      <c r="A15465" s="104"/>
      <c r="B15465" s="104"/>
    </row>
    <row r="15466" spans="1:2" x14ac:dyDescent="0.25">
      <c r="A15466" s="104"/>
      <c r="B15466" s="104"/>
    </row>
    <row r="15467" spans="1:2" x14ac:dyDescent="0.25">
      <c r="A15467" s="104"/>
      <c r="B15467" s="104"/>
    </row>
    <row r="15468" spans="1:2" x14ac:dyDescent="0.25">
      <c r="A15468" s="104"/>
      <c r="B15468" s="104"/>
    </row>
    <row r="15469" spans="1:2" x14ac:dyDescent="0.25">
      <c r="A15469" s="104"/>
      <c r="B15469" s="104"/>
    </row>
    <row r="15470" spans="1:2" x14ac:dyDescent="0.25">
      <c r="A15470" s="104"/>
      <c r="B15470" s="104"/>
    </row>
    <row r="15471" spans="1:2" x14ac:dyDescent="0.25">
      <c r="A15471" s="104"/>
      <c r="B15471" s="104"/>
    </row>
    <row r="15472" spans="1:2" x14ac:dyDescent="0.25">
      <c r="A15472" s="104"/>
      <c r="B15472" s="104"/>
    </row>
    <row r="15473" spans="1:2" x14ac:dyDescent="0.25">
      <c r="A15473" s="104"/>
      <c r="B15473" s="104"/>
    </row>
    <row r="15474" spans="1:2" x14ac:dyDescent="0.25">
      <c r="A15474" s="104"/>
      <c r="B15474" s="104"/>
    </row>
    <row r="15475" spans="1:2" x14ac:dyDescent="0.25">
      <c r="A15475" s="104"/>
      <c r="B15475" s="104"/>
    </row>
    <row r="15476" spans="1:2" x14ac:dyDescent="0.25">
      <c r="A15476" s="104"/>
      <c r="B15476" s="104"/>
    </row>
    <row r="15477" spans="1:2" x14ac:dyDescent="0.25">
      <c r="A15477" s="104"/>
      <c r="B15477" s="104"/>
    </row>
    <row r="15478" spans="1:2" x14ac:dyDescent="0.25">
      <c r="A15478" s="104"/>
      <c r="B15478" s="104"/>
    </row>
    <row r="15479" spans="1:2" x14ac:dyDescent="0.25">
      <c r="A15479" s="104"/>
      <c r="B15479" s="104"/>
    </row>
    <row r="15480" spans="1:2" x14ac:dyDescent="0.25">
      <c r="A15480" s="104"/>
      <c r="B15480" s="104"/>
    </row>
    <row r="15481" spans="1:2" x14ac:dyDescent="0.25">
      <c r="A15481" s="104"/>
      <c r="B15481" s="104"/>
    </row>
    <row r="15482" spans="1:2" x14ac:dyDescent="0.25">
      <c r="A15482" s="104"/>
      <c r="B15482" s="104"/>
    </row>
    <row r="15483" spans="1:2" x14ac:dyDescent="0.25">
      <c r="A15483" s="104"/>
      <c r="B15483" s="104"/>
    </row>
    <row r="15484" spans="1:2" x14ac:dyDescent="0.25">
      <c r="A15484" s="104"/>
      <c r="B15484" s="104"/>
    </row>
    <row r="15485" spans="1:2" x14ac:dyDescent="0.25">
      <c r="A15485" s="104"/>
      <c r="B15485" s="104"/>
    </row>
    <row r="15486" spans="1:2" x14ac:dyDescent="0.25">
      <c r="A15486" s="104"/>
      <c r="B15486" s="104"/>
    </row>
    <row r="15487" spans="1:2" x14ac:dyDescent="0.25">
      <c r="A15487" s="104"/>
      <c r="B15487" s="104"/>
    </row>
    <row r="15488" spans="1:2" x14ac:dyDescent="0.25">
      <c r="A15488" s="104"/>
      <c r="B15488" s="104"/>
    </row>
    <row r="15489" spans="1:2" x14ac:dyDescent="0.25">
      <c r="A15489" s="104"/>
      <c r="B15489" s="104"/>
    </row>
    <row r="15490" spans="1:2" x14ac:dyDescent="0.25">
      <c r="A15490" s="104"/>
      <c r="B15490" s="104"/>
    </row>
    <row r="15491" spans="1:2" x14ac:dyDescent="0.25">
      <c r="A15491" s="104"/>
      <c r="B15491" s="104"/>
    </row>
    <row r="15492" spans="1:2" x14ac:dyDescent="0.25">
      <c r="A15492" s="104"/>
      <c r="B15492" s="104"/>
    </row>
    <row r="15493" spans="1:2" x14ac:dyDescent="0.25">
      <c r="A15493" s="104"/>
      <c r="B15493" s="104"/>
    </row>
    <row r="15494" spans="1:2" x14ac:dyDescent="0.25">
      <c r="A15494" s="104"/>
      <c r="B15494" s="104"/>
    </row>
    <row r="15495" spans="1:2" x14ac:dyDescent="0.25">
      <c r="A15495" s="104"/>
      <c r="B15495" s="104"/>
    </row>
    <row r="15496" spans="1:2" x14ac:dyDescent="0.25">
      <c r="A15496" s="104"/>
      <c r="B15496" s="104"/>
    </row>
    <row r="15497" spans="1:2" x14ac:dyDescent="0.25">
      <c r="A15497" s="104"/>
      <c r="B15497" s="104"/>
    </row>
    <row r="15498" spans="1:2" x14ac:dyDescent="0.25">
      <c r="A15498" s="104"/>
      <c r="B15498" s="104"/>
    </row>
    <row r="15499" spans="1:2" x14ac:dyDescent="0.25">
      <c r="A15499" s="104"/>
      <c r="B15499" s="104"/>
    </row>
    <row r="15500" spans="1:2" x14ac:dyDescent="0.25">
      <c r="A15500" s="104"/>
      <c r="B15500" s="104"/>
    </row>
    <row r="15501" spans="1:2" x14ac:dyDescent="0.25">
      <c r="A15501" s="104"/>
      <c r="B15501" s="104"/>
    </row>
    <row r="15502" spans="1:2" x14ac:dyDescent="0.25">
      <c r="A15502" s="104"/>
      <c r="B15502" s="104"/>
    </row>
    <row r="15503" spans="1:2" x14ac:dyDescent="0.25">
      <c r="A15503" s="104"/>
      <c r="B15503" s="104"/>
    </row>
    <row r="15504" spans="1:2" x14ac:dyDescent="0.25">
      <c r="A15504" s="104"/>
      <c r="B15504" s="104"/>
    </row>
    <row r="15505" spans="1:2" x14ac:dyDescent="0.25">
      <c r="A15505" s="104"/>
      <c r="B15505" s="104"/>
    </row>
    <row r="15506" spans="1:2" x14ac:dyDescent="0.25">
      <c r="A15506" s="104"/>
      <c r="B15506" s="104"/>
    </row>
    <row r="15507" spans="1:2" x14ac:dyDescent="0.25">
      <c r="A15507" s="104"/>
      <c r="B15507" s="104"/>
    </row>
    <row r="15508" spans="1:2" x14ac:dyDescent="0.25">
      <c r="A15508" s="104"/>
      <c r="B15508" s="104"/>
    </row>
    <row r="15509" spans="1:2" x14ac:dyDescent="0.25">
      <c r="A15509" s="104"/>
      <c r="B15509" s="104"/>
    </row>
    <row r="15510" spans="1:2" x14ac:dyDescent="0.25">
      <c r="A15510" s="104"/>
      <c r="B15510" s="104"/>
    </row>
    <row r="15511" spans="1:2" x14ac:dyDescent="0.25">
      <c r="A15511" s="104"/>
      <c r="B15511" s="104"/>
    </row>
    <row r="15512" spans="1:2" x14ac:dyDescent="0.25">
      <c r="A15512" s="104"/>
      <c r="B15512" s="104"/>
    </row>
    <row r="15513" spans="1:2" x14ac:dyDescent="0.25">
      <c r="A15513" s="104"/>
      <c r="B15513" s="104"/>
    </row>
    <row r="15514" spans="1:2" x14ac:dyDescent="0.25">
      <c r="A15514" s="104"/>
      <c r="B15514" s="104"/>
    </row>
    <row r="15515" spans="1:2" x14ac:dyDescent="0.25">
      <c r="A15515" s="104"/>
      <c r="B15515" s="104"/>
    </row>
    <row r="15516" spans="1:2" x14ac:dyDescent="0.25">
      <c r="A15516" s="104"/>
      <c r="B15516" s="104"/>
    </row>
    <row r="15517" spans="1:2" x14ac:dyDescent="0.25">
      <c r="A15517" s="104"/>
      <c r="B15517" s="104"/>
    </row>
    <row r="15518" spans="1:2" x14ac:dyDescent="0.25">
      <c r="A15518" s="104"/>
      <c r="B15518" s="104"/>
    </row>
    <row r="15519" spans="1:2" x14ac:dyDescent="0.25">
      <c r="A15519" s="104"/>
      <c r="B15519" s="104"/>
    </row>
    <row r="15520" spans="1:2" x14ac:dyDescent="0.25">
      <c r="A15520" s="104"/>
      <c r="B15520" s="104"/>
    </row>
    <row r="15521" spans="1:2" x14ac:dyDescent="0.25">
      <c r="A15521" s="104"/>
      <c r="B15521" s="104"/>
    </row>
    <row r="15522" spans="1:2" x14ac:dyDescent="0.25">
      <c r="A15522" s="104"/>
      <c r="B15522" s="104"/>
    </row>
    <row r="15523" spans="1:2" x14ac:dyDescent="0.25">
      <c r="A15523" s="104"/>
      <c r="B15523" s="104"/>
    </row>
    <row r="15524" spans="1:2" x14ac:dyDescent="0.25">
      <c r="A15524" s="104"/>
      <c r="B15524" s="104"/>
    </row>
    <row r="15525" spans="1:2" x14ac:dyDescent="0.25">
      <c r="A15525" s="104"/>
      <c r="B15525" s="104"/>
    </row>
    <row r="15526" spans="1:2" x14ac:dyDescent="0.25">
      <c r="A15526" s="104"/>
      <c r="B15526" s="104"/>
    </row>
    <row r="15527" spans="1:2" x14ac:dyDescent="0.25">
      <c r="A15527" s="104"/>
      <c r="B15527" s="104"/>
    </row>
    <row r="15528" spans="1:2" x14ac:dyDescent="0.25">
      <c r="A15528" s="104"/>
      <c r="B15528" s="104"/>
    </row>
    <row r="15529" spans="1:2" x14ac:dyDescent="0.25">
      <c r="A15529" s="104"/>
      <c r="B15529" s="104"/>
    </row>
    <row r="15530" spans="1:2" x14ac:dyDescent="0.25">
      <c r="A15530" s="104"/>
      <c r="B15530" s="104"/>
    </row>
    <row r="15531" spans="1:2" x14ac:dyDescent="0.25">
      <c r="A15531" s="104"/>
      <c r="B15531" s="104"/>
    </row>
    <row r="15532" spans="1:2" x14ac:dyDescent="0.25">
      <c r="A15532" s="104"/>
      <c r="B15532" s="104"/>
    </row>
    <row r="15533" spans="1:2" x14ac:dyDescent="0.25">
      <c r="A15533" s="104"/>
      <c r="B15533" s="104"/>
    </row>
    <row r="15534" spans="1:2" x14ac:dyDescent="0.25">
      <c r="A15534" s="104"/>
      <c r="B15534" s="104"/>
    </row>
    <row r="15535" spans="1:2" x14ac:dyDescent="0.25">
      <c r="A15535" s="104"/>
      <c r="B15535" s="104"/>
    </row>
    <row r="15536" spans="1:2" x14ac:dyDescent="0.25">
      <c r="A15536" s="104"/>
      <c r="B15536" s="104"/>
    </row>
    <row r="15537" spans="1:2" x14ac:dyDescent="0.25">
      <c r="A15537" s="104"/>
      <c r="B15537" s="104"/>
    </row>
    <row r="15538" spans="1:2" x14ac:dyDescent="0.25">
      <c r="A15538" s="104"/>
      <c r="B15538" s="104"/>
    </row>
    <row r="15539" spans="1:2" x14ac:dyDescent="0.25">
      <c r="A15539" s="104"/>
      <c r="B15539" s="104"/>
    </row>
    <row r="15540" spans="1:2" x14ac:dyDescent="0.25">
      <c r="A15540" s="104"/>
      <c r="B15540" s="104"/>
    </row>
    <row r="15541" spans="1:2" x14ac:dyDescent="0.25">
      <c r="A15541" s="104"/>
      <c r="B15541" s="104"/>
    </row>
    <row r="15542" spans="1:2" x14ac:dyDescent="0.25">
      <c r="A15542" s="104"/>
      <c r="B15542" s="104"/>
    </row>
    <row r="15543" spans="1:2" x14ac:dyDescent="0.25">
      <c r="A15543" s="104"/>
      <c r="B15543" s="104"/>
    </row>
    <row r="15544" spans="1:2" x14ac:dyDescent="0.25">
      <c r="A15544" s="104"/>
      <c r="B15544" s="104"/>
    </row>
    <row r="15545" spans="1:2" x14ac:dyDescent="0.25">
      <c r="A15545" s="104"/>
      <c r="B15545" s="104"/>
    </row>
    <row r="15546" spans="1:2" x14ac:dyDescent="0.25">
      <c r="A15546" s="104"/>
      <c r="B15546" s="104"/>
    </row>
    <row r="15547" spans="1:2" x14ac:dyDescent="0.25">
      <c r="A15547" s="104"/>
      <c r="B15547" s="104"/>
    </row>
    <row r="15548" spans="1:2" x14ac:dyDescent="0.25">
      <c r="A15548" s="104"/>
      <c r="B15548" s="104"/>
    </row>
    <row r="15549" spans="1:2" x14ac:dyDescent="0.25">
      <c r="A15549" s="104"/>
      <c r="B15549" s="104"/>
    </row>
    <row r="15550" spans="1:2" x14ac:dyDescent="0.25">
      <c r="A15550" s="104"/>
      <c r="B15550" s="104"/>
    </row>
    <row r="15551" spans="1:2" x14ac:dyDescent="0.25">
      <c r="A15551" s="104"/>
      <c r="B15551" s="104"/>
    </row>
    <row r="15552" spans="1:2" x14ac:dyDescent="0.25">
      <c r="A15552" s="104"/>
      <c r="B15552" s="104"/>
    </row>
    <row r="15553" spans="1:2" x14ac:dyDescent="0.25">
      <c r="A15553" s="104"/>
      <c r="B15553" s="104"/>
    </row>
    <row r="15554" spans="1:2" x14ac:dyDescent="0.25">
      <c r="A15554" s="104"/>
      <c r="B15554" s="104"/>
    </row>
    <row r="15555" spans="1:2" x14ac:dyDescent="0.25">
      <c r="A15555" s="104"/>
      <c r="B15555" s="104"/>
    </row>
    <row r="15556" spans="1:2" x14ac:dyDescent="0.25">
      <c r="A15556" s="104"/>
      <c r="B15556" s="104"/>
    </row>
    <row r="15557" spans="1:2" x14ac:dyDescent="0.25">
      <c r="A15557" s="104"/>
      <c r="B15557" s="104"/>
    </row>
    <row r="15558" spans="1:2" x14ac:dyDescent="0.25">
      <c r="A15558" s="104"/>
      <c r="B15558" s="104"/>
    </row>
    <row r="15559" spans="1:2" x14ac:dyDescent="0.25">
      <c r="A15559" s="104"/>
      <c r="B15559" s="104"/>
    </row>
    <row r="15560" spans="1:2" x14ac:dyDescent="0.25">
      <c r="A15560" s="104"/>
      <c r="B15560" s="104"/>
    </row>
    <row r="15561" spans="1:2" x14ac:dyDescent="0.25">
      <c r="A15561" s="104"/>
      <c r="B15561" s="104"/>
    </row>
    <row r="15562" spans="1:2" x14ac:dyDescent="0.25">
      <c r="A15562" s="104"/>
      <c r="B15562" s="104"/>
    </row>
    <row r="15563" spans="1:2" x14ac:dyDescent="0.25">
      <c r="A15563" s="104"/>
      <c r="B15563" s="104"/>
    </row>
    <row r="15564" spans="1:2" x14ac:dyDescent="0.25">
      <c r="A15564" s="104"/>
      <c r="B15564" s="104"/>
    </row>
    <row r="15565" spans="1:2" x14ac:dyDescent="0.25">
      <c r="A15565" s="104"/>
      <c r="B15565" s="104"/>
    </row>
    <row r="15566" spans="1:2" x14ac:dyDescent="0.25">
      <c r="A15566" s="104"/>
      <c r="B15566" s="104"/>
    </row>
    <row r="15567" spans="1:2" x14ac:dyDescent="0.25">
      <c r="A15567" s="104"/>
      <c r="B15567" s="104"/>
    </row>
    <row r="15568" spans="1:2" x14ac:dyDescent="0.25">
      <c r="A15568" s="104"/>
      <c r="B15568" s="104"/>
    </row>
    <row r="15569" spans="1:2" x14ac:dyDescent="0.25">
      <c r="A15569" s="104"/>
      <c r="B15569" s="104"/>
    </row>
    <row r="15570" spans="1:2" x14ac:dyDescent="0.25">
      <c r="A15570" s="104"/>
      <c r="B15570" s="104"/>
    </row>
    <row r="15571" spans="1:2" x14ac:dyDescent="0.25">
      <c r="A15571" s="104"/>
      <c r="B15571" s="104"/>
    </row>
    <row r="15572" spans="1:2" x14ac:dyDescent="0.25">
      <c r="A15572" s="104"/>
      <c r="B15572" s="104"/>
    </row>
    <row r="15573" spans="1:2" x14ac:dyDescent="0.25">
      <c r="A15573" s="104"/>
      <c r="B15573" s="104"/>
    </row>
    <row r="15574" spans="1:2" x14ac:dyDescent="0.25">
      <c r="A15574" s="104"/>
      <c r="B15574" s="104"/>
    </row>
    <row r="15575" spans="1:2" x14ac:dyDescent="0.25">
      <c r="A15575" s="104"/>
      <c r="B15575" s="104"/>
    </row>
    <row r="15576" spans="1:2" x14ac:dyDescent="0.25">
      <c r="A15576" s="104"/>
      <c r="B15576" s="104"/>
    </row>
    <row r="15577" spans="1:2" x14ac:dyDescent="0.25">
      <c r="A15577" s="104"/>
      <c r="B15577" s="104"/>
    </row>
    <row r="15578" spans="1:2" x14ac:dyDescent="0.25">
      <c r="A15578" s="104"/>
      <c r="B15578" s="104"/>
    </row>
    <row r="15579" spans="1:2" x14ac:dyDescent="0.25">
      <c r="A15579" s="104"/>
      <c r="B15579" s="104"/>
    </row>
    <row r="15580" spans="1:2" x14ac:dyDescent="0.25">
      <c r="A15580" s="104"/>
      <c r="B15580" s="104"/>
    </row>
    <row r="15581" spans="1:2" x14ac:dyDescent="0.25">
      <c r="A15581" s="104"/>
      <c r="B15581" s="104"/>
    </row>
    <row r="15582" spans="1:2" x14ac:dyDescent="0.25">
      <c r="A15582" s="104"/>
      <c r="B15582" s="104"/>
    </row>
    <row r="15583" spans="1:2" x14ac:dyDescent="0.25">
      <c r="A15583" s="104"/>
      <c r="B15583" s="104"/>
    </row>
    <row r="15584" spans="1:2" x14ac:dyDescent="0.25">
      <c r="A15584" s="104"/>
      <c r="B15584" s="104"/>
    </row>
    <row r="15585" spans="1:2" x14ac:dyDescent="0.25">
      <c r="A15585" s="104"/>
      <c r="B15585" s="104"/>
    </row>
    <row r="15586" spans="1:2" x14ac:dyDescent="0.25">
      <c r="A15586" s="104"/>
      <c r="B15586" s="104"/>
    </row>
    <row r="15587" spans="1:2" x14ac:dyDescent="0.25">
      <c r="A15587" s="104"/>
      <c r="B15587" s="104"/>
    </row>
    <row r="15588" spans="1:2" x14ac:dyDescent="0.25">
      <c r="A15588" s="104"/>
      <c r="B15588" s="104"/>
    </row>
    <row r="15589" spans="1:2" x14ac:dyDescent="0.25">
      <c r="A15589" s="104"/>
      <c r="B15589" s="104"/>
    </row>
    <row r="15590" spans="1:2" x14ac:dyDescent="0.25">
      <c r="A15590" s="104"/>
      <c r="B15590" s="104"/>
    </row>
    <row r="15591" spans="1:2" x14ac:dyDescent="0.25">
      <c r="A15591" s="104"/>
      <c r="B15591" s="104"/>
    </row>
    <row r="15592" spans="1:2" x14ac:dyDescent="0.25">
      <c r="A15592" s="104"/>
      <c r="B15592" s="104"/>
    </row>
    <row r="15593" spans="1:2" x14ac:dyDescent="0.25">
      <c r="A15593" s="104"/>
      <c r="B15593" s="104"/>
    </row>
    <row r="15594" spans="1:2" x14ac:dyDescent="0.25">
      <c r="A15594" s="104"/>
      <c r="B15594" s="104"/>
    </row>
    <row r="15595" spans="1:2" x14ac:dyDescent="0.25">
      <c r="A15595" s="104"/>
      <c r="B15595" s="104"/>
    </row>
    <row r="15596" spans="1:2" x14ac:dyDescent="0.25">
      <c r="A15596" s="104"/>
      <c r="B15596" s="104"/>
    </row>
    <row r="15597" spans="1:2" x14ac:dyDescent="0.25">
      <c r="A15597" s="104"/>
      <c r="B15597" s="104"/>
    </row>
    <row r="15598" spans="1:2" x14ac:dyDescent="0.25">
      <c r="A15598" s="104"/>
      <c r="B15598" s="104"/>
    </row>
    <row r="15599" spans="1:2" x14ac:dyDescent="0.25">
      <c r="A15599" s="104"/>
      <c r="B15599" s="104"/>
    </row>
    <row r="15600" spans="1:2" x14ac:dyDescent="0.25">
      <c r="A15600" s="104"/>
      <c r="B15600" s="104"/>
    </row>
    <row r="15601" spans="1:2" x14ac:dyDescent="0.25">
      <c r="A15601" s="104"/>
      <c r="B15601" s="104"/>
    </row>
    <row r="15602" spans="1:2" x14ac:dyDescent="0.25">
      <c r="A15602" s="104"/>
      <c r="B15602" s="104"/>
    </row>
    <row r="15603" spans="1:2" x14ac:dyDescent="0.25">
      <c r="A15603" s="104"/>
      <c r="B15603" s="104"/>
    </row>
    <row r="15604" spans="1:2" x14ac:dyDescent="0.25">
      <c r="A15604" s="104"/>
      <c r="B15604" s="104"/>
    </row>
    <row r="15605" spans="1:2" x14ac:dyDescent="0.25">
      <c r="A15605" s="104"/>
      <c r="B15605" s="104"/>
    </row>
    <row r="15606" spans="1:2" x14ac:dyDescent="0.25">
      <c r="A15606" s="104"/>
      <c r="B15606" s="104"/>
    </row>
    <row r="15607" spans="1:2" x14ac:dyDescent="0.25">
      <c r="A15607" s="104"/>
      <c r="B15607" s="104"/>
    </row>
    <row r="15608" spans="1:2" x14ac:dyDescent="0.25">
      <c r="A15608" s="104"/>
      <c r="B15608" s="104"/>
    </row>
    <row r="15609" spans="1:2" x14ac:dyDescent="0.25">
      <c r="A15609" s="104"/>
      <c r="B15609" s="104"/>
    </row>
    <row r="15610" spans="1:2" x14ac:dyDescent="0.25">
      <c r="A15610" s="104"/>
      <c r="B15610" s="104"/>
    </row>
    <row r="15611" spans="1:2" x14ac:dyDescent="0.25">
      <c r="A15611" s="104"/>
      <c r="B15611" s="104"/>
    </row>
    <row r="15612" spans="1:2" x14ac:dyDescent="0.25">
      <c r="A15612" s="104"/>
      <c r="B15612" s="104"/>
    </row>
    <row r="15613" spans="1:2" x14ac:dyDescent="0.25">
      <c r="A15613" s="104"/>
      <c r="B15613" s="104"/>
    </row>
    <row r="15614" spans="1:2" x14ac:dyDescent="0.25">
      <c r="A15614" s="104"/>
      <c r="B15614" s="104"/>
    </row>
    <row r="15615" spans="1:2" x14ac:dyDescent="0.25">
      <c r="A15615" s="104"/>
      <c r="B15615" s="104"/>
    </row>
    <row r="15616" spans="1:2" x14ac:dyDescent="0.25">
      <c r="A15616" s="104"/>
      <c r="B15616" s="104"/>
    </row>
    <row r="15617" spans="1:2" x14ac:dyDescent="0.25">
      <c r="A15617" s="104"/>
      <c r="B15617" s="104"/>
    </row>
    <row r="15618" spans="1:2" x14ac:dyDescent="0.25">
      <c r="A15618" s="104"/>
      <c r="B15618" s="104"/>
    </row>
    <row r="15619" spans="1:2" x14ac:dyDescent="0.25">
      <c r="A15619" s="104"/>
      <c r="B15619" s="104"/>
    </row>
    <row r="15620" spans="1:2" x14ac:dyDescent="0.25">
      <c r="A15620" s="104"/>
      <c r="B15620" s="104"/>
    </row>
    <row r="15621" spans="1:2" x14ac:dyDescent="0.25">
      <c r="A15621" s="104"/>
      <c r="B15621" s="104"/>
    </row>
    <row r="15622" spans="1:2" x14ac:dyDescent="0.25">
      <c r="A15622" s="104"/>
      <c r="B15622" s="104"/>
    </row>
    <row r="15623" spans="1:2" x14ac:dyDescent="0.25">
      <c r="A15623" s="104"/>
      <c r="B15623" s="104"/>
    </row>
    <row r="15624" spans="1:2" x14ac:dyDescent="0.25">
      <c r="A15624" s="104"/>
      <c r="B15624" s="104"/>
    </row>
    <row r="15625" spans="1:2" x14ac:dyDescent="0.25">
      <c r="A15625" s="104"/>
      <c r="B15625" s="104"/>
    </row>
    <row r="15626" spans="1:2" x14ac:dyDescent="0.25">
      <c r="A15626" s="104"/>
      <c r="B15626" s="104"/>
    </row>
    <row r="15627" spans="1:2" x14ac:dyDescent="0.25">
      <c r="A15627" s="104"/>
      <c r="B15627" s="104"/>
    </row>
    <row r="15628" spans="1:2" x14ac:dyDescent="0.25">
      <c r="A15628" s="104"/>
      <c r="B15628" s="104"/>
    </row>
    <row r="15629" spans="1:2" x14ac:dyDescent="0.25">
      <c r="A15629" s="104"/>
      <c r="B15629" s="104"/>
    </row>
    <row r="15630" spans="1:2" x14ac:dyDescent="0.25">
      <c r="A15630" s="104"/>
      <c r="B15630" s="104"/>
    </row>
    <row r="15631" spans="1:2" x14ac:dyDescent="0.25">
      <c r="A15631" s="104"/>
      <c r="B15631" s="104"/>
    </row>
    <row r="15632" spans="1:2" x14ac:dyDescent="0.25">
      <c r="A15632" s="104"/>
      <c r="B15632" s="104"/>
    </row>
    <row r="15633" spans="1:2" x14ac:dyDescent="0.25">
      <c r="A15633" s="104"/>
      <c r="B15633" s="104"/>
    </row>
    <row r="15634" spans="1:2" x14ac:dyDescent="0.25">
      <c r="A15634" s="104"/>
      <c r="B15634" s="104"/>
    </row>
    <row r="15635" spans="1:2" x14ac:dyDescent="0.25">
      <c r="A15635" s="104"/>
      <c r="B15635" s="104"/>
    </row>
    <row r="15636" spans="1:2" x14ac:dyDescent="0.25">
      <c r="A15636" s="104"/>
      <c r="B15636" s="104"/>
    </row>
    <row r="15637" spans="1:2" x14ac:dyDescent="0.25">
      <c r="A15637" s="104"/>
      <c r="B15637" s="104"/>
    </row>
    <row r="15638" spans="1:2" x14ac:dyDescent="0.25">
      <c r="A15638" s="104"/>
      <c r="B15638" s="104"/>
    </row>
    <row r="15639" spans="1:2" x14ac:dyDescent="0.25">
      <c r="A15639" s="104"/>
      <c r="B15639" s="104"/>
    </row>
    <row r="15640" spans="1:2" x14ac:dyDescent="0.25">
      <c r="A15640" s="104"/>
      <c r="B15640" s="104"/>
    </row>
    <row r="15641" spans="1:2" x14ac:dyDescent="0.25">
      <c r="A15641" s="104"/>
      <c r="B15641" s="104"/>
    </row>
    <row r="15642" spans="1:2" x14ac:dyDescent="0.25">
      <c r="A15642" s="104"/>
      <c r="B15642" s="104"/>
    </row>
    <row r="15643" spans="1:2" x14ac:dyDescent="0.25">
      <c r="A15643" s="104"/>
      <c r="B15643" s="104"/>
    </row>
    <row r="15644" spans="1:2" x14ac:dyDescent="0.25">
      <c r="A15644" s="104"/>
      <c r="B15644" s="104"/>
    </row>
    <row r="15645" spans="1:2" x14ac:dyDescent="0.25">
      <c r="A15645" s="104"/>
      <c r="B15645" s="104"/>
    </row>
    <row r="15646" spans="1:2" x14ac:dyDescent="0.25">
      <c r="A15646" s="104"/>
      <c r="B15646" s="104"/>
    </row>
    <row r="15647" spans="1:2" x14ac:dyDescent="0.25">
      <c r="A15647" s="104"/>
      <c r="B15647" s="104"/>
    </row>
    <row r="15648" spans="1:2" x14ac:dyDescent="0.25">
      <c r="A15648" s="104"/>
      <c r="B15648" s="104"/>
    </row>
    <row r="15649" spans="1:2" x14ac:dyDescent="0.25">
      <c r="A15649" s="104"/>
      <c r="B15649" s="104"/>
    </row>
    <row r="15650" spans="1:2" x14ac:dyDescent="0.25">
      <c r="A15650" s="104"/>
      <c r="B15650" s="104"/>
    </row>
    <row r="15651" spans="1:2" x14ac:dyDescent="0.25">
      <c r="A15651" s="104"/>
      <c r="B15651" s="104"/>
    </row>
    <row r="15652" spans="1:2" x14ac:dyDescent="0.25">
      <c r="A15652" s="104"/>
      <c r="B15652" s="104"/>
    </row>
    <row r="15653" spans="1:2" x14ac:dyDescent="0.25">
      <c r="A15653" s="104"/>
      <c r="B15653" s="104"/>
    </row>
    <row r="15654" spans="1:2" x14ac:dyDescent="0.25">
      <c r="A15654" s="104"/>
      <c r="B15654" s="104"/>
    </row>
    <row r="15655" spans="1:2" x14ac:dyDescent="0.25">
      <c r="A15655" s="104"/>
      <c r="B15655" s="104"/>
    </row>
    <row r="15656" spans="1:2" x14ac:dyDescent="0.25">
      <c r="A15656" s="104"/>
      <c r="B15656" s="104"/>
    </row>
    <row r="15657" spans="1:2" x14ac:dyDescent="0.25">
      <c r="A15657" s="104"/>
      <c r="B15657" s="104"/>
    </row>
    <row r="15658" spans="1:2" x14ac:dyDescent="0.25">
      <c r="A15658" s="104"/>
      <c r="B15658" s="104"/>
    </row>
    <row r="15659" spans="1:2" x14ac:dyDescent="0.25">
      <c r="A15659" s="104"/>
      <c r="B15659" s="104"/>
    </row>
    <row r="15660" spans="1:2" x14ac:dyDescent="0.25">
      <c r="A15660" s="104"/>
      <c r="B15660" s="104"/>
    </row>
    <row r="15661" spans="1:2" x14ac:dyDescent="0.25">
      <c r="A15661" s="104"/>
      <c r="B15661" s="104"/>
    </row>
    <row r="15662" spans="1:2" x14ac:dyDescent="0.25">
      <c r="A15662" s="104"/>
      <c r="B15662" s="104"/>
    </row>
    <row r="15663" spans="1:2" x14ac:dyDescent="0.25">
      <c r="A15663" s="104"/>
      <c r="B15663" s="104"/>
    </row>
    <row r="15664" spans="1:2" x14ac:dyDescent="0.25">
      <c r="A15664" s="104"/>
      <c r="B15664" s="104"/>
    </row>
    <row r="15665" spans="1:2" x14ac:dyDescent="0.25">
      <c r="A15665" s="104"/>
      <c r="B15665" s="104"/>
    </row>
    <row r="15666" spans="1:2" x14ac:dyDescent="0.25">
      <c r="A15666" s="104"/>
      <c r="B15666" s="104"/>
    </row>
    <row r="15667" spans="1:2" x14ac:dyDescent="0.25">
      <c r="A15667" s="104"/>
      <c r="B15667" s="104"/>
    </row>
    <row r="15668" spans="1:2" x14ac:dyDescent="0.25">
      <c r="A15668" s="104"/>
      <c r="B15668" s="104"/>
    </row>
    <row r="15669" spans="1:2" x14ac:dyDescent="0.25">
      <c r="A15669" s="104"/>
      <c r="B15669" s="104"/>
    </row>
    <row r="15670" spans="1:2" x14ac:dyDescent="0.25">
      <c r="A15670" s="104"/>
      <c r="B15670" s="104"/>
    </row>
    <row r="15671" spans="1:2" x14ac:dyDescent="0.25">
      <c r="A15671" s="104"/>
      <c r="B15671" s="104"/>
    </row>
    <row r="15672" spans="1:2" x14ac:dyDescent="0.25">
      <c r="A15672" s="104"/>
      <c r="B15672" s="104"/>
    </row>
    <row r="15673" spans="1:2" x14ac:dyDescent="0.25">
      <c r="A15673" s="104"/>
      <c r="B15673" s="104"/>
    </row>
    <row r="15674" spans="1:2" x14ac:dyDescent="0.25">
      <c r="A15674" s="104"/>
      <c r="B15674" s="104"/>
    </row>
    <row r="15675" spans="1:2" x14ac:dyDescent="0.25">
      <c r="A15675" s="104"/>
      <c r="B15675" s="104"/>
    </row>
    <row r="15676" spans="1:2" x14ac:dyDescent="0.25">
      <c r="A15676" s="104"/>
      <c r="B15676" s="104"/>
    </row>
    <row r="15677" spans="1:2" x14ac:dyDescent="0.25">
      <c r="A15677" s="104"/>
      <c r="B15677" s="104"/>
    </row>
    <row r="15678" spans="1:2" x14ac:dyDescent="0.25">
      <c r="A15678" s="104"/>
      <c r="B15678" s="104"/>
    </row>
    <row r="15679" spans="1:2" x14ac:dyDescent="0.25">
      <c r="A15679" s="104"/>
      <c r="B15679" s="104"/>
    </row>
    <row r="15680" spans="1:2" x14ac:dyDescent="0.25">
      <c r="A15680" s="104"/>
      <c r="B15680" s="104"/>
    </row>
    <row r="15681" spans="1:2" x14ac:dyDescent="0.25">
      <c r="A15681" s="104"/>
      <c r="B15681" s="104"/>
    </row>
    <row r="15682" spans="1:2" x14ac:dyDescent="0.25">
      <c r="A15682" s="104"/>
      <c r="B15682" s="104"/>
    </row>
    <row r="15683" spans="1:2" x14ac:dyDescent="0.25">
      <c r="A15683" s="104"/>
      <c r="B15683" s="104"/>
    </row>
    <row r="15684" spans="1:2" x14ac:dyDescent="0.25">
      <c r="A15684" s="104"/>
      <c r="B15684" s="104"/>
    </row>
    <row r="15685" spans="1:2" x14ac:dyDescent="0.25">
      <c r="A15685" s="104"/>
      <c r="B15685" s="104"/>
    </row>
    <row r="15686" spans="1:2" x14ac:dyDescent="0.25">
      <c r="A15686" s="104"/>
      <c r="B15686" s="104"/>
    </row>
    <row r="15687" spans="1:2" x14ac:dyDescent="0.25">
      <c r="A15687" s="104"/>
      <c r="B15687" s="104"/>
    </row>
    <row r="15688" spans="1:2" x14ac:dyDescent="0.25">
      <c r="A15688" s="104"/>
      <c r="B15688" s="104"/>
    </row>
    <row r="15689" spans="1:2" x14ac:dyDescent="0.25">
      <c r="A15689" s="104"/>
      <c r="B15689" s="104"/>
    </row>
    <row r="15690" spans="1:2" x14ac:dyDescent="0.25">
      <c r="A15690" s="104"/>
      <c r="B15690" s="104"/>
    </row>
    <row r="15691" spans="1:2" x14ac:dyDescent="0.25">
      <c r="A15691" s="104"/>
      <c r="B15691" s="104"/>
    </row>
    <row r="15692" spans="1:2" x14ac:dyDescent="0.25">
      <c r="A15692" s="104"/>
      <c r="B15692" s="104"/>
    </row>
    <row r="15693" spans="1:2" x14ac:dyDescent="0.25">
      <c r="A15693" s="104"/>
      <c r="B15693" s="104"/>
    </row>
    <row r="15694" spans="1:2" x14ac:dyDescent="0.25">
      <c r="A15694" s="104"/>
      <c r="B15694" s="104"/>
    </row>
    <row r="15695" spans="1:2" x14ac:dyDescent="0.25">
      <c r="A15695" s="104"/>
      <c r="B15695" s="104"/>
    </row>
    <row r="15696" spans="1:2" x14ac:dyDescent="0.25">
      <c r="A15696" s="104"/>
      <c r="B15696" s="104"/>
    </row>
    <row r="15697" spans="1:2" x14ac:dyDescent="0.25">
      <c r="A15697" s="104"/>
      <c r="B15697" s="104"/>
    </row>
    <row r="15698" spans="1:2" x14ac:dyDescent="0.25">
      <c r="A15698" s="104"/>
      <c r="B15698" s="104"/>
    </row>
    <row r="15699" spans="1:2" x14ac:dyDescent="0.25">
      <c r="A15699" s="104"/>
      <c r="B15699" s="104"/>
    </row>
    <row r="15700" spans="1:2" x14ac:dyDescent="0.25">
      <c r="A15700" s="104"/>
      <c r="B15700" s="104"/>
    </row>
    <row r="15701" spans="1:2" x14ac:dyDescent="0.25">
      <c r="A15701" s="104"/>
      <c r="B15701" s="104"/>
    </row>
    <row r="15702" spans="1:2" x14ac:dyDescent="0.25">
      <c r="A15702" s="104"/>
      <c r="B15702" s="104"/>
    </row>
    <row r="15703" spans="1:2" x14ac:dyDescent="0.25">
      <c r="A15703" s="104"/>
      <c r="B15703" s="104"/>
    </row>
    <row r="15704" spans="1:2" x14ac:dyDescent="0.25">
      <c r="A15704" s="104"/>
      <c r="B15704" s="104"/>
    </row>
    <row r="15705" spans="1:2" x14ac:dyDescent="0.25">
      <c r="A15705" s="104"/>
      <c r="B15705" s="104"/>
    </row>
    <row r="15706" spans="1:2" x14ac:dyDescent="0.25">
      <c r="A15706" s="104"/>
      <c r="B15706" s="104"/>
    </row>
    <row r="15707" spans="1:2" x14ac:dyDescent="0.25">
      <c r="A15707" s="104"/>
      <c r="B15707" s="104"/>
    </row>
    <row r="15708" spans="1:2" x14ac:dyDescent="0.25">
      <c r="A15708" s="104"/>
      <c r="B15708" s="104"/>
    </row>
    <row r="15709" spans="1:2" x14ac:dyDescent="0.25">
      <c r="A15709" s="104"/>
      <c r="B15709" s="104"/>
    </row>
    <row r="15710" spans="1:2" x14ac:dyDescent="0.25">
      <c r="A15710" s="104"/>
      <c r="B15710" s="104"/>
    </row>
    <row r="15711" spans="1:2" x14ac:dyDescent="0.25">
      <c r="A15711" s="104"/>
      <c r="B15711" s="104"/>
    </row>
    <row r="15712" spans="1:2" x14ac:dyDescent="0.25">
      <c r="A15712" s="104"/>
      <c r="B15712" s="104"/>
    </row>
    <row r="15713" spans="1:2" x14ac:dyDescent="0.25">
      <c r="A15713" s="104"/>
      <c r="B15713" s="104"/>
    </row>
    <row r="15714" spans="1:2" x14ac:dyDescent="0.25">
      <c r="A15714" s="104"/>
      <c r="B15714" s="104"/>
    </row>
    <row r="15715" spans="1:2" x14ac:dyDescent="0.25">
      <c r="A15715" s="104"/>
      <c r="B15715" s="104"/>
    </row>
    <row r="15716" spans="1:2" x14ac:dyDescent="0.25">
      <c r="A15716" s="104"/>
      <c r="B15716" s="104"/>
    </row>
    <row r="15717" spans="1:2" x14ac:dyDescent="0.25">
      <c r="A15717" s="104"/>
      <c r="B15717" s="104"/>
    </row>
    <row r="15718" spans="1:2" x14ac:dyDescent="0.25">
      <c r="A15718" s="104"/>
      <c r="B15718" s="104"/>
    </row>
    <row r="15719" spans="1:2" x14ac:dyDescent="0.25">
      <c r="A15719" s="104"/>
      <c r="B15719" s="104"/>
    </row>
    <row r="15720" spans="1:2" x14ac:dyDescent="0.25">
      <c r="A15720" s="104"/>
      <c r="B15720" s="104"/>
    </row>
    <row r="15721" spans="1:2" x14ac:dyDescent="0.25">
      <c r="A15721" s="104"/>
      <c r="B15721" s="104"/>
    </row>
    <row r="15722" spans="1:2" x14ac:dyDescent="0.25">
      <c r="A15722" s="104"/>
      <c r="B15722" s="104"/>
    </row>
    <row r="15723" spans="1:2" x14ac:dyDescent="0.25">
      <c r="A15723" s="104"/>
      <c r="B15723" s="104"/>
    </row>
    <row r="15724" spans="1:2" x14ac:dyDescent="0.25">
      <c r="A15724" s="104"/>
      <c r="B15724" s="104"/>
    </row>
    <row r="15725" spans="1:2" x14ac:dyDescent="0.25">
      <c r="A15725" s="104"/>
      <c r="B15725" s="104"/>
    </row>
    <row r="15726" spans="1:2" x14ac:dyDescent="0.25">
      <c r="A15726" s="104"/>
      <c r="B15726" s="104"/>
    </row>
    <row r="15727" spans="1:2" x14ac:dyDescent="0.25">
      <c r="A15727" s="104"/>
      <c r="B15727" s="104"/>
    </row>
    <row r="15728" spans="1:2" x14ac:dyDescent="0.25">
      <c r="A15728" s="104"/>
      <c r="B15728" s="104"/>
    </row>
    <row r="15729" spans="1:2" x14ac:dyDescent="0.25">
      <c r="A15729" s="104"/>
      <c r="B15729" s="104"/>
    </row>
    <row r="15730" spans="1:2" x14ac:dyDescent="0.25">
      <c r="A15730" s="104"/>
      <c r="B15730" s="104"/>
    </row>
    <row r="15731" spans="1:2" x14ac:dyDescent="0.25">
      <c r="A15731" s="104"/>
      <c r="B15731" s="104"/>
    </row>
    <row r="15732" spans="1:2" x14ac:dyDescent="0.25">
      <c r="A15732" s="104"/>
      <c r="B15732" s="104"/>
    </row>
    <row r="15733" spans="1:2" x14ac:dyDescent="0.25">
      <c r="A15733" s="104"/>
      <c r="B15733" s="104"/>
    </row>
    <row r="15734" spans="1:2" x14ac:dyDescent="0.25">
      <c r="A15734" s="104"/>
      <c r="B15734" s="104"/>
    </row>
    <row r="15735" spans="1:2" x14ac:dyDescent="0.25">
      <c r="A15735" s="104"/>
      <c r="B15735" s="104"/>
    </row>
    <row r="15736" spans="1:2" x14ac:dyDescent="0.25">
      <c r="A15736" s="104"/>
      <c r="B15736" s="104"/>
    </row>
    <row r="15737" spans="1:2" x14ac:dyDescent="0.25">
      <c r="A15737" s="104"/>
      <c r="B15737" s="104"/>
    </row>
    <row r="15738" spans="1:2" x14ac:dyDescent="0.25">
      <c r="A15738" s="104"/>
      <c r="B15738" s="104"/>
    </row>
    <row r="15739" spans="1:2" x14ac:dyDescent="0.25">
      <c r="A15739" s="104"/>
      <c r="B15739" s="104"/>
    </row>
    <row r="15740" spans="1:2" x14ac:dyDescent="0.25">
      <c r="A15740" s="104"/>
      <c r="B15740" s="104"/>
    </row>
    <row r="15741" spans="1:2" x14ac:dyDescent="0.25">
      <c r="A15741" s="104"/>
      <c r="B15741" s="104"/>
    </row>
    <row r="15742" spans="1:2" x14ac:dyDescent="0.25">
      <c r="A15742" s="104"/>
      <c r="B15742" s="104"/>
    </row>
    <row r="15743" spans="1:2" x14ac:dyDescent="0.25">
      <c r="A15743" s="104"/>
      <c r="B15743" s="104"/>
    </row>
    <row r="15744" spans="1:2" x14ac:dyDescent="0.25">
      <c r="A15744" s="104"/>
      <c r="B15744" s="104"/>
    </row>
    <row r="15745" spans="1:2" x14ac:dyDescent="0.25">
      <c r="A15745" s="104"/>
      <c r="B15745" s="104"/>
    </row>
    <row r="15746" spans="1:2" x14ac:dyDescent="0.25">
      <c r="A15746" s="104"/>
      <c r="B15746" s="104"/>
    </row>
    <row r="15747" spans="1:2" x14ac:dyDescent="0.25">
      <c r="A15747" s="104"/>
      <c r="B15747" s="104"/>
    </row>
    <row r="15748" spans="1:2" x14ac:dyDescent="0.25">
      <c r="A15748" s="104"/>
      <c r="B15748" s="104"/>
    </row>
    <row r="15749" spans="1:2" x14ac:dyDescent="0.25">
      <c r="A15749" s="104"/>
      <c r="B15749" s="104"/>
    </row>
    <row r="15750" spans="1:2" x14ac:dyDescent="0.25">
      <c r="A15750" s="104"/>
      <c r="B15750" s="104"/>
    </row>
    <row r="15751" spans="1:2" x14ac:dyDescent="0.25">
      <c r="A15751" s="104"/>
      <c r="B15751" s="104"/>
    </row>
    <row r="15752" spans="1:2" x14ac:dyDescent="0.25">
      <c r="A15752" s="104"/>
      <c r="B15752" s="104"/>
    </row>
    <row r="15753" spans="1:2" x14ac:dyDescent="0.25">
      <c r="A15753" s="104"/>
      <c r="B15753" s="104"/>
    </row>
    <row r="15754" spans="1:2" x14ac:dyDescent="0.25">
      <c r="A15754" s="104"/>
      <c r="B15754" s="104"/>
    </row>
    <row r="15755" spans="1:2" x14ac:dyDescent="0.25">
      <c r="A15755" s="104"/>
      <c r="B15755" s="104"/>
    </row>
    <row r="15756" spans="1:2" x14ac:dyDescent="0.25">
      <c r="A15756" s="104"/>
      <c r="B15756" s="104"/>
    </row>
    <row r="15757" spans="1:2" x14ac:dyDescent="0.25">
      <c r="A15757" s="104"/>
      <c r="B15757" s="104"/>
    </row>
    <row r="15758" spans="1:2" x14ac:dyDescent="0.25">
      <c r="A15758" s="104"/>
      <c r="B15758" s="104"/>
    </row>
    <row r="15759" spans="1:2" x14ac:dyDescent="0.25">
      <c r="A15759" s="104"/>
      <c r="B15759" s="104"/>
    </row>
    <row r="15760" spans="1:2" x14ac:dyDescent="0.25">
      <c r="A15760" s="104"/>
      <c r="B15760" s="104"/>
    </row>
    <row r="15761" spans="1:2" x14ac:dyDescent="0.25">
      <c r="A15761" s="104"/>
      <c r="B15761" s="104"/>
    </row>
    <row r="15762" spans="1:2" x14ac:dyDescent="0.25">
      <c r="A15762" s="104"/>
      <c r="B15762" s="104"/>
    </row>
    <row r="15763" spans="1:2" x14ac:dyDescent="0.25">
      <c r="A15763" s="104"/>
      <c r="B15763" s="104"/>
    </row>
    <row r="15764" spans="1:2" x14ac:dyDescent="0.25">
      <c r="A15764" s="104"/>
      <c r="B15764" s="104"/>
    </row>
    <row r="15765" spans="1:2" x14ac:dyDescent="0.25">
      <c r="A15765" s="104"/>
      <c r="B15765" s="104"/>
    </row>
    <row r="15766" spans="1:2" x14ac:dyDescent="0.25">
      <c r="A15766" s="104"/>
      <c r="B15766" s="104"/>
    </row>
    <row r="15767" spans="1:2" x14ac:dyDescent="0.25">
      <c r="A15767" s="104"/>
      <c r="B15767" s="104"/>
    </row>
    <row r="15768" spans="1:2" x14ac:dyDescent="0.25">
      <c r="A15768" s="104"/>
      <c r="B15768" s="104"/>
    </row>
    <row r="15769" spans="1:2" x14ac:dyDescent="0.25">
      <c r="A15769" s="104"/>
      <c r="B15769" s="104"/>
    </row>
    <row r="15770" spans="1:2" x14ac:dyDescent="0.25">
      <c r="A15770" s="104"/>
      <c r="B15770" s="104"/>
    </row>
    <row r="15771" spans="1:2" x14ac:dyDescent="0.25">
      <c r="A15771" s="104"/>
      <c r="B15771" s="104"/>
    </row>
    <row r="15772" spans="1:2" x14ac:dyDescent="0.25">
      <c r="A15772" s="104"/>
      <c r="B15772" s="104"/>
    </row>
    <row r="15773" spans="1:2" x14ac:dyDescent="0.25">
      <c r="A15773" s="104"/>
      <c r="B15773" s="104"/>
    </row>
    <row r="15774" spans="1:2" x14ac:dyDescent="0.25">
      <c r="A15774" s="104"/>
      <c r="B15774" s="104"/>
    </row>
    <row r="15775" spans="1:2" x14ac:dyDescent="0.25">
      <c r="A15775" s="104"/>
      <c r="B15775" s="104"/>
    </row>
    <row r="15776" spans="1:2" x14ac:dyDescent="0.25">
      <c r="A15776" s="104"/>
      <c r="B15776" s="104"/>
    </row>
    <row r="15777" spans="1:2" x14ac:dyDescent="0.25">
      <c r="A15777" s="104"/>
      <c r="B15777" s="104"/>
    </row>
    <row r="15778" spans="1:2" x14ac:dyDescent="0.25">
      <c r="A15778" s="104"/>
      <c r="B15778" s="104"/>
    </row>
    <row r="15779" spans="1:2" x14ac:dyDescent="0.25">
      <c r="A15779" s="104"/>
      <c r="B15779" s="104"/>
    </row>
    <row r="15780" spans="1:2" x14ac:dyDescent="0.25">
      <c r="A15780" s="104"/>
      <c r="B15780" s="104"/>
    </row>
    <row r="15781" spans="1:2" x14ac:dyDescent="0.25">
      <c r="A15781" s="104"/>
      <c r="B15781" s="104"/>
    </row>
    <row r="15782" spans="1:2" x14ac:dyDescent="0.25">
      <c r="A15782" s="104"/>
      <c r="B15782" s="104"/>
    </row>
    <row r="15783" spans="1:2" x14ac:dyDescent="0.25">
      <c r="A15783" s="104"/>
      <c r="B15783" s="104"/>
    </row>
    <row r="15784" spans="1:2" x14ac:dyDescent="0.25">
      <c r="A15784" s="104"/>
      <c r="B15784" s="104"/>
    </row>
    <row r="15785" spans="1:2" x14ac:dyDescent="0.25">
      <c r="A15785" s="104"/>
      <c r="B15785" s="104"/>
    </row>
    <row r="15786" spans="1:2" x14ac:dyDescent="0.25">
      <c r="A15786" s="104"/>
      <c r="B15786" s="104"/>
    </row>
    <row r="15787" spans="1:2" x14ac:dyDescent="0.25">
      <c r="A15787" s="104"/>
      <c r="B15787" s="104"/>
    </row>
    <row r="15788" spans="1:2" x14ac:dyDescent="0.25">
      <c r="A15788" s="104"/>
      <c r="B15788" s="104"/>
    </row>
    <row r="15789" spans="1:2" x14ac:dyDescent="0.25">
      <c r="A15789" s="104"/>
      <c r="B15789" s="104"/>
    </row>
    <row r="15790" spans="1:2" x14ac:dyDescent="0.25">
      <c r="A15790" s="104"/>
      <c r="B15790" s="104"/>
    </row>
    <row r="15791" spans="1:2" x14ac:dyDescent="0.25">
      <c r="A15791" s="104"/>
      <c r="B15791" s="104"/>
    </row>
    <row r="15792" spans="1:2" x14ac:dyDescent="0.25">
      <c r="A15792" s="104"/>
      <c r="B15792" s="104"/>
    </row>
    <row r="15793" spans="1:2" x14ac:dyDescent="0.25">
      <c r="A15793" s="104"/>
      <c r="B15793" s="104"/>
    </row>
    <row r="15794" spans="1:2" x14ac:dyDescent="0.25">
      <c r="A15794" s="104"/>
      <c r="B15794" s="104"/>
    </row>
    <row r="15795" spans="1:2" x14ac:dyDescent="0.25">
      <c r="A15795" s="104"/>
      <c r="B15795" s="104"/>
    </row>
    <row r="15796" spans="1:2" x14ac:dyDescent="0.25">
      <c r="A15796" s="104"/>
      <c r="B15796" s="104"/>
    </row>
    <row r="15797" spans="1:2" x14ac:dyDescent="0.25">
      <c r="A15797" s="104"/>
      <c r="B15797" s="104"/>
    </row>
    <row r="15798" spans="1:2" x14ac:dyDescent="0.25">
      <c r="A15798" s="104"/>
      <c r="B15798" s="104"/>
    </row>
    <row r="15799" spans="1:2" x14ac:dyDescent="0.25">
      <c r="A15799" s="104"/>
      <c r="B15799" s="104"/>
    </row>
    <row r="15800" spans="1:2" x14ac:dyDescent="0.25">
      <c r="A15800" s="104"/>
      <c r="B15800" s="104"/>
    </row>
    <row r="15801" spans="1:2" x14ac:dyDescent="0.25">
      <c r="A15801" s="104"/>
      <c r="B15801" s="104"/>
    </row>
    <row r="15802" spans="1:2" x14ac:dyDescent="0.25">
      <c r="A15802" s="104"/>
      <c r="B15802" s="104"/>
    </row>
    <row r="15803" spans="1:2" x14ac:dyDescent="0.25">
      <c r="A15803" s="104"/>
      <c r="B15803" s="104"/>
    </row>
    <row r="15804" spans="1:2" x14ac:dyDescent="0.25">
      <c r="A15804" s="104"/>
      <c r="B15804" s="104"/>
    </row>
    <row r="15805" spans="1:2" x14ac:dyDescent="0.25">
      <c r="A15805" s="104"/>
      <c r="B15805" s="104"/>
    </row>
    <row r="15806" spans="1:2" x14ac:dyDescent="0.25">
      <c r="A15806" s="104"/>
      <c r="B15806" s="104"/>
    </row>
    <row r="15807" spans="1:2" x14ac:dyDescent="0.25">
      <c r="A15807" s="104"/>
      <c r="B15807" s="104"/>
    </row>
    <row r="15808" spans="1:2" x14ac:dyDescent="0.25">
      <c r="A15808" s="104"/>
      <c r="B15808" s="104"/>
    </row>
    <row r="15809" spans="1:2" x14ac:dyDescent="0.25">
      <c r="A15809" s="104"/>
      <c r="B15809" s="104"/>
    </row>
    <row r="15810" spans="1:2" x14ac:dyDescent="0.25">
      <c r="A15810" s="104"/>
      <c r="B15810" s="104"/>
    </row>
    <row r="15811" spans="1:2" x14ac:dyDescent="0.25">
      <c r="A15811" s="104"/>
      <c r="B15811" s="104"/>
    </row>
    <row r="15812" spans="1:2" x14ac:dyDescent="0.25">
      <c r="A15812" s="104"/>
      <c r="B15812" s="104"/>
    </row>
    <row r="15813" spans="1:2" x14ac:dyDescent="0.25">
      <c r="A15813" s="104"/>
      <c r="B15813" s="104"/>
    </row>
    <row r="15814" spans="1:2" x14ac:dyDescent="0.25">
      <c r="A15814" s="104"/>
      <c r="B15814" s="104"/>
    </row>
    <row r="15815" spans="1:2" x14ac:dyDescent="0.25">
      <c r="A15815" s="104"/>
      <c r="B15815" s="104"/>
    </row>
    <row r="15816" spans="1:2" x14ac:dyDescent="0.25">
      <c r="A15816" s="104"/>
      <c r="B15816" s="104"/>
    </row>
    <row r="15817" spans="1:2" x14ac:dyDescent="0.25">
      <c r="A15817" s="104"/>
      <c r="B15817" s="104"/>
    </row>
    <row r="15818" spans="1:2" x14ac:dyDescent="0.25">
      <c r="A15818" s="104"/>
      <c r="B15818" s="104"/>
    </row>
    <row r="15819" spans="1:2" x14ac:dyDescent="0.25">
      <c r="A15819" s="104"/>
      <c r="B15819" s="104"/>
    </row>
    <row r="15820" spans="1:2" x14ac:dyDescent="0.25">
      <c r="A15820" s="104"/>
      <c r="B15820" s="104"/>
    </row>
    <row r="15821" spans="1:2" x14ac:dyDescent="0.25">
      <c r="A15821" s="104"/>
      <c r="B15821" s="104"/>
    </row>
    <row r="15822" spans="1:2" x14ac:dyDescent="0.25">
      <c r="A15822" s="104"/>
      <c r="B15822" s="104"/>
    </row>
    <row r="15823" spans="1:2" x14ac:dyDescent="0.25">
      <c r="A15823" s="104"/>
      <c r="B15823" s="104"/>
    </row>
    <row r="15824" spans="1:2" x14ac:dyDescent="0.25">
      <c r="A15824" s="104"/>
      <c r="B15824" s="104"/>
    </row>
    <row r="15825" spans="1:2" x14ac:dyDescent="0.25">
      <c r="A15825" s="104"/>
      <c r="B15825" s="104"/>
    </row>
    <row r="15826" spans="1:2" x14ac:dyDescent="0.25">
      <c r="A15826" s="104"/>
      <c r="B15826" s="104"/>
    </row>
    <row r="15827" spans="1:2" x14ac:dyDescent="0.25">
      <c r="A15827" s="104"/>
      <c r="B15827" s="104"/>
    </row>
    <row r="15828" spans="1:2" x14ac:dyDescent="0.25">
      <c r="A15828" s="104"/>
      <c r="B15828" s="104"/>
    </row>
    <row r="15829" spans="1:2" x14ac:dyDescent="0.25">
      <c r="A15829" s="104"/>
      <c r="B15829" s="104"/>
    </row>
    <row r="15830" spans="1:2" x14ac:dyDescent="0.25">
      <c r="A15830" s="104"/>
      <c r="B15830" s="104"/>
    </row>
    <row r="15831" spans="1:2" x14ac:dyDescent="0.25">
      <c r="A15831" s="104"/>
      <c r="B15831" s="104"/>
    </row>
    <row r="15832" spans="1:2" x14ac:dyDescent="0.25">
      <c r="A15832" s="104"/>
      <c r="B15832" s="104"/>
    </row>
    <row r="15833" spans="1:2" x14ac:dyDescent="0.25">
      <c r="A15833" s="104"/>
      <c r="B15833" s="104"/>
    </row>
    <row r="15834" spans="1:2" x14ac:dyDescent="0.25">
      <c r="A15834" s="104"/>
      <c r="B15834" s="104"/>
    </row>
    <row r="15835" spans="1:2" x14ac:dyDescent="0.25">
      <c r="A15835" s="104"/>
      <c r="B15835" s="104"/>
    </row>
    <row r="15836" spans="1:2" x14ac:dyDescent="0.25">
      <c r="A15836" s="104"/>
      <c r="B15836" s="104"/>
    </row>
    <row r="15837" spans="1:2" x14ac:dyDescent="0.25">
      <c r="A15837" s="104"/>
      <c r="B15837" s="104"/>
    </row>
    <row r="15838" spans="1:2" x14ac:dyDescent="0.25">
      <c r="A15838" s="104"/>
      <c r="B15838" s="104"/>
    </row>
    <row r="15839" spans="1:2" x14ac:dyDescent="0.25">
      <c r="A15839" s="104"/>
      <c r="B15839" s="104"/>
    </row>
    <row r="15840" spans="1:2" x14ac:dyDescent="0.25">
      <c r="A15840" s="104"/>
      <c r="B15840" s="104"/>
    </row>
    <row r="15841" spans="1:2" x14ac:dyDescent="0.25">
      <c r="A15841" s="104"/>
      <c r="B15841" s="104"/>
    </row>
    <row r="15842" spans="1:2" x14ac:dyDescent="0.25">
      <c r="A15842" s="104"/>
      <c r="B15842" s="104"/>
    </row>
    <row r="15843" spans="1:2" x14ac:dyDescent="0.25">
      <c r="A15843" s="104"/>
      <c r="B15843" s="104"/>
    </row>
    <row r="15844" spans="1:2" x14ac:dyDescent="0.25">
      <c r="A15844" s="104"/>
      <c r="B15844" s="104"/>
    </row>
    <row r="15845" spans="1:2" x14ac:dyDescent="0.25">
      <c r="A15845" s="104"/>
      <c r="B15845" s="104"/>
    </row>
    <row r="15846" spans="1:2" x14ac:dyDescent="0.25">
      <c r="A15846" s="104"/>
      <c r="B15846" s="104"/>
    </row>
    <row r="15847" spans="1:2" x14ac:dyDescent="0.25">
      <c r="A15847" s="104"/>
      <c r="B15847" s="104"/>
    </row>
    <row r="15848" spans="1:2" x14ac:dyDescent="0.25">
      <c r="A15848" s="104"/>
      <c r="B15848" s="104"/>
    </row>
    <row r="15849" spans="1:2" x14ac:dyDescent="0.25">
      <c r="A15849" s="104"/>
      <c r="B15849" s="104"/>
    </row>
    <row r="15850" spans="1:2" x14ac:dyDescent="0.25">
      <c r="A15850" s="104"/>
      <c r="B15850" s="104"/>
    </row>
    <row r="15851" spans="1:2" x14ac:dyDescent="0.25">
      <c r="A15851" s="104"/>
      <c r="B15851" s="104"/>
    </row>
    <row r="15852" spans="1:2" x14ac:dyDescent="0.25">
      <c r="A15852" s="104"/>
      <c r="B15852" s="104"/>
    </row>
    <row r="15853" spans="1:2" x14ac:dyDescent="0.25">
      <c r="A15853" s="104"/>
      <c r="B15853" s="104"/>
    </row>
    <row r="15854" spans="1:2" x14ac:dyDescent="0.25">
      <c r="A15854" s="104"/>
      <c r="B15854" s="104"/>
    </row>
    <row r="15855" spans="1:2" x14ac:dyDescent="0.25">
      <c r="A15855" s="104"/>
      <c r="B15855" s="104"/>
    </row>
    <row r="15856" spans="1:2" x14ac:dyDescent="0.25">
      <c r="A15856" s="104"/>
      <c r="B15856" s="104"/>
    </row>
    <row r="15857" spans="1:2" x14ac:dyDescent="0.25">
      <c r="A15857" s="104"/>
      <c r="B15857" s="104"/>
    </row>
    <row r="15858" spans="1:2" x14ac:dyDescent="0.25">
      <c r="A15858" s="104"/>
      <c r="B15858" s="104"/>
    </row>
    <row r="15859" spans="1:2" x14ac:dyDescent="0.25">
      <c r="A15859" s="104"/>
      <c r="B15859" s="104"/>
    </row>
    <row r="15860" spans="1:2" x14ac:dyDescent="0.25">
      <c r="A15860" s="104"/>
      <c r="B15860" s="104"/>
    </row>
    <row r="15861" spans="1:2" x14ac:dyDescent="0.25">
      <c r="A15861" s="104"/>
      <c r="B15861" s="104"/>
    </row>
    <row r="15862" spans="1:2" x14ac:dyDescent="0.25">
      <c r="A15862" s="104"/>
      <c r="B15862" s="104"/>
    </row>
    <row r="15863" spans="1:2" x14ac:dyDescent="0.25">
      <c r="A15863" s="104"/>
      <c r="B15863" s="104"/>
    </row>
    <row r="15864" spans="1:2" x14ac:dyDescent="0.25">
      <c r="A15864" s="104"/>
      <c r="B15864" s="104"/>
    </row>
    <row r="15865" spans="1:2" x14ac:dyDescent="0.25">
      <c r="A15865" s="104"/>
      <c r="B15865" s="104"/>
    </row>
    <row r="15866" spans="1:2" x14ac:dyDescent="0.25">
      <c r="A15866" s="104"/>
      <c r="B15866" s="104"/>
    </row>
    <row r="15867" spans="1:2" x14ac:dyDescent="0.25">
      <c r="A15867" s="104"/>
      <c r="B15867" s="104"/>
    </row>
    <row r="15868" spans="1:2" x14ac:dyDescent="0.25">
      <c r="A15868" s="104"/>
      <c r="B15868" s="104"/>
    </row>
    <row r="15869" spans="1:2" x14ac:dyDescent="0.25">
      <c r="A15869" s="104"/>
      <c r="B15869" s="104"/>
    </row>
    <row r="15870" spans="1:2" x14ac:dyDescent="0.25">
      <c r="A15870" s="104"/>
      <c r="B15870" s="104"/>
    </row>
    <row r="15871" spans="1:2" x14ac:dyDescent="0.25">
      <c r="A15871" s="104"/>
      <c r="B15871" s="104"/>
    </row>
    <row r="15872" spans="1:2" x14ac:dyDescent="0.25">
      <c r="A15872" s="104"/>
      <c r="B15872" s="104"/>
    </row>
    <row r="15873" spans="1:2" x14ac:dyDescent="0.25">
      <c r="A15873" s="104"/>
      <c r="B15873" s="104"/>
    </row>
    <row r="15874" spans="1:2" x14ac:dyDescent="0.25">
      <c r="A15874" s="104"/>
      <c r="B15874" s="104"/>
    </row>
    <row r="15875" spans="1:2" x14ac:dyDescent="0.25">
      <c r="A15875" s="104"/>
      <c r="B15875" s="104"/>
    </row>
    <row r="15876" spans="1:2" x14ac:dyDescent="0.25">
      <c r="A15876" s="104"/>
      <c r="B15876" s="104"/>
    </row>
    <row r="15877" spans="1:2" x14ac:dyDescent="0.25">
      <c r="A15877" s="104"/>
      <c r="B15877" s="104"/>
    </row>
    <row r="15878" spans="1:2" x14ac:dyDescent="0.25">
      <c r="A15878" s="104"/>
      <c r="B15878" s="104"/>
    </row>
    <row r="15879" spans="1:2" x14ac:dyDescent="0.25">
      <c r="A15879" s="104"/>
      <c r="B15879" s="104"/>
    </row>
    <row r="15880" spans="1:2" x14ac:dyDescent="0.25">
      <c r="A15880" s="104"/>
      <c r="B15880" s="104"/>
    </row>
    <row r="15881" spans="1:2" x14ac:dyDescent="0.25">
      <c r="A15881" s="104"/>
      <c r="B15881" s="104"/>
    </row>
    <row r="15882" spans="1:2" x14ac:dyDescent="0.25">
      <c r="A15882" s="104"/>
      <c r="B15882" s="104"/>
    </row>
    <row r="15883" spans="1:2" x14ac:dyDescent="0.25">
      <c r="A15883" s="104"/>
      <c r="B15883" s="104"/>
    </row>
    <row r="15884" spans="1:2" x14ac:dyDescent="0.25">
      <c r="A15884" s="104"/>
      <c r="B15884" s="104"/>
    </row>
    <row r="15885" spans="1:2" x14ac:dyDescent="0.25">
      <c r="A15885" s="104"/>
      <c r="B15885" s="104"/>
    </row>
    <row r="15886" spans="1:2" x14ac:dyDescent="0.25">
      <c r="A15886" s="104"/>
      <c r="B15886" s="104"/>
    </row>
    <row r="15887" spans="1:2" x14ac:dyDescent="0.25">
      <c r="A15887" s="104"/>
      <c r="B15887" s="104"/>
    </row>
    <row r="15888" spans="1:2" x14ac:dyDescent="0.25">
      <c r="A15888" s="104"/>
      <c r="B15888" s="104"/>
    </row>
    <row r="15889" spans="1:2" x14ac:dyDescent="0.25">
      <c r="A15889" s="104"/>
      <c r="B15889" s="104"/>
    </row>
    <row r="15890" spans="1:2" x14ac:dyDescent="0.25">
      <c r="A15890" s="104"/>
      <c r="B15890" s="104"/>
    </row>
    <row r="15891" spans="1:2" x14ac:dyDescent="0.25">
      <c r="A15891" s="104"/>
      <c r="B15891" s="104"/>
    </row>
    <row r="15892" spans="1:2" x14ac:dyDescent="0.25">
      <c r="A15892" s="104"/>
      <c r="B15892" s="104"/>
    </row>
    <row r="15893" spans="1:2" x14ac:dyDescent="0.25">
      <c r="A15893" s="104"/>
      <c r="B15893" s="104"/>
    </row>
    <row r="15894" spans="1:2" x14ac:dyDescent="0.25">
      <c r="A15894" s="104"/>
      <c r="B15894" s="104"/>
    </row>
    <row r="15895" spans="1:2" x14ac:dyDescent="0.25">
      <c r="A15895" s="104"/>
      <c r="B15895" s="104"/>
    </row>
    <row r="15896" spans="1:2" x14ac:dyDescent="0.25">
      <c r="A15896" s="104"/>
      <c r="B15896" s="104"/>
    </row>
    <row r="15897" spans="1:2" x14ac:dyDescent="0.25">
      <c r="A15897" s="104"/>
      <c r="B15897" s="104"/>
    </row>
    <row r="15898" spans="1:2" x14ac:dyDescent="0.25">
      <c r="A15898" s="104"/>
      <c r="B15898" s="104"/>
    </row>
    <row r="15899" spans="1:2" x14ac:dyDescent="0.25">
      <c r="A15899" s="104"/>
      <c r="B15899" s="104"/>
    </row>
    <row r="15900" spans="1:2" x14ac:dyDescent="0.25">
      <c r="A15900" s="104"/>
      <c r="B15900" s="104"/>
    </row>
    <row r="15901" spans="1:2" x14ac:dyDescent="0.25">
      <c r="A15901" s="104"/>
      <c r="B15901" s="104"/>
    </row>
    <row r="15902" spans="1:2" x14ac:dyDescent="0.25">
      <c r="A15902" s="104"/>
      <c r="B15902" s="104"/>
    </row>
    <row r="15903" spans="1:2" x14ac:dyDescent="0.25">
      <c r="A15903" s="104"/>
      <c r="B15903" s="104"/>
    </row>
    <row r="15904" spans="1:2" x14ac:dyDescent="0.25">
      <c r="A15904" s="104"/>
      <c r="B15904" s="104"/>
    </row>
    <row r="15905" spans="1:2" x14ac:dyDescent="0.25">
      <c r="A15905" s="104"/>
      <c r="B15905" s="104"/>
    </row>
    <row r="15906" spans="1:2" x14ac:dyDescent="0.25">
      <c r="A15906" s="104"/>
      <c r="B15906" s="104"/>
    </row>
    <row r="15907" spans="1:2" x14ac:dyDescent="0.25">
      <c r="A15907" s="104"/>
      <c r="B15907" s="104"/>
    </row>
    <row r="15908" spans="1:2" x14ac:dyDescent="0.25">
      <c r="A15908" s="104"/>
      <c r="B15908" s="104"/>
    </row>
    <row r="15909" spans="1:2" x14ac:dyDescent="0.25">
      <c r="A15909" s="104"/>
      <c r="B15909" s="104"/>
    </row>
    <row r="15910" spans="1:2" x14ac:dyDescent="0.25">
      <c r="A15910" s="104"/>
      <c r="B15910" s="104"/>
    </row>
    <row r="15911" spans="1:2" x14ac:dyDescent="0.25">
      <c r="A15911" s="104"/>
      <c r="B15911" s="104"/>
    </row>
    <row r="15912" spans="1:2" x14ac:dyDescent="0.25">
      <c r="A15912" s="104"/>
      <c r="B15912" s="104"/>
    </row>
    <row r="15913" spans="1:2" x14ac:dyDescent="0.25">
      <c r="A15913" s="104"/>
      <c r="B15913" s="104"/>
    </row>
    <row r="15914" spans="1:2" x14ac:dyDescent="0.25">
      <c r="A15914" s="104"/>
      <c r="B15914" s="104"/>
    </row>
    <row r="15915" spans="1:2" x14ac:dyDescent="0.25">
      <c r="A15915" s="104"/>
      <c r="B15915" s="104"/>
    </row>
    <row r="15916" spans="1:2" x14ac:dyDescent="0.25">
      <c r="A15916" s="104"/>
      <c r="B15916" s="104"/>
    </row>
    <row r="15917" spans="1:2" x14ac:dyDescent="0.25">
      <c r="A15917" s="104"/>
      <c r="B15917" s="104"/>
    </row>
    <row r="15918" spans="1:2" x14ac:dyDescent="0.25">
      <c r="A15918" s="104"/>
      <c r="B15918" s="104"/>
    </row>
    <row r="15919" spans="1:2" x14ac:dyDescent="0.25">
      <c r="A15919" s="104"/>
      <c r="B15919" s="104"/>
    </row>
    <row r="15920" spans="1:2" x14ac:dyDescent="0.25">
      <c r="A15920" s="104"/>
      <c r="B15920" s="104"/>
    </row>
    <row r="15921" spans="1:2" x14ac:dyDescent="0.25">
      <c r="A15921" s="104"/>
      <c r="B15921" s="104"/>
    </row>
    <row r="15922" spans="1:2" x14ac:dyDescent="0.25">
      <c r="A15922" s="104"/>
      <c r="B15922" s="104"/>
    </row>
    <row r="15923" spans="1:2" x14ac:dyDescent="0.25">
      <c r="A15923" s="104"/>
      <c r="B15923" s="104"/>
    </row>
    <row r="15924" spans="1:2" x14ac:dyDescent="0.25">
      <c r="A15924" s="104"/>
      <c r="B15924" s="104"/>
    </row>
    <row r="15925" spans="1:2" x14ac:dyDescent="0.25">
      <c r="A15925" s="104"/>
      <c r="B15925" s="104"/>
    </row>
    <row r="15926" spans="1:2" x14ac:dyDescent="0.25">
      <c r="A15926" s="104"/>
      <c r="B15926" s="104"/>
    </row>
    <row r="15927" spans="1:2" x14ac:dyDescent="0.25">
      <c r="A15927" s="104"/>
      <c r="B15927" s="104"/>
    </row>
    <row r="15928" spans="1:2" x14ac:dyDescent="0.25">
      <c r="A15928" s="104"/>
      <c r="B15928" s="104"/>
    </row>
    <row r="15929" spans="1:2" x14ac:dyDescent="0.25">
      <c r="A15929" s="104"/>
      <c r="B15929" s="104"/>
    </row>
    <row r="15930" spans="1:2" x14ac:dyDescent="0.25">
      <c r="A15930" s="104"/>
      <c r="B15930" s="104"/>
    </row>
    <row r="15931" spans="1:2" x14ac:dyDescent="0.25">
      <c r="A15931" s="104"/>
      <c r="B15931" s="104"/>
    </row>
    <row r="15932" spans="1:2" x14ac:dyDescent="0.25">
      <c r="A15932" s="104"/>
      <c r="B15932" s="104"/>
    </row>
    <row r="15933" spans="1:2" x14ac:dyDescent="0.25">
      <c r="A15933" s="104"/>
      <c r="B15933" s="104"/>
    </row>
    <row r="15934" spans="1:2" x14ac:dyDescent="0.25">
      <c r="A15934" s="104"/>
      <c r="B15934" s="104"/>
    </row>
    <row r="15935" spans="1:2" x14ac:dyDescent="0.25">
      <c r="A15935" s="104"/>
      <c r="B15935" s="104"/>
    </row>
    <row r="15936" spans="1:2" x14ac:dyDescent="0.25">
      <c r="A15936" s="104"/>
      <c r="B15936" s="104"/>
    </row>
    <row r="15937" spans="1:2" x14ac:dyDescent="0.25">
      <c r="A15937" s="104"/>
      <c r="B15937" s="104"/>
    </row>
    <row r="15938" spans="1:2" x14ac:dyDescent="0.25">
      <c r="A15938" s="104"/>
      <c r="B15938" s="104"/>
    </row>
    <row r="15939" spans="1:2" x14ac:dyDescent="0.25">
      <c r="A15939" s="104"/>
      <c r="B15939" s="104"/>
    </row>
    <row r="15940" spans="1:2" x14ac:dyDescent="0.25">
      <c r="A15940" s="104"/>
      <c r="B15940" s="104"/>
    </row>
    <row r="15941" spans="1:2" x14ac:dyDescent="0.25">
      <c r="A15941" s="104"/>
      <c r="B15941" s="104"/>
    </row>
    <row r="15942" spans="1:2" x14ac:dyDescent="0.25">
      <c r="A15942" s="104"/>
      <c r="B15942" s="104"/>
    </row>
    <row r="15943" spans="1:2" x14ac:dyDescent="0.25">
      <c r="A15943" s="104"/>
      <c r="B15943" s="104"/>
    </row>
    <row r="15944" spans="1:2" x14ac:dyDescent="0.25">
      <c r="A15944" s="104"/>
      <c r="B15944" s="104"/>
    </row>
    <row r="15945" spans="1:2" x14ac:dyDescent="0.25">
      <c r="A15945" s="104"/>
      <c r="B15945" s="104"/>
    </row>
    <row r="15946" spans="1:2" x14ac:dyDescent="0.25">
      <c r="A15946" s="104"/>
      <c r="B15946" s="104"/>
    </row>
    <row r="15947" spans="1:2" x14ac:dyDescent="0.25">
      <c r="A15947" s="104"/>
      <c r="B15947" s="104"/>
    </row>
    <row r="15948" spans="1:2" x14ac:dyDescent="0.25">
      <c r="A15948" s="104"/>
      <c r="B15948" s="104"/>
    </row>
    <row r="15949" spans="1:2" x14ac:dyDescent="0.25">
      <c r="A15949" s="104"/>
      <c r="B15949" s="104"/>
    </row>
    <row r="15950" spans="1:2" x14ac:dyDescent="0.25">
      <c r="A15950" s="104"/>
      <c r="B15950" s="104"/>
    </row>
    <row r="15951" spans="1:2" x14ac:dyDescent="0.25">
      <c r="A15951" s="104"/>
      <c r="B15951" s="104"/>
    </row>
    <row r="15952" spans="1:2" x14ac:dyDescent="0.25">
      <c r="A15952" s="104"/>
      <c r="B15952" s="104"/>
    </row>
    <row r="15953" spans="1:2" x14ac:dyDescent="0.25">
      <c r="A15953" s="104"/>
      <c r="B15953" s="104"/>
    </row>
    <row r="15954" spans="1:2" x14ac:dyDescent="0.25">
      <c r="A15954" s="104"/>
      <c r="B15954" s="104"/>
    </row>
    <row r="15955" spans="1:2" x14ac:dyDescent="0.25">
      <c r="A15955" s="104"/>
      <c r="B15955" s="104"/>
    </row>
    <row r="15956" spans="1:2" x14ac:dyDescent="0.25">
      <c r="A15956" s="104"/>
      <c r="B15956" s="104"/>
    </row>
    <row r="15957" spans="1:2" x14ac:dyDescent="0.25">
      <c r="A15957" s="104"/>
      <c r="B15957" s="104"/>
    </row>
    <row r="15958" spans="1:2" x14ac:dyDescent="0.25">
      <c r="A15958" s="104"/>
      <c r="B15958" s="104"/>
    </row>
    <row r="15959" spans="1:2" x14ac:dyDescent="0.25">
      <c r="A15959" s="104"/>
      <c r="B15959" s="104"/>
    </row>
    <row r="15960" spans="1:2" x14ac:dyDescent="0.25">
      <c r="A15960" s="104"/>
      <c r="B15960" s="104"/>
    </row>
    <row r="15961" spans="1:2" x14ac:dyDescent="0.25">
      <c r="A15961" s="104"/>
      <c r="B15961" s="104"/>
    </row>
    <row r="15962" spans="1:2" x14ac:dyDescent="0.25">
      <c r="A15962" s="104"/>
      <c r="B15962" s="104"/>
    </row>
    <row r="15963" spans="1:2" x14ac:dyDescent="0.25">
      <c r="A15963" s="104"/>
      <c r="B15963" s="104"/>
    </row>
    <row r="15964" spans="1:2" x14ac:dyDescent="0.25">
      <c r="A15964" s="104"/>
      <c r="B15964" s="104"/>
    </row>
    <row r="15965" spans="1:2" x14ac:dyDescent="0.25">
      <c r="A15965" s="104"/>
      <c r="B15965" s="104"/>
    </row>
    <row r="15966" spans="1:2" x14ac:dyDescent="0.25">
      <c r="A15966" s="104"/>
      <c r="B15966" s="104"/>
    </row>
    <row r="15967" spans="1:2" x14ac:dyDescent="0.25">
      <c r="A15967" s="104"/>
      <c r="B15967" s="104"/>
    </row>
    <row r="15968" spans="1:2" x14ac:dyDescent="0.25">
      <c r="A15968" s="104"/>
      <c r="B15968" s="104"/>
    </row>
    <row r="15969" spans="1:2" x14ac:dyDescent="0.25">
      <c r="A15969" s="104"/>
      <c r="B15969" s="104"/>
    </row>
    <row r="15970" spans="1:2" x14ac:dyDescent="0.25">
      <c r="A15970" s="104"/>
      <c r="B15970" s="104"/>
    </row>
    <row r="15971" spans="1:2" x14ac:dyDescent="0.25">
      <c r="A15971" s="104"/>
      <c r="B15971" s="104"/>
    </row>
    <row r="15972" spans="1:2" x14ac:dyDescent="0.25">
      <c r="A15972" s="104"/>
      <c r="B15972" s="104"/>
    </row>
    <row r="15973" spans="1:2" x14ac:dyDescent="0.25">
      <c r="A15973" s="104"/>
      <c r="B15973" s="104"/>
    </row>
    <row r="15974" spans="1:2" x14ac:dyDescent="0.25">
      <c r="A15974" s="104"/>
      <c r="B15974" s="104"/>
    </row>
    <row r="15975" spans="1:2" x14ac:dyDescent="0.25">
      <c r="A15975" s="104"/>
      <c r="B15975" s="104"/>
    </row>
    <row r="15976" spans="1:2" x14ac:dyDescent="0.25">
      <c r="A15976" s="104"/>
      <c r="B15976" s="104"/>
    </row>
    <row r="15977" spans="1:2" x14ac:dyDescent="0.25">
      <c r="A15977" s="104"/>
      <c r="B15977" s="104"/>
    </row>
    <row r="15978" spans="1:2" x14ac:dyDescent="0.25">
      <c r="A15978" s="104"/>
      <c r="B15978" s="104"/>
    </row>
    <row r="15979" spans="1:2" x14ac:dyDescent="0.25">
      <c r="A15979" s="104"/>
      <c r="B15979" s="104"/>
    </row>
    <row r="15980" spans="1:2" x14ac:dyDescent="0.25">
      <c r="A15980" s="104"/>
      <c r="B15980" s="104"/>
    </row>
    <row r="15981" spans="1:2" x14ac:dyDescent="0.25">
      <c r="A15981" s="104"/>
      <c r="B15981" s="104"/>
    </row>
    <row r="15982" spans="1:2" x14ac:dyDescent="0.25">
      <c r="A15982" s="104"/>
      <c r="B15982" s="104"/>
    </row>
    <row r="15983" spans="1:2" x14ac:dyDescent="0.25">
      <c r="A15983" s="104"/>
      <c r="B15983" s="104"/>
    </row>
    <row r="15984" spans="1:2" x14ac:dyDescent="0.25">
      <c r="A15984" s="104"/>
      <c r="B15984" s="104"/>
    </row>
    <row r="15985" spans="1:2" x14ac:dyDescent="0.25">
      <c r="A15985" s="104"/>
      <c r="B15985" s="104"/>
    </row>
    <row r="15986" spans="1:2" x14ac:dyDescent="0.25">
      <c r="A15986" s="104"/>
      <c r="B15986" s="104"/>
    </row>
    <row r="15987" spans="1:2" x14ac:dyDescent="0.25">
      <c r="A15987" s="104"/>
      <c r="B15987" s="104"/>
    </row>
    <row r="15988" spans="1:2" x14ac:dyDescent="0.25">
      <c r="A15988" s="104"/>
      <c r="B15988" s="104"/>
    </row>
    <row r="15989" spans="1:2" x14ac:dyDescent="0.25">
      <c r="A15989" s="104"/>
      <c r="B15989" s="104"/>
    </row>
    <row r="15990" spans="1:2" x14ac:dyDescent="0.25">
      <c r="A15990" s="104"/>
      <c r="B15990" s="104"/>
    </row>
    <row r="15991" spans="1:2" x14ac:dyDescent="0.25">
      <c r="A15991" s="104"/>
      <c r="B15991" s="104"/>
    </row>
    <row r="15992" spans="1:2" x14ac:dyDescent="0.25">
      <c r="A15992" s="104"/>
      <c r="B15992" s="104"/>
    </row>
    <row r="15993" spans="1:2" x14ac:dyDescent="0.25">
      <c r="A15993" s="104"/>
      <c r="B15993" s="104"/>
    </row>
    <row r="15994" spans="1:2" x14ac:dyDescent="0.25">
      <c r="A15994" s="104"/>
      <c r="B15994" s="104"/>
    </row>
    <row r="15995" spans="1:2" x14ac:dyDescent="0.25">
      <c r="A15995" s="104"/>
      <c r="B15995" s="104"/>
    </row>
    <row r="15996" spans="1:2" x14ac:dyDescent="0.25">
      <c r="A15996" s="104"/>
      <c r="B15996" s="104"/>
    </row>
    <row r="15997" spans="1:2" x14ac:dyDescent="0.25">
      <c r="A15997" s="104"/>
      <c r="B15997" s="104"/>
    </row>
    <row r="15998" spans="1:2" x14ac:dyDescent="0.25">
      <c r="A15998" s="104"/>
      <c r="B15998" s="104"/>
    </row>
    <row r="15999" spans="1:2" x14ac:dyDescent="0.25">
      <c r="A15999" s="104"/>
      <c r="B15999" s="104"/>
    </row>
    <row r="16000" spans="1:2" x14ac:dyDescent="0.25">
      <c r="A16000" s="104"/>
      <c r="B16000" s="104"/>
    </row>
    <row r="16001" spans="1:2" x14ac:dyDescent="0.25">
      <c r="A16001" s="104"/>
      <c r="B16001" s="104"/>
    </row>
    <row r="16002" spans="1:2" x14ac:dyDescent="0.25">
      <c r="A16002" s="104"/>
      <c r="B16002" s="104"/>
    </row>
    <row r="16003" spans="1:2" x14ac:dyDescent="0.25">
      <c r="A16003" s="104"/>
      <c r="B16003" s="104"/>
    </row>
    <row r="16004" spans="1:2" x14ac:dyDescent="0.25">
      <c r="A16004" s="104"/>
      <c r="B16004" s="104"/>
    </row>
    <row r="16005" spans="1:2" x14ac:dyDescent="0.25">
      <c r="A16005" s="104"/>
      <c r="B16005" s="104"/>
    </row>
    <row r="16006" spans="1:2" x14ac:dyDescent="0.25">
      <c r="A16006" s="104"/>
      <c r="B16006" s="104"/>
    </row>
    <row r="16007" spans="1:2" x14ac:dyDescent="0.25">
      <c r="A16007" s="104"/>
      <c r="B16007" s="104"/>
    </row>
    <row r="16008" spans="1:2" x14ac:dyDescent="0.25">
      <c r="A16008" s="104"/>
      <c r="B16008" s="104"/>
    </row>
    <row r="16009" spans="1:2" x14ac:dyDescent="0.25">
      <c r="A16009" s="104"/>
      <c r="B16009" s="104"/>
    </row>
    <row r="16010" spans="1:2" x14ac:dyDescent="0.25">
      <c r="A16010" s="104"/>
      <c r="B16010" s="104"/>
    </row>
    <row r="16011" spans="1:2" x14ac:dyDescent="0.25">
      <c r="A16011" s="104"/>
      <c r="B16011" s="104"/>
    </row>
    <row r="16012" spans="1:2" x14ac:dyDescent="0.25">
      <c r="A16012" s="104"/>
      <c r="B16012" s="104"/>
    </row>
    <row r="16013" spans="1:2" x14ac:dyDescent="0.25">
      <c r="A16013" s="104"/>
      <c r="B16013" s="104"/>
    </row>
    <row r="16014" spans="1:2" x14ac:dyDescent="0.25">
      <c r="A16014" s="104"/>
      <c r="B16014" s="104"/>
    </row>
    <row r="16015" spans="1:2" x14ac:dyDescent="0.25">
      <c r="A16015" s="104"/>
      <c r="B16015" s="104"/>
    </row>
    <row r="16016" spans="1:2" x14ac:dyDescent="0.25">
      <c r="A16016" s="104"/>
      <c r="B16016" s="104"/>
    </row>
    <row r="16017" spans="1:2" x14ac:dyDescent="0.25">
      <c r="A16017" s="104"/>
      <c r="B16017" s="104"/>
    </row>
    <row r="16018" spans="1:2" x14ac:dyDescent="0.25">
      <c r="A16018" s="104"/>
      <c r="B16018" s="104"/>
    </row>
    <row r="16019" spans="1:2" x14ac:dyDescent="0.25">
      <c r="A16019" s="104"/>
      <c r="B16019" s="104"/>
    </row>
    <row r="16020" spans="1:2" x14ac:dyDescent="0.25">
      <c r="A16020" s="104"/>
      <c r="B16020" s="104"/>
    </row>
    <row r="16021" spans="1:2" x14ac:dyDescent="0.25">
      <c r="A16021" s="104"/>
      <c r="B16021" s="104"/>
    </row>
    <row r="16022" spans="1:2" x14ac:dyDescent="0.25">
      <c r="A16022" s="104"/>
      <c r="B16022" s="104"/>
    </row>
    <row r="16023" spans="1:2" x14ac:dyDescent="0.25">
      <c r="A16023" s="104"/>
      <c r="B16023" s="104"/>
    </row>
    <row r="16024" spans="1:2" x14ac:dyDescent="0.25">
      <c r="A16024" s="104"/>
      <c r="B16024" s="104"/>
    </row>
    <row r="16025" spans="1:2" x14ac:dyDescent="0.25">
      <c r="A16025" s="104"/>
      <c r="B16025" s="104"/>
    </row>
    <row r="16026" spans="1:2" x14ac:dyDescent="0.25">
      <c r="A16026" s="104"/>
      <c r="B16026" s="104"/>
    </row>
    <row r="16027" spans="1:2" x14ac:dyDescent="0.25">
      <c r="A16027" s="104"/>
      <c r="B16027" s="104"/>
    </row>
    <row r="16028" spans="1:2" x14ac:dyDescent="0.25">
      <c r="A16028" s="104"/>
      <c r="B16028" s="104"/>
    </row>
    <row r="16029" spans="1:2" x14ac:dyDescent="0.25">
      <c r="A16029" s="104"/>
      <c r="B16029" s="104"/>
    </row>
    <row r="16030" spans="1:2" x14ac:dyDescent="0.25">
      <c r="A16030" s="104"/>
      <c r="B16030" s="104"/>
    </row>
    <row r="16031" spans="1:2" x14ac:dyDescent="0.25">
      <c r="A16031" s="104"/>
      <c r="B16031" s="104"/>
    </row>
    <row r="16032" spans="1:2" x14ac:dyDescent="0.25">
      <c r="A16032" s="104"/>
      <c r="B16032" s="104"/>
    </row>
    <row r="16033" spans="1:2" x14ac:dyDescent="0.25">
      <c r="A16033" s="104"/>
      <c r="B16033" s="104"/>
    </row>
    <row r="16034" spans="1:2" x14ac:dyDescent="0.25">
      <c r="A16034" s="104"/>
      <c r="B16034" s="104"/>
    </row>
    <row r="16035" spans="1:2" x14ac:dyDescent="0.25">
      <c r="A16035" s="104"/>
      <c r="B16035" s="104"/>
    </row>
    <row r="16036" spans="1:2" x14ac:dyDescent="0.25">
      <c r="A16036" s="104"/>
      <c r="B16036" s="104"/>
    </row>
    <row r="16037" spans="1:2" x14ac:dyDescent="0.25">
      <c r="A16037" s="104"/>
      <c r="B16037" s="104"/>
    </row>
    <row r="16038" spans="1:2" x14ac:dyDescent="0.25">
      <c r="A16038" s="104"/>
      <c r="B16038" s="104"/>
    </row>
    <row r="16039" spans="1:2" x14ac:dyDescent="0.25">
      <c r="A16039" s="104"/>
      <c r="B16039" s="104"/>
    </row>
    <row r="16040" spans="1:2" x14ac:dyDescent="0.25">
      <c r="A16040" s="104"/>
      <c r="B16040" s="104"/>
    </row>
    <row r="16041" spans="1:2" x14ac:dyDescent="0.25">
      <c r="A16041" s="104"/>
      <c r="B16041" s="104"/>
    </row>
    <row r="16042" spans="1:2" x14ac:dyDescent="0.25">
      <c r="A16042" s="104"/>
      <c r="B16042" s="104"/>
    </row>
    <row r="16043" spans="1:2" x14ac:dyDescent="0.25">
      <c r="A16043" s="104"/>
      <c r="B16043" s="104"/>
    </row>
    <row r="16044" spans="1:2" x14ac:dyDescent="0.25">
      <c r="A16044" s="104"/>
      <c r="B16044" s="104"/>
    </row>
    <row r="16045" spans="1:2" x14ac:dyDescent="0.25">
      <c r="A16045" s="104"/>
      <c r="B16045" s="104"/>
    </row>
    <row r="16046" spans="1:2" x14ac:dyDescent="0.25">
      <c r="A16046" s="104"/>
      <c r="B16046" s="104"/>
    </row>
    <row r="16047" spans="1:2" x14ac:dyDescent="0.25">
      <c r="A16047" s="104"/>
      <c r="B16047" s="104"/>
    </row>
    <row r="16048" spans="1:2" x14ac:dyDescent="0.25">
      <c r="A16048" s="104"/>
      <c r="B16048" s="104"/>
    </row>
    <row r="16049" spans="1:2" x14ac:dyDescent="0.25">
      <c r="A16049" s="104"/>
      <c r="B16049" s="104"/>
    </row>
    <row r="16050" spans="1:2" x14ac:dyDescent="0.25">
      <c r="A16050" s="104"/>
      <c r="B16050" s="104"/>
    </row>
    <row r="16051" spans="1:2" x14ac:dyDescent="0.25">
      <c r="A16051" s="104"/>
      <c r="B16051" s="104"/>
    </row>
    <row r="16052" spans="1:2" x14ac:dyDescent="0.25">
      <c r="A16052" s="104"/>
      <c r="B16052" s="104"/>
    </row>
    <row r="16053" spans="1:2" x14ac:dyDescent="0.25">
      <c r="A16053" s="104"/>
      <c r="B16053" s="104"/>
    </row>
    <row r="16054" spans="1:2" x14ac:dyDescent="0.25">
      <c r="A16054" s="104"/>
      <c r="B16054" s="104"/>
    </row>
    <row r="16055" spans="1:2" x14ac:dyDescent="0.25">
      <c r="A16055" s="104"/>
      <c r="B16055" s="104"/>
    </row>
    <row r="16056" spans="1:2" x14ac:dyDescent="0.25">
      <c r="A16056" s="104"/>
      <c r="B16056" s="104"/>
    </row>
    <row r="16057" spans="1:2" x14ac:dyDescent="0.25">
      <c r="A16057" s="104"/>
      <c r="B16057" s="104"/>
    </row>
    <row r="16058" spans="1:2" x14ac:dyDescent="0.25">
      <c r="A16058" s="104"/>
      <c r="B16058" s="104"/>
    </row>
    <row r="16059" spans="1:2" x14ac:dyDescent="0.25">
      <c r="A16059" s="104"/>
      <c r="B16059" s="104"/>
    </row>
    <row r="16060" spans="1:2" x14ac:dyDescent="0.25">
      <c r="A16060" s="104"/>
      <c r="B16060" s="104"/>
    </row>
    <row r="16061" spans="1:2" x14ac:dyDescent="0.25">
      <c r="A16061" s="104"/>
      <c r="B16061" s="104"/>
    </row>
    <row r="16062" spans="1:2" x14ac:dyDescent="0.25">
      <c r="A16062" s="104"/>
      <c r="B16062" s="104"/>
    </row>
    <row r="16063" spans="1:2" x14ac:dyDescent="0.25">
      <c r="A16063" s="104"/>
      <c r="B16063" s="104"/>
    </row>
    <row r="16064" spans="1:2" x14ac:dyDescent="0.25">
      <c r="A16064" s="104"/>
      <c r="B16064" s="104"/>
    </row>
    <row r="16065" spans="1:2" x14ac:dyDescent="0.25">
      <c r="A16065" s="104"/>
      <c r="B16065" s="104"/>
    </row>
    <row r="16066" spans="1:2" x14ac:dyDescent="0.25">
      <c r="A16066" s="104"/>
      <c r="B16066" s="104"/>
    </row>
    <row r="16067" spans="1:2" x14ac:dyDescent="0.25">
      <c r="A16067" s="104"/>
      <c r="B16067" s="104"/>
    </row>
    <row r="16068" spans="1:2" x14ac:dyDescent="0.25">
      <c r="A16068" s="104"/>
      <c r="B16068" s="104"/>
    </row>
    <row r="16069" spans="1:2" x14ac:dyDescent="0.25">
      <c r="A16069" s="104"/>
      <c r="B16069" s="104"/>
    </row>
    <row r="16070" spans="1:2" x14ac:dyDescent="0.25">
      <c r="A16070" s="104"/>
      <c r="B16070" s="104"/>
    </row>
    <row r="16071" spans="1:2" x14ac:dyDescent="0.25">
      <c r="A16071" s="104"/>
      <c r="B16071" s="104"/>
    </row>
    <row r="16072" spans="1:2" x14ac:dyDescent="0.25">
      <c r="A16072" s="104"/>
      <c r="B16072" s="104"/>
    </row>
    <row r="16073" spans="1:2" x14ac:dyDescent="0.25">
      <c r="A16073" s="104"/>
      <c r="B16073" s="104"/>
    </row>
    <row r="16074" spans="1:2" x14ac:dyDescent="0.25">
      <c r="A16074" s="104"/>
      <c r="B16074" s="104"/>
    </row>
    <row r="16075" spans="1:2" x14ac:dyDescent="0.25">
      <c r="A16075" s="104"/>
      <c r="B16075" s="104"/>
    </row>
    <row r="16076" spans="1:2" x14ac:dyDescent="0.25">
      <c r="A16076" s="104"/>
      <c r="B16076" s="104"/>
    </row>
    <row r="16077" spans="1:2" x14ac:dyDescent="0.25">
      <c r="A16077" s="104"/>
      <c r="B16077" s="104"/>
    </row>
    <row r="16078" spans="1:2" x14ac:dyDescent="0.25">
      <c r="A16078" s="104"/>
      <c r="B16078" s="104"/>
    </row>
    <row r="16079" spans="1:2" x14ac:dyDescent="0.25">
      <c r="A16079" s="104"/>
      <c r="B16079" s="104"/>
    </row>
    <row r="16080" spans="1:2" x14ac:dyDescent="0.25">
      <c r="A16080" s="104"/>
      <c r="B16080" s="104"/>
    </row>
    <row r="16081" spans="1:2" x14ac:dyDescent="0.25">
      <c r="A16081" s="104"/>
      <c r="B16081" s="104"/>
    </row>
    <row r="16082" spans="1:2" x14ac:dyDescent="0.25">
      <c r="A16082" s="104"/>
      <c r="B16082" s="104"/>
    </row>
    <row r="16083" spans="1:2" x14ac:dyDescent="0.25">
      <c r="A16083" s="104"/>
      <c r="B16083" s="104"/>
    </row>
    <row r="16084" spans="1:2" x14ac:dyDescent="0.25">
      <c r="A16084" s="104"/>
      <c r="B16084" s="104"/>
    </row>
    <row r="16085" spans="1:2" x14ac:dyDescent="0.25">
      <c r="A16085" s="104"/>
      <c r="B16085" s="104"/>
    </row>
    <row r="16086" spans="1:2" x14ac:dyDescent="0.25">
      <c r="A16086" s="104"/>
      <c r="B16086" s="104"/>
    </row>
    <row r="16087" spans="1:2" x14ac:dyDescent="0.25">
      <c r="A16087" s="104"/>
      <c r="B16087" s="104"/>
    </row>
    <row r="16088" spans="1:2" x14ac:dyDescent="0.25">
      <c r="A16088" s="104"/>
      <c r="B16088" s="104"/>
    </row>
    <row r="16089" spans="1:2" x14ac:dyDescent="0.25">
      <c r="A16089" s="104"/>
      <c r="B16089" s="104"/>
    </row>
    <row r="16090" spans="1:2" x14ac:dyDescent="0.25">
      <c r="A16090" s="104"/>
      <c r="B16090" s="104"/>
    </row>
    <row r="16091" spans="1:2" x14ac:dyDescent="0.25">
      <c r="A16091" s="104"/>
      <c r="B16091" s="104"/>
    </row>
    <row r="16092" spans="1:2" x14ac:dyDescent="0.25">
      <c r="A16092" s="104"/>
      <c r="B16092" s="104"/>
    </row>
    <row r="16093" spans="1:2" x14ac:dyDescent="0.25">
      <c r="A16093" s="104"/>
      <c r="B16093" s="104"/>
    </row>
    <row r="16094" spans="1:2" x14ac:dyDescent="0.25">
      <c r="A16094" s="104"/>
      <c r="B16094" s="104"/>
    </row>
    <row r="16095" spans="1:2" x14ac:dyDescent="0.25">
      <c r="A16095" s="104"/>
      <c r="B16095" s="104"/>
    </row>
    <row r="16096" spans="1:2" x14ac:dyDescent="0.25">
      <c r="A16096" s="104"/>
      <c r="B16096" s="104"/>
    </row>
    <row r="16097" spans="1:2" x14ac:dyDescent="0.25">
      <c r="A16097" s="104"/>
      <c r="B16097" s="104"/>
    </row>
    <row r="16098" spans="1:2" x14ac:dyDescent="0.25">
      <c r="A16098" s="104"/>
      <c r="B16098" s="104"/>
    </row>
    <row r="16099" spans="1:2" x14ac:dyDescent="0.25">
      <c r="A16099" s="104"/>
      <c r="B16099" s="104"/>
    </row>
    <row r="16100" spans="1:2" x14ac:dyDescent="0.25">
      <c r="A16100" s="104"/>
      <c r="B16100" s="104"/>
    </row>
    <row r="16101" spans="1:2" x14ac:dyDescent="0.25">
      <c r="A16101" s="104"/>
      <c r="B16101" s="104"/>
    </row>
    <row r="16102" spans="1:2" x14ac:dyDescent="0.25">
      <c r="A16102" s="104"/>
      <c r="B16102" s="104"/>
    </row>
    <row r="16103" spans="1:2" x14ac:dyDescent="0.25">
      <c r="A16103" s="104"/>
      <c r="B16103" s="104"/>
    </row>
    <row r="16104" spans="1:2" x14ac:dyDescent="0.25">
      <c r="A16104" s="104"/>
      <c r="B16104" s="104"/>
    </row>
    <row r="16105" spans="1:2" x14ac:dyDescent="0.25">
      <c r="A16105" s="104"/>
      <c r="B16105" s="104"/>
    </row>
    <row r="16106" spans="1:2" x14ac:dyDescent="0.25">
      <c r="A16106" s="104"/>
      <c r="B16106" s="104"/>
    </row>
    <row r="16107" spans="1:2" x14ac:dyDescent="0.25">
      <c r="A16107" s="104"/>
      <c r="B16107" s="104"/>
    </row>
    <row r="16108" spans="1:2" x14ac:dyDescent="0.25">
      <c r="A16108" s="104"/>
      <c r="B16108" s="104"/>
    </row>
    <row r="16109" spans="1:2" x14ac:dyDescent="0.25">
      <c r="A16109" s="104"/>
      <c r="B16109" s="104"/>
    </row>
    <row r="16110" spans="1:2" x14ac:dyDescent="0.25">
      <c r="A16110" s="104"/>
      <c r="B16110" s="104"/>
    </row>
    <row r="16111" spans="1:2" x14ac:dyDescent="0.25">
      <c r="A16111" s="104"/>
      <c r="B16111" s="104"/>
    </row>
    <row r="16112" spans="1:2" x14ac:dyDescent="0.25">
      <c r="A16112" s="104"/>
      <c r="B16112" s="104"/>
    </row>
    <row r="16113" spans="1:2" x14ac:dyDescent="0.25">
      <c r="A16113" s="104"/>
      <c r="B16113" s="104"/>
    </row>
    <row r="16114" spans="1:2" x14ac:dyDescent="0.25">
      <c r="A16114" s="104"/>
      <c r="B16114" s="104"/>
    </row>
    <row r="16115" spans="1:2" x14ac:dyDescent="0.25">
      <c r="A16115" s="104"/>
      <c r="B16115" s="104"/>
    </row>
    <row r="16116" spans="1:2" x14ac:dyDescent="0.25">
      <c r="A16116" s="104"/>
      <c r="B16116" s="104"/>
    </row>
    <row r="16117" spans="1:2" x14ac:dyDescent="0.25">
      <c r="A16117" s="104"/>
      <c r="B16117" s="104"/>
    </row>
    <row r="16118" spans="1:2" x14ac:dyDescent="0.25">
      <c r="A16118" s="104"/>
      <c r="B16118" s="104"/>
    </row>
    <row r="16119" spans="1:2" x14ac:dyDescent="0.25">
      <c r="A16119" s="104"/>
      <c r="B16119" s="104"/>
    </row>
    <row r="16120" spans="1:2" x14ac:dyDescent="0.25">
      <c r="A16120" s="104"/>
      <c r="B16120" s="104"/>
    </row>
    <row r="16121" spans="1:2" x14ac:dyDescent="0.25">
      <c r="A16121" s="104"/>
      <c r="B16121" s="104"/>
    </row>
    <row r="16122" spans="1:2" x14ac:dyDescent="0.25">
      <c r="A16122" s="104"/>
      <c r="B16122" s="104"/>
    </row>
    <row r="16123" spans="1:2" x14ac:dyDescent="0.25">
      <c r="A16123" s="104"/>
      <c r="B16123" s="104"/>
    </row>
    <row r="16124" spans="1:2" x14ac:dyDescent="0.25">
      <c r="A16124" s="104"/>
      <c r="B16124" s="104"/>
    </row>
    <row r="16125" spans="1:2" x14ac:dyDescent="0.25">
      <c r="A16125" s="104"/>
      <c r="B16125" s="104"/>
    </row>
    <row r="16126" spans="1:2" x14ac:dyDescent="0.25">
      <c r="A16126" s="104"/>
      <c r="B16126" s="104"/>
    </row>
    <row r="16127" spans="1:2" x14ac:dyDescent="0.25">
      <c r="A16127" s="104"/>
      <c r="B16127" s="104"/>
    </row>
    <row r="16128" spans="1:2" x14ac:dyDescent="0.25">
      <c r="A16128" s="104"/>
      <c r="B16128" s="104"/>
    </row>
    <row r="16129" spans="1:2" x14ac:dyDescent="0.25">
      <c r="A16129" s="104"/>
      <c r="B16129" s="104"/>
    </row>
    <row r="16130" spans="1:2" x14ac:dyDescent="0.25">
      <c r="A16130" s="104"/>
      <c r="B16130" s="104"/>
    </row>
    <row r="16131" spans="1:2" x14ac:dyDescent="0.25">
      <c r="A16131" s="104"/>
      <c r="B16131" s="104"/>
    </row>
    <row r="16132" spans="1:2" x14ac:dyDescent="0.25">
      <c r="A16132" s="104"/>
      <c r="B16132" s="104"/>
    </row>
    <row r="16133" spans="1:2" x14ac:dyDescent="0.25">
      <c r="A16133" s="104"/>
      <c r="B16133" s="104"/>
    </row>
    <row r="16134" spans="1:2" x14ac:dyDescent="0.25">
      <c r="A16134" s="104"/>
      <c r="B16134" s="104"/>
    </row>
    <row r="16135" spans="1:2" x14ac:dyDescent="0.25">
      <c r="A16135" s="104"/>
      <c r="B16135" s="104"/>
    </row>
    <row r="16136" spans="1:2" x14ac:dyDescent="0.25">
      <c r="A16136" s="104"/>
      <c r="B16136" s="104"/>
    </row>
    <row r="16137" spans="1:2" x14ac:dyDescent="0.25">
      <c r="A16137" s="104"/>
      <c r="B16137" s="104"/>
    </row>
    <row r="16138" spans="1:2" x14ac:dyDescent="0.25">
      <c r="A16138" s="104"/>
      <c r="B16138" s="104"/>
    </row>
    <row r="16139" spans="1:2" x14ac:dyDescent="0.25">
      <c r="A16139" s="104"/>
      <c r="B16139" s="104"/>
    </row>
    <row r="16140" spans="1:2" x14ac:dyDescent="0.25">
      <c r="A16140" s="104"/>
      <c r="B16140" s="104"/>
    </row>
    <row r="16141" spans="1:2" x14ac:dyDescent="0.25">
      <c r="A16141" s="104"/>
      <c r="B16141" s="104"/>
    </row>
    <row r="16142" spans="1:2" x14ac:dyDescent="0.25">
      <c r="A16142" s="104"/>
      <c r="B16142" s="104"/>
    </row>
    <row r="16143" spans="1:2" x14ac:dyDescent="0.25">
      <c r="A16143" s="104"/>
      <c r="B16143" s="104"/>
    </row>
    <row r="16144" spans="1:2" x14ac:dyDescent="0.25">
      <c r="A16144" s="104"/>
      <c r="B16144" s="104"/>
    </row>
    <row r="16145" spans="1:2" x14ac:dyDescent="0.25">
      <c r="A16145" s="104"/>
      <c r="B16145" s="104"/>
    </row>
    <row r="16146" spans="1:2" x14ac:dyDescent="0.25">
      <c r="A16146" s="104"/>
      <c r="B16146" s="104"/>
    </row>
    <row r="16147" spans="1:2" x14ac:dyDescent="0.25">
      <c r="A16147" s="104"/>
      <c r="B16147" s="104"/>
    </row>
    <row r="16148" spans="1:2" x14ac:dyDescent="0.25">
      <c r="A16148" s="104"/>
      <c r="B16148" s="104"/>
    </row>
    <row r="16149" spans="1:2" x14ac:dyDescent="0.25">
      <c r="A16149" s="104"/>
      <c r="B16149" s="104"/>
    </row>
    <row r="16150" spans="1:2" x14ac:dyDescent="0.25">
      <c r="A16150" s="104"/>
      <c r="B16150" s="104"/>
    </row>
    <row r="16151" spans="1:2" x14ac:dyDescent="0.25">
      <c r="A16151" s="104"/>
      <c r="B16151" s="104"/>
    </row>
    <row r="16152" spans="1:2" x14ac:dyDescent="0.25">
      <c r="A16152" s="104"/>
      <c r="B16152" s="104"/>
    </row>
    <row r="16153" spans="1:2" x14ac:dyDescent="0.25">
      <c r="A16153" s="104"/>
      <c r="B16153" s="104"/>
    </row>
    <row r="16154" spans="1:2" x14ac:dyDescent="0.25">
      <c r="A16154" s="104"/>
      <c r="B16154" s="104"/>
    </row>
    <row r="16155" spans="1:2" x14ac:dyDescent="0.25">
      <c r="A16155" s="104"/>
      <c r="B16155" s="104"/>
    </row>
    <row r="16156" spans="1:2" x14ac:dyDescent="0.25">
      <c r="A16156" s="104"/>
      <c r="B16156" s="104"/>
    </row>
    <row r="16157" spans="1:2" x14ac:dyDescent="0.25">
      <c r="A16157" s="104"/>
      <c r="B16157" s="104"/>
    </row>
    <row r="16158" spans="1:2" x14ac:dyDescent="0.25">
      <c r="A16158" s="104"/>
      <c r="B16158" s="104"/>
    </row>
    <row r="16159" spans="1:2" x14ac:dyDescent="0.25">
      <c r="A16159" s="104"/>
      <c r="B16159" s="104"/>
    </row>
    <row r="16160" spans="1:2" x14ac:dyDescent="0.25">
      <c r="A16160" s="104"/>
      <c r="B16160" s="104"/>
    </row>
    <row r="16161" spans="1:2" x14ac:dyDescent="0.25">
      <c r="A16161" s="104"/>
      <c r="B16161" s="104"/>
    </row>
    <row r="16162" spans="1:2" x14ac:dyDescent="0.25">
      <c r="A16162" s="104"/>
      <c r="B16162" s="104"/>
    </row>
    <row r="16163" spans="1:2" x14ac:dyDescent="0.25">
      <c r="A16163" s="104"/>
      <c r="B16163" s="104"/>
    </row>
    <row r="16164" spans="1:2" x14ac:dyDescent="0.25">
      <c r="A16164" s="104"/>
      <c r="B16164" s="104"/>
    </row>
    <row r="16165" spans="1:2" x14ac:dyDescent="0.25">
      <c r="A16165" s="104"/>
      <c r="B16165" s="104"/>
    </row>
    <row r="16166" spans="1:2" x14ac:dyDescent="0.25">
      <c r="A16166" s="104"/>
      <c r="B16166" s="104"/>
    </row>
    <row r="16167" spans="1:2" x14ac:dyDescent="0.25">
      <c r="A16167" s="104"/>
      <c r="B16167" s="104"/>
    </row>
    <row r="16168" spans="1:2" x14ac:dyDescent="0.25">
      <c r="A16168" s="104"/>
      <c r="B16168" s="104"/>
    </row>
    <row r="16169" spans="1:2" x14ac:dyDescent="0.25">
      <c r="A16169" s="104"/>
      <c r="B16169" s="104"/>
    </row>
    <row r="16170" spans="1:2" x14ac:dyDescent="0.25">
      <c r="A16170" s="104"/>
      <c r="B16170" s="104"/>
    </row>
    <row r="16171" spans="1:2" x14ac:dyDescent="0.25">
      <c r="A16171" s="104"/>
      <c r="B16171" s="104"/>
    </row>
    <row r="16172" spans="1:2" x14ac:dyDescent="0.25">
      <c r="A16172" s="104"/>
      <c r="B16172" s="104"/>
    </row>
    <row r="16173" spans="1:2" x14ac:dyDescent="0.25">
      <c r="A16173" s="104"/>
      <c r="B16173" s="104"/>
    </row>
    <row r="16174" spans="1:2" x14ac:dyDescent="0.25">
      <c r="A16174" s="104"/>
      <c r="B16174" s="104"/>
    </row>
    <row r="16175" spans="1:2" x14ac:dyDescent="0.25">
      <c r="A16175" s="104"/>
      <c r="B16175" s="104"/>
    </row>
    <row r="16176" spans="1:2" x14ac:dyDescent="0.25">
      <c r="A16176" s="104"/>
      <c r="B16176" s="104"/>
    </row>
    <row r="16177" spans="1:2" x14ac:dyDescent="0.25">
      <c r="A16177" s="104"/>
      <c r="B16177" s="104"/>
    </row>
    <row r="16178" spans="1:2" x14ac:dyDescent="0.25">
      <c r="A16178" s="104"/>
      <c r="B16178" s="104"/>
    </row>
    <row r="16179" spans="1:2" x14ac:dyDescent="0.25">
      <c r="A16179" s="104"/>
      <c r="B16179" s="104"/>
    </row>
    <row r="16180" spans="1:2" x14ac:dyDescent="0.25">
      <c r="A16180" s="104"/>
      <c r="B16180" s="104"/>
    </row>
    <row r="16181" spans="1:2" x14ac:dyDescent="0.25">
      <c r="A16181" s="104"/>
      <c r="B16181" s="104"/>
    </row>
    <row r="16182" spans="1:2" x14ac:dyDescent="0.25">
      <c r="A16182" s="104"/>
      <c r="B16182" s="104"/>
    </row>
    <row r="16183" spans="1:2" x14ac:dyDescent="0.25">
      <c r="A16183" s="104"/>
      <c r="B16183" s="104"/>
    </row>
    <row r="16184" spans="1:2" x14ac:dyDescent="0.25">
      <c r="A16184" s="104"/>
      <c r="B16184" s="104"/>
    </row>
    <row r="16185" spans="1:2" x14ac:dyDescent="0.25">
      <c r="A16185" s="104"/>
      <c r="B16185" s="104"/>
    </row>
    <row r="16186" spans="1:2" x14ac:dyDescent="0.25">
      <c r="A16186" s="104"/>
      <c r="B16186" s="104"/>
    </row>
    <row r="16187" spans="1:2" x14ac:dyDescent="0.25">
      <c r="A16187" s="104"/>
      <c r="B16187" s="104"/>
    </row>
    <row r="16188" spans="1:2" x14ac:dyDescent="0.25">
      <c r="A16188" s="104"/>
      <c r="B16188" s="104"/>
    </row>
    <row r="16189" spans="1:2" x14ac:dyDescent="0.25">
      <c r="A16189" s="104"/>
      <c r="B16189" s="104"/>
    </row>
    <row r="16190" spans="1:2" x14ac:dyDescent="0.25">
      <c r="A16190" s="104"/>
      <c r="B16190" s="104"/>
    </row>
    <row r="16191" spans="1:2" x14ac:dyDescent="0.25">
      <c r="A16191" s="104"/>
      <c r="B16191" s="104"/>
    </row>
    <row r="16192" spans="1:2" x14ac:dyDescent="0.25">
      <c r="A16192" s="104"/>
      <c r="B16192" s="104"/>
    </row>
    <row r="16193" spans="1:2" x14ac:dyDescent="0.25">
      <c r="A16193" s="104"/>
      <c r="B16193" s="104"/>
    </row>
    <row r="16194" spans="1:2" x14ac:dyDescent="0.25">
      <c r="A16194" s="104"/>
      <c r="B16194" s="104"/>
    </row>
    <row r="16195" spans="1:2" x14ac:dyDescent="0.25">
      <c r="A16195" s="104"/>
      <c r="B16195" s="104"/>
    </row>
    <row r="16196" spans="1:2" x14ac:dyDescent="0.25">
      <c r="A16196" s="104"/>
      <c r="B16196" s="104"/>
    </row>
    <row r="16197" spans="1:2" x14ac:dyDescent="0.25">
      <c r="A16197" s="104"/>
      <c r="B16197" s="104"/>
    </row>
    <row r="16198" spans="1:2" x14ac:dyDescent="0.25">
      <c r="A16198" s="104"/>
      <c r="B16198" s="104"/>
    </row>
    <row r="16199" spans="1:2" x14ac:dyDescent="0.25">
      <c r="A16199" s="104"/>
      <c r="B16199" s="104"/>
    </row>
    <row r="16200" spans="1:2" x14ac:dyDescent="0.25">
      <c r="A16200" s="104"/>
      <c r="B16200" s="104"/>
    </row>
    <row r="16201" spans="1:2" x14ac:dyDescent="0.25">
      <c r="A16201" s="104"/>
      <c r="B16201" s="104"/>
    </row>
    <row r="16202" spans="1:2" x14ac:dyDescent="0.25">
      <c r="A16202" s="104"/>
      <c r="B16202" s="104"/>
    </row>
    <row r="16203" spans="1:2" x14ac:dyDescent="0.25">
      <c r="A16203" s="104"/>
      <c r="B16203" s="104"/>
    </row>
    <row r="16204" spans="1:2" x14ac:dyDescent="0.25">
      <c r="A16204" s="104"/>
      <c r="B16204" s="104"/>
    </row>
    <row r="16205" spans="1:2" x14ac:dyDescent="0.25">
      <c r="A16205" s="104"/>
      <c r="B16205" s="104"/>
    </row>
    <row r="16206" spans="1:2" x14ac:dyDescent="0.25">
      <c r="A16206" s="104"/>
      <c r="B16206" s="104"/>
    </row>
    <row r="16207" spans="1:2" x14ac:dyDescent="0.25">
      <c r="A16207" s="104"/>
      <c r="B16207" s="104"/>
    </row>
    <row r="16208" spans="1:2" x14ac:dyDescent="0.25">
      <c r="A16208" s="104"/>
      <c r="B16208" s="104"/>
    </row>
    <row r="16209" spans="1:2" x14ac:dyDescent="0.25">
      <c r="A16209" s="104"/>
      <c r="B16209" s="104"/>
    </row>
    <row r="16210" spans="1:2" x14ac:dyDescent="0.25">
      <c r="A16210" s="104"/>
      <c r="B16210" s="104"/>
    </row>
    <row r="16211" spans="1:2" x14ac:dyDescent="0.25">
      <c r="A16211" s="104"/>
      <c r="B16211" s="104"/>
    </row>
    <row r="16212" spans="1:2" x14ac:dyDescent="0.25">
      <c r="A16212" s="104"/>
      <c r="B16212" s="104"/>
    </row>
    <row r="16213" spans="1:2" x14ac:dyDescent="0.25">
      <c r="A16213" s="104"/>
      <c r="B16213" s="104"/>
    </row>
    <row r="16214" spans="1:2" x14ac:dyDescent="0.25">
      <c r="A16214" s="104"/>
      <c r="B16214" s="104"/>
    </row>
    <row r="16215" spans="1:2" x14ac:dyDescent="0.25">
      <c r="A16215" s="104"/>
      <c r="B16215" s="104"/>
    </row>
    <row r="16216" spans="1:2" x14ac:dyDescent="0.25">
      <c r="A16216" s="104"/>
      <c r="B16216" s="104"/>
    </row>
    <row r="16217" spans="1:2" x14ac:dyDescent="0.25">
      <c r="A16217" s="104"/>
      <c r="B16217" s="104"/>
    </row>
    <row r="16218" spans="1:2" x14ac:dyDescent="0.25">
      <c r="A16218" s="104"/>
      <c r="B16218" s="104"/>
    </row>
    <row r="16219" spans="1:2" x14ac:dyDescent="0.25">
      <c r="A16219" s="104"/>
      <c r="B16219" s="104"/>
    </row>
    <row r="16220" spans="1:2" x14ac:dyDescent="0.25">
      <c r="A16220" s="104"/>
      <c r="B16220" s="104"/>
    </row>
    <row r="16221" spans="1:2" x14ac:dyDescent="0.25">
      <c r="A16221" s="104"/>
      <c r="B16221" s="104"/>
    </row>
    <row r="16222" spans="1:2" x14ac:dyDescent="0.25">
      <c r="A16222" s="104"/>
      <c r="B16222" s="104"/>
    </row>
    <row r="16223" spans="1:2" x14ac:dyDescent="0.25">
      <c r="A16223" s="104"/>
      <c r="B16223" s="104"/>
    </row>
    <row r="16224" spans="1:2" x14ac:dyDescent="0.25">
      <c r="A16224" s="104"/>
      <c r="B16224" s="104"/>
    </row>
    <row r="16225" spans="1:2" x14ac:dyDescent="0.25">
      <c r="A16225" s="104"/>
      <c r="B16225" s="104"/>
    </row>
    <row r="16226" spans="1:2" x14ac:dyDescent="0.25">
      <c r="A16226" s="104"/>
      <c r="B16226" s="104"/>
    </row>
    <row r="16227" spans="1:2" x14ac:dyDescent="0.25">
      <c r="A16227" s="104"/>
      <c r="B16227" s="104"/>
    </row>
    <row r="16228" spans="1:2" x14ac:dyDescent="0.25">
      <c r="A16228" s="104"/>
      <c r="B16228" s="104"/>
    </row>
    <row r="16229" spans="1:2" x14ac:dyDescent="0.25">
      <c r="A16229" s="104"/>
      <c r="B16229" s="104"/>
    </row>
    <row r="16230" spans="1:2" x14ac:dyDescent="0.25">
      <c r="A16230" s="104"/>
      <c r="B16230" s="104"/>
    </row>
    <row r="16231" spans="1:2" x14ac:dyDescent="0.25">
      <c r="A16231" s="104"/>
      <c r="B16231" s="104"/>
    </row>
    <row r="16232" spans="1:2" x14ac:dyDescent="0.25">
      <c r="A16232" s="104"/>
      <c r="B16232" s="104"/>
    </row>
    <row r="16233" spans="1:2" x14ac:dyDescent="0.25">
      <c r="A16233" s="104"/>
      <c r="B16233" s="104"/>
    </row>
    <row r="16234" spans="1:2" x14ac:dyDescent="0.25">
      <c r="A16234" s="104"/>
      <c r="B16234" s="104"/>
    </row>
    <row r="16235" spans="1:2" x14ac:dyDescent="0.25">
      <c r="A16235" s="104"/>
      <c r="B16235" s="104"/>
    </row>
    <row r="16236" spans="1:2" x14ac:dyDescent="0.25">
      <c r="A16236" s="104"/>
      <c r="B16236" s="104"/>
    </row>
    <row r="16237" spans="1:2" x14ac:dyDescent="0.25">
      <c r="A16237" s="104"/>
      <c r="B16237" s="104"/>
    </row>
    <row r="16238" spans="1:2" x14ac:dyDescent="0.25">
      <c r="A16238" s="104"/>
      <c r="B16238" s="104"/>
    </row>
    <row r="16239" spans="1:2" x14ac:dyDescent="0.25">
      <c r="A16239" s="104"/>
      <c r="B16239" s="104"/>
    </row>
    <row r="16240" spans="1:2" x14ac:dyDescent="0.25">
      <c r="A16240" s="104"/>
      <c r="B16240" s="104"/>
    </row>
    <row r="16241" spans="1:2" x14ac:dyDescent="0.25">
      <c r="A16241" s="104"/>
      <c r="B16241" s="104"/>
    </row>
    <row r="16242" spans="1:2" x14ac:dyDescent="0.25">
      <c r="A16242" s="104"/>
      <c r="B16242" s="104"/>
    </row>
    <row r="16243" spans="1:2" x14ac:dyDescent="0.25">
      <c r="A16243" s="104"/>
      <c r="B16243" s="104"/>
    </row>
    <row r="16244" spans="1:2" x14ac:dyDescent="0.25">
      <c r="A16244" s="104"/>
      <c r="B16244" s="104"/>
    </row>
    <row r="16245" spans="1:2" x14ac:dyDescent="0.25">
      <c r="A16245" s="104"/>
      <c r="B16245" s="104"/>
    </row>
    <row r="16246" spans="1:2" x14ac:dyDescent="0.25">
      <c r="A16246" s="104"/>
      <c r="B16246" s="104"/>
    </row>
    <row r="16247" spans="1:2" x14ac:dyDescent="0.25">
      <c r="A16247" s="104"/>
      <c r="B16247" s="104"/>
    </row>
    <row r="16248" spans="1:2" x14ac:dyDescent="0.25">
      <c r="A16248" s="104"/>
      <c r="B16248" s="104"/>
    </row>
    <row r="16249" spans="1:2" x14ac:dyDescent="0.25">
      <c r="A16249" s="104"/>
      <c r="B16249" s="104"/>
    </row>
    <row r="16250" spans="1:2" x14ac:dyDescent="0.25">
      <c r="A16250" s="104"/>
      <c r="B16250" s="104"/>
    </row>
    <row r="16251" spans="1:2" x14ac:dyDescent="0.25">
      <c r="A16251" s="104"/>
      <c r="B16251" s="104"/>
    </row>
    <row r="16252" spans="1:2" x14ac:dyDescent="0.25">
      <c r="A16252" s="104"/>
      <c r="B16252" s="104"/>
    </row>
    <row r="16253" spans="1:2" x14ac:dyDescent="0.25">
      <c r="A16253" s="104"/>
      <c r="B16253" s="104"/>
    </row>
    <row r="16254" spans="1:2" x14ac:dyDescent="0.25">
      <c r="A16254" s="104"/>
      <c r="B16254" s="104"/>
    </row>
    <row r="16255" spans="1:2" x14ac:dyDescent="0.25">
      <c r="A16255" s="104"/>
      <c r="B16255" s="104"/>
    </row>
    <row r="16256" spans="1:2" x14ac:dyDescent="0.25">
      <c r="A16256" s="104"/>
      <c r="B16256" s="104"/>
    </row>
    <row r="16257" spans="1:2" x14ac:dyDescent="0.25">
      <c r="A16257" s="104"/>
      <c r="B16257" s="104"/>
    </row>
    <row r="16258" spans="1:2" x14ac:dyDescent="0.25">
      <c r="A16258" s="104"/>
      <c r="B16258" s="104"/>
    </row>
    <row r="16259" spans="1:2" x14ac:dyDescent="0.25">
      <c r="A16259" s="104"/>
      <c r="B16259" s="104"/>
    </row>
    <row r="16260" spans="1:2" x14ac:dyDescent="0.25">
      <c r="A16260" s="104"/>
      <c r="B16260" s="104"/>
    </row>
    <row r="16261" spans="1:2" x14ac:dyDescent="0.25">
      <c r="A16261" s="104"/>
      <c r="B16261" s="104"/>
    </row>
    <row r="16262" spans="1:2" x14ac:dyDescent="0.25">
      <c r="A16262" s="104"/>
      <c r="B16262" s="104"/>
    </row>
    <row r="16263" spans="1:2" x14ac:dyDescent="0.25">
      <c r="A16263" s="104"/>
      <c r="B16263" s="104"/>
    </row>
    <row r="16264" spans="1:2" x14ac:dyDescent="0.25">
      <c r="A16264" s="104"/>
      <c r="B16264" s="104"/>
    </row>
    <row r="16265" spans="1:2" x14ac:dyDescent="0.25">
      <c r="A16265" s="104"/>
      <c r="B16265" s="104"/>
    </row>
    <row r="16266" spans="1:2" x14ac:dyDescent="0.25">
      <c r="A16266" s="104"/>
      <c r="B16266" s="104"/>
    </row>
    <row r="16267" spans="1:2" x14ac:dyDescent="0.25">
      <c r="A16267" s="104"/>
      <c r="B16267" s="104"/>
    </row>
    <row r="16268" spans="1:2" x14ac:dyDescent="0.25">
      <c r="A16268" s="104"/>
      <c r="B16268" s="104"/>
    </row>
    <row r="16269" spans="1:2" x14ac:dyDescent="0.25">
      <c r="A16269" s="104"/>
      <c r="B16269" s="104"/>
    </row>
    <row r="16270" spans="1:2" x14ac:dyDescent="0.25">
      <c r="A16270" s="104"/>
      <c r="B16270" s="104"/>
    </row>
    <row r="16271" spans="1:2" x14ac:dyDescent="0.25">
      <c r="A16271" s="104"/>
      <c r="B16271" s="104"/>
    </row>
    <row r="16272" spans="1:2" x14ac:dyDescent="0.25">
      <c r="A16272" s="104"/>
      <c r="B16272" s="104"/>
    </row>
    <row r="16273" spans="1:2" x14ac:dyDescent="0.25">
      <c r="A16273" s="104"/>
      <c r="B16273" s="104"/>
    </row>
    <row r="16274" spans="1:2" x14ac:dyDescent="0.25">
      <c r="A16274" s="104"/>
      <c r="B16274" s="104"/>
    </row>
    <row r="16275" spans="1:2" x14ac:dyDescent="0.25">
      <c r="A16275" s="104"/>
      <c r="B16275" s="104"/>
    </row>
    <row r="16276" spans="1:2" x14ac:dyDescent="0.25">
      <c r="A16276" s="104"/>
      <c r="B16276" s="104"/>
    </row>
    <row r="16277" spans="1:2" x14ac:dyDescent="0.25">
      <c r="A16277" s="104"/>
      <c r="B16277" s="104"/>
    </row>
    <row r="16278" spans="1:2" x14ac:dyDescent="0.25">
      <c r="A16278" s="104"/>
      <c r="B16278" s="104"/>
    </row>
    <row r="16279" spans="1:2" x14ac:dyDescent="0.25">
      <c r="A16279" s="104"/>
      <c r="B16279" s="104"/>
    </row>
    <row r="16280" spans="1:2" x14ac:dyDescent="0.25">
      <c r="A16280" s="104"/>
      <c r="B16280" s="104"/>
    </row>
    <row r="16281" spans="1:2" x14ac:dyDescent="0.25">
      <c r="A16281" s="104"/>
      <c r="B16281" s="104"/>
    </row>
    <row r="16282" spans="1:2" x14ac:dyDescent="0.25">
      <c r="A16282" s="104"/>
      <c r="B16282" s="104"/>
    </row>
    <row r="16283" spans="1:2" x14ac:dyDescent="0.25">
      <c r="A16283" s="104"/>
      <c r="B16283" s="104"/>
    </row>
    <row r="16284" spans="1:2" x14ac:dyDescent="0.25">
      <c r="A16284" s="104"/>
      <c r="B16284" s="104"/>
    </row>
    <row r="16285" spans="1:2" x14ac:dyDescent="0.25">
      <c r="A16285" s="104"/>
      <c r="B16285" s="104"/>
    </row>
    <row r="16286" spans="1:2" x14ac:dyDescent="0.25">
      <c r="A16286" s="104"/>
      <c r="B16286" s="104"/>
    </row>
    <row r="16287" spans="1:2" x14ac:dyDescent="0.25">
      <c r="A16287" s="104"/>
      <c r="B16287" s="104"/>
    </row>
    <row r="16288" spans="1:2" x14ac:dyDescent="0.25">
      <c r="A16288" s="104"/>
      <c r="B16288" s="104"/>
    </row>
    <row r="16289" spans="1:2" x14ac:dyDescent="0.25">
      <c r="A16289" s="104"/>
      <c r="B16289" s="104"/>
    </row>
    <row r="16290" spans="1:2" x14ac:dyDescent="0.25">
      <c r="A16290" s="104"/>
      <c r="B16290" s="104"/>
    </row>
    <row r="16291" spans="1:2" x14ac:dyDescent="0.25">
      <c r="A16291" s="104"/>
      <c r="B16291" s="104"/>
    </row>
    <row r="16292" spans="1:2" x14ac:dyDescent="0.25">
      <c r="A16292" s="104"/>
      <c r="B16292" s="104"/>
    </row>
    <row r="16293" spans="1:2" x14ac:dyDescent="0.25">
      <c r="A16293" s="104"/>
      <c r="B16293" s="104"/>
    </row>
    <row r="16294" spans="1:2" x14ac:dyDescent="0.25">
      <c r="A16294" s="104"/>
      <c r="B16294" s="104"/>
    </row>
    <row r="16295" spans="1:2" x14ac:dyDescent="0.25">
      <c r="A16295" s="104"/>
      <c r="B16295" s="104"/>
    </row>
    <row r="16296" spans="1:2" x14ac:dyDescent="0.25">
      <c r="A16296" s="104"/>
      <c r="B16296" s="104"/>
    </row>
    <row r="16297" spans="1:2" x14ac:dyDescent="0.25">
      <c r="A16297" s="104"/>
      <c r="B16297" s="104"/>
    </row>
    <row r="16298" spans="1:2" x14ac:dyDescent="0.25">
      <c r="A16298" s="104"/>
      <c r="B16298" s="104"/>
    </row>
    <row r="16299" spans="1:2" x14ac:dyDescent="0.25">
      <c r="A16299" s="104"/>
      <c r="B16299" s="104"/>
    </row>
    <row r="16300" spans="1:2" x14ac:dyDescent="0.25">
      <c r="A16300" s="104"/>
      <c r="B16300" s="104"/>
    </row>
    <row r="16301" spans="1:2" x14ac:dyDescent="0.25">
      <c r="A16301" s="104"/>
      <c r="B16301" s="104"/>
    </row>
    <row r="16302" spans="1:2" x14ac:dyDescent="0.25">
      <c r="A16302" s="104"/>
      <c r="B16302" s="104"/>
    </row>
    <row r="16303" spans="1:2" x14ac:dyDescent="0.25">
      <c r="A16303" s="104"/>
      <c r="B16303" s="104"/>
    </row>
    <row r="16304" spans="1:2" x14ac:dyDescent="0.25">
      <c r="A16304" s="104"/>
      <c r="B16304" s="104"/>
    </row>
    <row r="16305" spans="1:2" x14ac:dyDescent="0.25">
      <c r="A16305" s="104"/>
      <c r="B16305" s="104"/>
    </row>
    <row r="16306" spans="1:2" x14ac:dyDescent="0.25">
      <c r="A16306" s="104"/>
      <c r="B16306" s="104"/>
    </row>
    <row r="16307" spans="1:2" x14ac:dyDescent="0.25">
      <c r="A16307" s="104"/>
      <c r="B16307" s="104"/>
    </row>
    <row r="16308" spans="1:2" x14ac:dyDescent="0.25">
      <c r="A16308" s="104"/>
      <c r="B16308" s="104"/>
    </row>
    <row r="16309" spans="1:2" x14ac:dyDescent="0.25">
      <c r="A16309" s="104"/>
      <c r="B16309" s="104"/>
    </row>
    <row r="16310" spans="1:2" x14ac:dyDescent="0.25">
      <c r="A16310" s="104"/>
      <c r="B16310" s="104"/>
    </row>
    <row r="16311" spans="1:2" x14ac:dyDescent="0.25">
      <c r="A16311" s="104"/>
      <c r="B16311" s="104"/>
    </row>
    <row r="16312" spans="1:2" x14ac:dyDescent="0.25">
      <c r="A16312" s="104"/>
      <c r="B16312" s="104"/>
    </row>
    <row r="16313" spans="1:2" x14ac:dyDescent="0.25">
      <c r="A16313" s="104"/>
      <c r="B16313" s="104"/>
    </row>
    <row r="16314" spans="1:2" x14ac:dyDescent="0.25">
      <c r="A16314" s="104"/>
      <c r="B16314" s="104"/>
    </row>
    <row r="16315" spans="1:2" x14ac:dyDescent="0.25">
      <c r="A16315" s="104"/>
      <c r="B16315" s="104"/>
    </row>
    <row r="16316" spans="1:2" x14ac:dyDescent="0.25">
      <c r="A16316" s="104"/>
      <c r="B16316" s="104"/>
    </row>
    <row r="16317" spans="1:2" x14ac:dyDescent="0.25">
      <c r="A16317" s="104"/>
      <c r="B16317" s="104"/>
    </row>
    <row r="16318" spans="1:2" x14ac:dyDescent="0.25">
      <c r="A16318" s="104"/>
      <c r="B16318" s="104"/>
    </row>
    <row r="16319" spans="1:2" x14ac:dyDescent="0.25">
      <c r="A16319" s="104"/>
      <c r="B16319" s="104"/>
    </row>
    <row r="16320" spans="1:2" x14ac:dyDescent="0.25">
      <c r="A16320" s="104"/>
      <c r="B16320" s="104"/>
    </row>
    <row r="16321" spans="1:2" x14ac:dyDescent="0.25">
      <c r="A16321" s="104"/>
      <c r="B16321" s="104"/>
    </row>
    <row r="16322" spans="1:2" x14ac:dyDescent="0.25">
      <c r="A16322" s="104"/>
      <c r="B16322" s="104"/>
    </row>
    <row r="16323" spans="1:2" x14ac:dyDescent="0.25">
      <c r="A16323" s="104"/>
      <c r="B16323" s="104"/>
    </row>
    <row r="16324" spans="1:2" x14ac:dyDescent="0.25">
      <c r="A16324" s="104"/>
      <c r="B16324" s="104"/>
    </row>
    <row r="16325" spans="1:2" x14ac:dyDescent="0.25">
      <c r="A16325" s="104"/>
      <c r="B16325" s="104"/>
    </row>
    <row r="16326" spans="1:2" x14ac:dyDescent="0.25">
      <c r="A16326" s="104"/>
      <c r="B16326" s="104"/>
    </row>
    <row r="16327" spans="1:2" x14ac:dyDescent="0.25">
      <c r="A16327" s="104"/>
      <c r="B16327" s="104"/>
    </row>
    <row r="16328" spans="1:2" x14ac:dyDescent="0.25">
      <c r="A16328" s="104"/>
      <c r="B16328" s="104"/>
    </row>
    <row r="16329" spans="1:2" x14ac:dyDescent="0.25">
      <c r="A16329" s="104"/>
      <c r="B16329" s="104"/>
    </row>
    <row r="16330" spans="1:2" x14ac:dyDescent="0.25">
      <c r="A16330" s="104"/>
      <c r="B16330" s="104"/>
    </row>
    <row r="16331" spans="1:2" x14ac:dyDescent="0.25">
      <c r="A16331" s="104"/>
      <c r="B16331" s="104"/>
    </row>
    <row r="16332" spans="1:2" x14ac:dyDescent="0.25">
      <c r="A16332" s="104"/>
      <c r="B16332" s="104"/>
    </row>
    <row r="16333" spans="1:2" x14ac:dyDescent="0.25">
      <c r="A16333" s="104"/>
      <c r="B16333" s="104"/>
    </row>
    <row r="16334" spans="1:2" x14ac:dyDescent="0.25">
      <c r="A16334" s="104"/>
      <c r="B16334" s="104"/>
    </row>
    <row r="16335" spans="1:2" x14ac:dyDescent="0.25">
      <c r="A16335" s="104"/>
      <c r="B16335" s="104"/>
    </row>
    <row r="16336" spans="1:2" x14ac:dyDescent="0.25">
      <c r="A16336" s="104"/>
      <c r="B16336" s="104"/>
    </row>
    <row r="16337" spans="1:2" x14ac:dyDescent="0.25">
      <c r="A16337" s="104"/>
      <c r="B16337" s="104"/>
    </row>
    <row r="16338" spans="1:2" x14ac:dyDescent="0.25">
      <c r="A16338" s="104"/>
      <c r="B16338" s="104"/>
    </row>
    <row r="16339" spans="1:2" x14ac:dyDescent="0.25">
      <c r="A16339" s="104"/>
      <c r="B16339" s="104"/>
    </row>
    <row r="16340" spans="1:2" x14ac:dyDescent="0.25">
      <c r="A16340" s="104"/>
      <c r="B16340" s="104"/>
    </row>
    <row r="16341" spans="1:2" x14ac:dyDescent="0.25">
      <c r="A16341" s="104"/>
      <c r="B16341" s="104"/>
    </row>
    <row r="16342" spans="1:2" x14ac:dyDescent="0.25">
      <c r="A16342" s="104"/>
      <c r="B16342" s="104"/>
    </row>
    <row r="16343" spans="1:2" x14ac:dyDescent="0.25">
      <c r="A16343" s="104"/>
      <c r="B16343" s="104"/>
    </row>
    <row r="16344" spans="1:2" x14ac:dyDescent="0.25">
      <c r="A16344" s="104"/>
      <c r="B16344" s="104"/>
    </row>
    <row r="16345" spans="1:2" x14ac:dyDescent="0.25">
      <c r="A16345" s="104"/>
      <c r="B16345" s="104"/>
    </row>
    <row r="16346" spans="1:2" x14ac:dyDescent="0.25">
      <c r="A16346" s="104"/>
      <c r="B16346" s="104"/>
    </row>
    <row r="16347" spans="1:2" x14ac:dyDescent="0.25">
      <c r="A16347" s="104"/>
      <c r="B16347" s="104"/>
    </row>
    <row r="16348" spans="1:2" x14ac:dyDescent="0.25">
      <c r="A16348" s="104"/>
      <c r="B16348" s="104"/>
    </row>
    <row r="16349" spans="1:2" x14ac:dyDescent="0.25">
      <c r="A16349" s="104"/>
      <c r="B16349" s="104"/>
    </row>
    <row r="16350" spans="1:2" x14ac:dyDescent="0.25">
      <c r="A16350" s="104"/>
      <c r="B16350" s="104"/>
    </row>
    <row r="16351" spans="1:2" x14ac:dyDescent="0.25">
      <c r="A16351" s="104"/>
      <c r="B16351" s="104"/>
    </row>
    <row r="16352" spans="1:2" x14ac:dyDescent="0.25">
      <c r="A16352" s="104"/>
      <c r="B16352" s="104"/>
    </row>
    <row r="16353" spans="1:2" x14ac:dyDescent="0.25">
      <c r="A16353" s="104"/>
      <c r="B16353" s="104"/>
    </row>
    <row r="16354" spans="1:2" x14ac:dyDescent="0.25">
      <c r="A16354" s="104"/>
      <c r="B16354" s="104"/>
    </row>
    <row r="16355" spans="1:2" x14ac:dyDescent="0.25">
      <c r="A16355" s="104"/>
      <c r="B16355" s="104"/>
    </row>
    <row r="16356" spans="1:2" x14ac:dyDescent="0.25">
      <c r="A16356" s="104"/>
      <c r="B16356" s="104"/>
    </row>
    <row r="16357" spans="1:2" x14ac:dyDescent="0.25">
      <c r="A16357" s="104"/>
      <c r="B16357" s="104"/>
    </row>
    <row r="16358" spans="1:2" x14ac:dyDescent="0.25">
      <c r="A16358" s="104"/>
      <c r="B16358" s="104"/>
    </row>
    <row r="16359" spans="1:2" x14ac:dyDescent="0.25">
      <c r="A16359" s="104"/>
      <c r="B16359" s="104"/>
    </row>
    <row r="16360" spans="1:2" x14ac:dyDescent="0.25">
      <c r="A16360" s="104"/>
      <c r="B16360" s="104"/>
    </row>
    <row r="16361" spans="1:2" x14ac:dyDescent="0.25">
      <c r="A16361" s="104"/>
      <c r="B16361" s="104"/>
    </row>
    <row r="16362" spans="1:2" x14ac:dyDescent="0.25">
      <c r="A16362" s="104"/>
      <c r="B16362" s="104"/>
    </row>
    <row r="16363" spans="1:2" x14ac:dyDescent="0.25">
      <c r="A16363" s="104"/>
      <c r="B16363" s="104"/>
    </row>
    <row r="16364" spans="1:2" x14ac:dyDescent="0.25">
      <c r="A16364" s="104"/>
      <c r="B16364" s="104"/>
    </row>
    <row r="16365" spans="1:2" x14ac:dyDescent="0.25">
      <c r="A16365" s="104"/>
      <c r="B16365" s="104"/>
    </row>
    <row r="16366" spans="1:2" x14ac:dyDescent="0.25">
      <c r="A16366" s="104"/>
      <c r="B16366" s="104"/>
    </row>
    <row r="16367" spans="1:2" x14ac:dyDescent="0.25">
      <c r="A16367" s="104"/>
      <c r="B16367" s="104"/>
    </row>
    <row r="16368" spans="1:2" x14ac:dyDescent="0.25">
      <c r="A16368" s="104"/>
      <c r="B16368" s="104"/>
    </row>
    <row r="16369" spans="1:2" x14ac:dyDescent="0.25">
      <c r="A16369" s="104"/>
      <c r="B16369" s="104"/>
    </row>
    <row r="16370" spans="1:2" x14ac:dyDescent="0.25">
      <c r="A16370" s="104"/>
      <c r="B16370" s="104"/>
    </row>
    <row r="16371" spans="1:2" x14ac:dyDescent="0.25">
      <c r="A16371" s="104"/>
      <c r="B16371" s="104"/>
    </row>
    <row r="16372" spans="1:2" x14ac:dyDescent="0.25">
      <c r="A16372" s="104"/>
      <c r="B16372" s="104"/>
    </row>
    <row r="16373" spans="1:2" x14ac:dyDescent="0.25">
      <c r="A16373" s="104"/>
      <c r="B16373" s="104"/>
    </row>
    <row r="16374" spans="1:2" x14ac:dyDescent="0.25">
      <c r="A16374" s="104"/>
      <c r="B16374" s="104"/>
    </row>
    <row r="16375" spans="1:2" x14ac:dyDescent="0.25">
      <c r="A16375" s="104"/>
      <c r="B16375" s="104"/>
    </row>
    <row r="16376" spans="1:2" x14ac:dyDescent="0.25">
      <c r="A16376" s="104"/>
      <c r="B16376" s="104"/>
    </row>
    <row r="16377" spans="1:2" x14ac:dyDescent="0.25">
      <c r="A16377" s="104"/>
      <c r="B16377" s="104"/>
    </row>
    <row r="16378" spans="1:2" x14ac:dyDescent="0.25">
      <c r="A16378" s="104"/>
      <c r="B16378" s="104"/>
    </row>
    <row r="16379" spans="1:2" x14ac:dyDescent="0.25">
      <c r="A16379" s="104"/>
      <c r="B16379" s="104"/>
    </row>
    <row r="16380" spans="1:2" x14ac:dyDescent="0.25">
      <c r="A16380" s="104"/>
      <c r="B16380" s="104"/>
    </row>
    <row r="16381" spans="1:2" x14ac:dyDescent="0.25">
      <c r="A16381" s="104"/>
      <c r="B16381" s="104"/>
    </row>
    <row r="16382" spans="1:2" x14ac:dyDescent="0.25">
      <c r="A16382" s="104"/>
      <c r="B16382" s="104"/>
    </row>
    <row r="16383" spans="1:2" x14ac:dyDescent="0.25">
      <c r="A16383" s="104"/>
      <c r="B16383" s="104"/>
    </row>
    <row r="16384" spans="1:2" x14ac:dyDescent="0.25">
      <c r="A16384" s="104"/>
      <c r="B16384" s="104"/>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Results</vt:lpstr>
      <vt:lpstr>Data</vt:lpstr>
      <vt:lpstr>Data_Agronomist</vt:lpstr>
      <vt:lpstr>Data_Grower</vt:lpstr>
      <vt:lpstr>Sheet4</vt:lpstr>
      <vt:lpstr>Agronomist</vt:lpstr>
      <vt:lpstr>Group</vt:lpstr>
      <vt:lpstr>Grower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Ouzman, Jackie (A&amp;F, Waite Campus)</cp:lastModifiedBy>
  <dcterms:created xsi:type="dcterms:W3CDTF">2019-04-16T04:46:33Z</dcterms:created>
  <dcterms:modified xsi:type="dcterms:W3CDTF">2019-09-13T06:25:27Z</dcterms:modified>
</cp:coreProperties>
</file>