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zczyt obciążenia" sheetId="1" r:id="rId4"/>
    <sheet state="visible" name="Straty roczne" sheetId="2" r:id="rId5"/>
    <sheet state="visible" name="Dolina obciążenia" sheetId="3" r:id="rId6"/>
  </sheets>
  <definedNames/>
  <calcPr/>
  <extLst>
    <ext uri="GoogleSheetsCustomDataVersion2">
      <go:sheetsCustomData xmlns:go="http://customooxmlschemas.google.com/" r:id="rId7" roundtripDataChecksum="EdKX/hixaoQ9bP0GLLcjX/AP3+rsbece4+me0bIb7cY="/>
    </ext>
  </extLst>
</workbook>
</file>

<file path=xl/sharedStrings.xml><?xml version="1.0" encoding="utf-8"?>
<sst xmlns="http://schemas.openxmlformats.org/spreadsheetml/2006/main" count="551" uniqueCount="167">
  <si>
    <t>odcinek</t>
  </si>
  <si>
    <t>długość</t>
  </si>
  <si>
    <t>R</t>
  </si>
  <si>
    <t>X</t>
  </si>
  <si>
    <t>I</t>
  </si>
  <si>
    <t>Ic</t>
  </si>
  <si>
    <t>Ib</t>
  </si>
  <si>
    <t>deltaU</t>
  </si>
  <si>
    <t>deltaP</t>
  </si>
  <si>
    <t>deltaQ</t>
  </si>
  <si>
    <t>węzeł</t>
  </si>
  <si>
    <t>Iodb</t>
  </si>
  <si>
    <t>Ic,odb</t>
  </si>
  <si>
    <t>Ib,odb</t>
  </si>
  <si>
    <t>U</t>
  </si>
  <si>
    <t xml:space="preserve">Sodb </t>
  </si>
  <si>
    <t>Cosq (max)</t>
  </si>
  <si>
    <t>kj (max)</t>
  </si>
  <si>
    <t>Parametry kabli</t>
  </si>
  <si>
    <t>0-1</t>
  </si>
  <si>
    <t>-</t>
  </si>
  <si>
    <t>materiał</t>
  </si>
  <si>
    <t>konduktywność</t>
  </si>
  <si>
    <t>przekrój</t>
  </si>
  <si>
    <t>rodzaj</t>
  </si>
  <si>
    <t>G0 =1/R0</t>
  </si>
  <si>
    <t>X0</t>
  </si>
  <si>
    <t>R0</t>
  </si>
  <si>
    <t>w1-2</t>
  </si>
  <si>
    <t>AFL</t>
  </si>
  <si>
    <t>nap. Magistrala</t>
  </si>
  <si>
    <t>nap. magistrala</t>
  </si>
  <si>
    <t>w2-3</t>
  </si>
  <si>
    <t>T1</t>
  </si>
  <si>
    <t>nap. Odgałęzienie</t>
  </si>
  <si>
    <t>nap. odgałęzienio</t>
  </si>
  <si>
    <t>w3-4</t>
  </si>
  <si>
    <t>Cu</t>
  </si>
  <si>
    <t>kabl. (Cu)</t>
  </si>
  <si>
    <t>kablowa</t>
  </si>
  <si>
    <t>w4-C1</t>
  </si>
  <si>
    <t>T2</t>
  </si>
  <si>
    <t>wC1-C2</t>
  </si>
  <si>
    <t>Un</t>
  </si>
  <si>
    <t>0.95Un</t>
  </si>
  <si>
    <t>0,9Un</t>
  </si>
  <si>
    <t>wC2-C3</t>
  </si>
  <si>
    <t>1-T1</t>
  </si>
  <si>
    <t>B1</t>
  </si>
  <si>
    <t>2-T2</t>
  </si>
  <si>
    <t>TB1</t>
  </si>
  <si>
    <t>uwzglądnić kj</t>
  </si>
  <si>
    <t>C1-TC1</t>
  </si>
  <si>
    <t>B2</t>
  </si>
  <si>
    <t>uporządkować tabele  (tylko do poniższego wykresu)</t>
  </si>
  <si>
    <t>C2-TC2</t>
  </si>
  <si>
    <t>TB2</t>
  </si>
  <si>
    <t>wykres - spadek napięcia  odcinek T1 - Tc4</t>
  </si>
  <si>
    <t>C3-TC3</t>
  </si>
  <si>
    <t>TB3</t>
  </si>
  <si>
    <t>Zwarcie T1 - TC4</t>
  </si>
  <si>
    <t>C3-TC4</t>
  </si>
  <si>
    <t>C1</t>
  </si>
  <si>
    <t>roczne straty energii</t>
  </si>
  <si>
    <t>??</t>
  </si>
  <si>
    <t>3-A1</t>
  </si>
  <si>
    <t>TC1</t>
  </si>
  <si>
    <t>spadki mocy</t>
  </si>
  <si>
    <t>A1-TA1</t>
  </si>
  <si>
    <t>C2</t>
  </si>
  <si>
    <t>A1-A2</t>
  </si>
  <si>
    <t>TC2</t>
  </si>
  <si>
    <t>Prarametry zwarciowe dla 15kV</t>
  </si>
  <si>
    <t>Prądy zwarciowe 0.4kV</t>
  </si>
  <si>
    <t>A2-A5</t>
  </si>
  <si>
    <t>C3</t>
  </si>
  <si>
    <t>Zwarcie dla TC4</t>
  </si>
  <si>
    <t>Zwarcie dla T1</t>
  </si>
  <si>
    <t>A2-A3</t>
  </si>
  <si>
    <t>TC3</t>
  </si>
  <si>
    <t xml:space="preserve">Czas zwarcia </t>
  </si>
  <si>
    <t>1 sek</t>
  </si>
  <si>
    <t>Jednostka</t>
  </si>
  <si>
    <t>Ik''</t>
  </si>
  <si>
    <t>A</t>
  </si>
  <si>
    <t>A3-A4</t>
  </si>
  <si>
    <t>TC4</t>
  </si>
  <si>
    <t>Zk</t>
  </si>
  <si>
    <t>Om</t>
  </si>
  <si>
    <t>ip</t>
  </si>
  <si>
    <t>A5-TA5</t>
  </si>
  <si>
    <t>A1</t>
  </si>
  <si>
    <t>Xk</t>
  </si>
  <si>
    <t>Ith</t>
  </si>
  <si>
    <t>A5-TA6</t>
  </si>
  <si>
    <t>TA1</t>
  </si>
  <si>
    <t>Rk</t>
  </si>
  <si>
    <t>A3-TA2</t>
  </si>
  <si>
    <t>A2</t>
  </si>
  <si>
    <t>c</t>
  </si>
  <si>
    <t>A4-TA3</t>
  </si>
  <si>
    <t>A3</t>
  </si>
  <si>
    <t>V</t>
  </si>
  <si>
    <t>A4-TA4</t>
  </si>
  <si>
    <t>TA2</t>
  </si>
  <si>
    <t>R/X</t>
  </si>
  <si>
    <t>4-B1</t>
  </si>
  <si>
    <t>A4</t>
  </si>
  <si>
    <t>kappa</t>
  </si>
  <si>
    <t>k</t>
  </si>
  <si>
    <t>B1-B2</t>
  </si>
  <si>
    <t>TA3</t>
  </si>
  <si>
    <t>m</t>
  </si>
  <si>
    <t>B1-TB1</t>
  </si>
  <si>
    <t>TA4</t>
  </si>
  <si>
    <t>n</t>
  </si>
  <si>
    <t>B2-TB2</t>
  </si>
  <si>
    <t>A5</t>
  </si>
  <si>
    <t>B2-TB3</t>
  </si>
  <si>
    <t>TA5</t>
  </si>
  <si>
    <t>TA6</t>
  </si>
  <si>
    <t>dł. całk.</t>
  </si>
  <si>
    <t>max</t>
  </si>
  <si>
    <t>deltaU max</t>
  </si>
  <si>
    <t>S''</t>
  </si>
  <si>
    <t>VA</t>
  </si>
  <si>
    <t>Umin</t>
  </si>
  <si>
    <t>Umin/Umax</t>
  </si>
  <si>
    <t>deltaU (%)</t>
  </si>
  <si>
    <t xml:space="preserve">Suma prądów </t>
  </si>
  <si>
    <t>dla TC4</t>
  </si>
  <si>
    <t>dla TC1</t>
  </si>
  <si>
    <t>Sprawdzenie dobranych przewodów kablowych</t>
  </si>
  <si>
    <t>Idop</t>
  </si>
  <si>
    <t>Ir</t>
  </si>
  <si>
    <t>Jc1</t>
  </si>
  <si>
    <t xml:space="preserve">wykres słupkowy </t>
  </si>
  <si>
    <t>s(min)</t>
  </si>
  <si>
    <t>zwarcie dla drugiej strony 0,4kV</t>
  </si>
  <si>
    <t>s</t>
  </si>
  <si>
    <t>Uszczyt</t>
  </si>
  <si>
    <t>Udolina</t>
  </si>
  <si>
    <t>straty - ogarnać podział czasu dal doliny i szczytu</t>
  </si>
  <si>
    <t>delta U</t>
  </si>
  <si>
    <t>ROCZNE STRATY ENERGII</t>
  </si>
  <si>
    <t xml:space="preserve">Szczyt </t>
  </si>
  <si>
    <t>Dolina</t>
  </si>
  <si>
    <t>#jednostki są w kilo</t>
  </si>
  <si>
    <t>zostało na nast. kw</t>
  </si>
  <si>
    <t>szczyt</t>
  </si>
  <si>
    <t>dolina</t>
  </si>
  <si>
    <t>SUMA P [kP]</t>
  </si>
  <si>
    <t>czas [h]</t>
  </si>
  <si>
    <t>II</t>
  </si>
  <si>
    <t>Energia [kWh]</t>
  </si>
  <si>
    <t>III</t>
  </si>
  <si>
    <t>iV</t>
  </si>
  <si>
    <t>ROZKŁAD NA KWARTAŁ</t>
  </si>
  <si>
    <t>IV</t>
  </si>
  <si>
    <t>Szczyt</t>
  </si>
  <si>
    <t>Szczt</t>
  </si>
  <si>
    <t>SUMA</t>
  </si>
  <si>
    <t>Cosq (min)</t>
  </si>
  <si>
    <t>kj (min)</t>
  </si>
  <si>
    <t>C</t>
  </si>
  <si>
    <t>B</t>
  </si>
  <si>
    <t>YAKXS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</si>
</sst>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rgb="FF7E3794"/>
      <name val="&quot;Google Sans Mono&quot;"/>
    </font>
  </fonts>
  <fills count="1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2E75B5"/>
        <bgColor rgb="FF2E75B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9707"/>
        <bgColor rgb="FFF99707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5" fontId="1" numFmtId="0" xfId="0" applyBorder="1" applyFill="1" applyFont="1"/>
    <xf borderId="1" fillId="0" fontId="2" numFmtId="0" xfId="0" applyBorder="1" applyFont="1"/>
    <xf borderId="1" fillId="4" fontId="1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  <xf borderId="1" fillId="4" fontId="1" numFmtId="16" xfId="0" applyBorder="1" applyFont="1" applyNumberFormat="1"/>
    <xf borderId="1" fillId="6" fontId="1" numFmtId="0" xfId="0" applyBorder="1" applyFill="1" applyFont="1"/>
    <xf borderId="1" fillId="4" fontId="1" numFmtId="0" xfId="0" applyAlignment="1" applyBorder="1" applyFont="1">
      <alignment readingOrder="0"/>
    </xf>
    <xf borderId="1" fillId="4" fontId="2" numFmtId="0" xfId="0" applyBorder="1" applyFont="1"/>
    <xf borderId="1" fillId="4" fontId="2" numFmtId="0" xfId="0" applyAlignment="1" applyBorder="1" applyFont="1">
      <alignment readingOrder="0"/>
    </xf>
    <xf borderId="1" fillId="4" fontId="1" numFmtId="0" xfId="0" applyAlignment="1" applyBorder="1" applyFont="1">
      <alignment horizontal="right" readingOrder="0"/>
    </xf>
    <xf borderId="1" fillId="7" fontId="1" numFmtId="0" xfId="0" applyBorder="1" applyFill="1" applyFont="1"/>
    <xf borderId="1" fillId="7" fontId="1" numFmtId="0" xfId="0" applyAlignment="1" applyBorder="1" applyFont="1">
      <alignment readingOrder="0"/>
    </xf>
    <xf borderId="1" fillId="7" fontId="2" numFmtId="0" xfId="0" applyBorder="1" applyFont="1"/>
    <xf borderId="1" fillId="7" fontId="2" numFmtId="0" xfId="0" applyAlignment="1" applyBorder="1" applyFont="1">
      <alignment readingOrder="0"/>
    </xf>
    <xf borderId="1" fillId="8" fontId="1" numFmtId="0" xfId="0" applyAlignment="1" applyBorder="1" applyFill="1" applyFont="1">
      <alignment readingOrder="0"/>
    </xf>
    <xf borderId="1" fillId="8" fontId="2" numFmtId="0" xfId="0" applyBorder="1" applyFont="1"/>
    <xf borderId="1" fillId="8" fontId="2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6" fontId="4" numFmtId="0" xfId="0" applyBorder="1" applyFont="1"/>
    <xf borderId="1" fillId="10" fontId="1" numFmtId="0" xfId="0" applyAlignment="1" applyBorder="1" applyFill="1" applyFont="1">
      <alignment horizontal="right"/>
    </xf>
    <xf borderId="1" fillId="10" fontId="1" numFmtId="0" xfId="0" applyAlignment="1" applyBorder="1" applyFont="1">
      <alignment horizontal="right" readingOrder="0"/>
    </xf>
    <xf borderId="1" fillId="11" fontId="1" numFmtId="0" xfId="0" applyAlignment="1" applyBorder="1" applyFill="1" applyFont="1">
      <alignment horizontal="right" readingOrder="0"/>
    </xf>
    <xf borderId="1" fillId="6" fontId="4" numFmtId="0" xfId="0" applyBorder="1" applyFont="1"/>
    <xf borderId="1" fillId="11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0" fillId="6" fontId="5" numFmtId="0" xfId="0" applyFont="1"/>
    <xf borderId="1" fillId="8" fontId="1" numFmtId="0" xfId="0" applyBorder="1" applyFont="1"/>
    <xf borderId="1" fillId="12" fontId="2" numFmtId="0" xfId="0" applyAlignment="1" applyBorder="1" applyFill="1" applyFont="1">
      <alignment readingOrder="0"/>
    </xf>
    <xf borderId="1" fillId="13" fontId="2" numFmtId="0" xfId="0" applyAlignment="1" applyBorder="1" applyFill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1" fillId="0" fontId="2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1" fillId="14" fontId="2" numFmtId="0" xfId="0" applyAlignment="1" applyBorder="1" applyFill="1" applyFont="1">
      <alignment readingOrder="0"/>
    </xf>
    <xf borderId="1" fillId="15" fontId="2" numFmtId="0" xfId="0" applyAlignment="1" applyBorder="1" applyFill="1" applyFont="1">
      <alignment readingOrder="0"/>
    </xf>
    <xf borderId="1" fillId="6" fontId="5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Border="1" applyFont="1"/>
    <xf borderId="0" fillId="6" fontId="6" numFmtId="0" xfId="0" applyFont="1"/>
    <xf borderId="6" fillId="0" fontId="2" numFmtId="0" xfId="0" applyBorder="1" applyFont="1"/>
    <xf borderId="6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1" fillId="2" fontId="2" numFmtId="0" xfId="0" applyBorder="1" applyFont="1"/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left" readingOrder="0"/>
    </xf>
    <xf borderId="1" fillId="11" fontId="1" numFmtId="0" xfId="0" applyAlignment="1" applyBorder="1" applyFont="1">
      <alignment horizontal="left" readingOrder="0"/>
    </xf>
    <xf borderId="1" fillId="10" fontId="1" numFmtId="0" xfId="0" applyAlignment="1" applyBorder="1" applyFont="1">
      <alignment horizontal="left"/>
    </xf>
    <xf borderId="1" fillId="1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1" fillId="16" fontId="2" numFmtId="0" xfId="0" applyAlignment="1" applyBorder="1" applyFill="1" applyFont="1">
      <alignment readingOrder="0"/>
    </xf>
    <xf borderId="1" fillId="9" fontId="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Wartość napięcia w węźle na odcinku T1-TC4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'Szczyt obciążenia'!$B$42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'Szczyt obciążenia'!$A$43:$A$51</c:f>
            </c:strRef>
          </c:cat>
          <c:val>
            <c:numRef>
              <c:f>'Szczyt obciążenia'!$B$43:$B$51</c:f>
              <c:numCache/>
            </c:numRef>
          </c:val>
        </c:ser>
        <c:ser>
          <c:idx val="1"/>
          <c:order val="1"/>
          <c:tx>
            <c:strRef>
              <c:f>'Szczyt obciążenia'!$C$42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'Szczyt obciążenia'!$A$43:$A$51</c:f>
            </c:strRef>
          </c:cat>
          <c:val>
            <c:numRef>
              <c:f>'Szczyt obciążenia'!$C$43:$C$51</c:f>
              <c:numCache/>
            </c:numRef>
          </c:val>
        </c:ser>
        <c:axId val="1694596482"/>
        <c:axId val="1334535334"/>
      </c:barChart>
      <c:catAx>
        <c:axId val="1694596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węzeł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535334"/>
      </c:catAx>
      <c:valAx>
        <c:axId val="1334535334"/>
        <c:scaling>
          <c:orientation val="minMax"/>
          <c:min val="14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596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ROCZNE SPADKI ENERGII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'Straty roczne'!$B$8:$I$8</c:f>
            </c:strRef>
          </c:cat>
          <c:val>
            <c:numRef>
              <c:f>'Straty roczne'!$B$11:$I$11</c:f>
              <c:numCache/>
            </c:numRef>
          </c:val>
          <c:smooth val="1"/>
        </c:ser>
        <c:axId val="1280129930"/>
        <c:axId val="1252975036"/>
      </c:lineChart>
      <c:catAx>
        <c:axId val="1280129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Kwartał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975036"/>
      </c:catAx>
      <c:valAx>
        <c:axId val="125297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Straty Energii [kWh]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129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SUMA ROCZNYCH SPADKÓW ENERGII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'Straty roczne'!$K$10:$N$10</c:f>
            </c:strRef>
          </c:cat>
          <c:val>
            <c:numRef>
              <c:f>'Straty roczne'!$K$11:$N$11</c:f>
              <c:numCache/>
            </c:numRef>
          </c:val>
        </c:ser>
        <c:axId val="256841789"/>
        <c:axId val="529558052"/>
      </c:barChart>
      <c:catAx>
        <c:axId val="25684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Kwartał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58052"/>
      </c:catAx>
      <c:valAx>
        <c:axId val="529558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Straty Energii [kWh]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841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Spadek napięcia na odcinku T1-TC4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'Dolina obciążenia'!$W$1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'Dolina obciążenia'!$V$2:$V$10</c:f>
            </c:strRef>
          </c:cat>
          <c:val>
            <c:numRef>
              <c:f>'Dolina obciążenia'!$W$2:$W$10</c:f>
              <c:numCache/>
            </c:numRef>
          </c:val>
          <c:smooth val="0"/>
        </c:ser>
        <c:axId val="454414568"/>
        <c:axId val="1924664861"/>
      </c:lineChart>
      <c:catAx>
        <c:axId val="45441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węzeł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664861"/>
      </c:catAx>
      <c:valAx>
        <c:axId val="1924664861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45441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37</xdr:row>
      <xdr:rowOff>190500</xdr:rowOff>
    </xdr:from>
    <xdr:ext cx="5715000" cy="3533775"/>
    <xdr:graphicFrame>
      <xdr:nvGraphicFramePr>
        <xdr:cNvPr id="1104125278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12</xdr:row>
      <xdr:rowOff>114300</xdr:rowOff>
    </xdr:from>
    <xdr:ext cx="5715000" cy="3533775"/>
    <xdr:graphicFrame>
      <xdr:nvGraphicFramePr>
        <xdr:cNvPr id="173254088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600075</xdr:colOff>
      <xdr:row>12</xdr:row>
      <xdr:rowOff>28575</xdr:rowOff>
    </xdr:from>
    <xdr:ext cx="5715000" cy="3533775"/>
    <xdr:graphicFrame>
      <xdr:nvGraphicFramePr>
        <xdr:cNvPr id="40921148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923925</xdr:colOff>
      <xdr:row>11</xdr:row>
      <xdr:rowOff>19050</xdr:rowOff>
    </xdr:from>
    <xdr:ext cx="5715000" cy="3533775"/>
    <xdr:graphicFrame>
      <xdr:nvGraphicFramePr>
        <xdr:cNvPr id="25787705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6" width="8.71"/>
    <col customWidth="1" min="7" max="7" width="11.29"/>
    <col customWidth="1" min="8" max="15" width="8.71"/>
    <col customWidth="1" min="16" max="16" width="11.71"/>
    <col customWidth="1" min="17" max="17" width="9.86"/>
    <col customWidth="1" min="18" max="20" width="8.71"/>
    <col customWidth="1" min="21" max="21" width="16.86"/>
    <col customWidth="1" min="22" max="22" width="12.57"/>
    <col customWidth="1" min="23" max="23" width="9.57"/>
    <col customWidth="1" min="24" max="24" width="16.29"/>
    <col customWidth="1" min="25" max="25" width="15.14"/>
    <col customWidth="1" min="26" max="26" width="14.71"/>
    <col customWidth="1" min="27" max="27" width="12.29"/>
    <col customWidth="1" min="28" max="28" width="12.0"/>
    <col customWidth="1" min="29" max="29" width="15.71"/>
    <col customWidth="1" min="30" max="30" width="8.71"/>
    <col customWidth="1" min="31" max="31" width="16.57"/>
    <col customWidth="1" min="32" max="32" width="15.29"/>
    <col customWidth="1" min="33" max="4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3" t="s">
        <v>15</v>
      </c>
      <c r="R1" s="3" t="s">
        <v>16</v>
      </c>
      <c r="S1" s="3" t="s">
        <v>17</v>
      </c>
      <c r="U1" s="4" t="s">
        <v>18</v>
      </c>
      <c r="V1" s="5"/>
      <c r="W1" s="5"/>
      <c r="X1" s="5"/>
      <c r="Y1" s="5"/>
      <c r="Z1" s="6"/>
      <c r="AB1" s="4" t="s">
        <v>18</v>
      </c>
      <c r="AC1" s="5"/>
      <c r="AD1" s="5"/>
      <c r="AE1" s="5"/>
      <c r="AF1" s="5"/>
      <c r="AG1" s="6"/>
    </row>
    <row r="2">
      <c r="A2" s="7" t="s">
        <v>19</v>
      </c>
      <c r="B2" s="8">
        <v>996.0</v>
      </c>
      <c r="C2" s="9">
        <f t="shared" ref="C2:C5" si="2">B2/$Y$3</f>
        <v>0.4311688312</v>
      </c>
      <c r="D2" s="9">
        <f t="shared" ref="D2:D5" si="3">$Z$3*(B2/1000)</f>
        <v>0.3984</v>
      </c>
      <c r="E2" s="9">
        <f t="shared" ref="E2:E30" si="4">SQRT(F2^2+G2^2)</f>
        <v>114.5923987</v>
      </c>
      <c r="F2" s="9">
        <f t="shared" ref="F2:G2" si="1">N4+F3</f>
        <v>103.3739268</v>
      </c>
      <c r="G2" s="9">
        <f t="shared" si="1"/>
        <v>-49.44946014</v>
      </c>
      <c r="H2" s="10">
        <f t="shared" ref="H2:H30" si="6">(C2*F2)-(D2*G2)</f>
        <v>64.2722801</v>
      </c>
      <c r="I2" s="11">
        <f t="shared" ref="I2:I30" si="7">3*E2^2*C2</f>
        <v>16985.57425</v>
      </c>
      <c r="J2" s="11">
        <f t="shared" ref="J2:J30" si="8">3*E2^2*D2</f>
        <v>15694.67061</v>
      </c>
      <c r="L2" s="12">
        <v>0.0</v>
      </c>
      <c r="M2" s="8" t="s">
        <v>20</v>
      </c>
      <c r="N2" s="8" t="s">
        <v>20</v>
      </c>
      <c r="O2" s="8" t="s">
        <v>20</v>
      </c>
      <c r="P2" s="8">
        <v>15000.0</v>
      </c>
      <c r="Q2" s="13" t="s">
        <v>20</v>
      </c>
      <c r="R2" s="13" t="s">
        <v>20</v>
      </c>
      <c r="S2" s="13" t="s">
        <v>20</v>
      </c>
      <c r="U2" s="1" t="s">
        <v>21</v>
      </c>
      <c r="V2" s="2" t="s">
        <v>22</v>
      </c>
      <c r="W2" s="1" t="s">
        <v>23</v>
      </c>
      <c r="X2" s="1" t="s">
        <v>24</v>
      </c>
      <c r="Y2" s="3" t="s">
        <v>25</v>
      </c>
      <c r="Z2" s="3" t="s">
        <v>26</v>
      </c>
      <c r="AB2" s="1" t="s">
        <v>21</v>
      </c>
      <c r="AC2" s="2" t="s">
        <v>22</v>
      </c>
      <c r="AD2" s="1" t="s">
        <v>23</v>
      </c>
      <c r="AE2" s="1" t="s">
        <v>24</v>
      </c>
      <c r="AF2" s="3" t="s">
        <v>27</v>
      </c>
      <c r="AG2" s="3" t="s">
        <v>26</v>
      </c>
    </row>
    <row r="3">
      <c r="A3" s="14" t="s">
        <v>28</v>
      </c>
      <c r="B3" s="8">
        <v>1994.0</v>
      </c>
      <c r="C3" s="15">
        <f t="shared" si="2"/>
        <v>0.8632034632</v>
      </c>
      <c r="D3" s="15">
        <f t="shared" si="3"/>
        <v>0.7976</v>
      </c>
      <c r="E3" s="9">
        <f t="shared" si="4"/>
        <v>95.67866971</v>
      </c>
      <c r="F3" s="9">
        <f t="shared" ref="F3:G3" si="5">N6+F4</f>
        <v>86.35133143</v>
      </c>
      <c r="G3" s="9">
        <f t="shared" si="5"/>
        <v>-41.20504094</v>
      </c>
      <c r="H3" s="9">
        <f t="shared" si="6"/>
        <v>107.403909</v>
      </c>
      <c r="I3" s="11">
        <f t="shared" si="7"/>
        <v>23706.34965</v>
      </c>
      <c r="J3" s="11">
        <f t="shared" si="8"/>
        <v>21904.66707</v>
      </c>
      <c r="L3" s="12">
        <v>1.0</v>
      </c>
      <c r="M3" s="8" t="s">
        <v>20</v>
      </c>
      <c r="N3" s="13" t="s">
        <v>20</v>
      </c>
      <c r="O3" s="13" t="s">
        <v>20</v>
      </c>
      <c r="P3" s="9">
        <f>P2-H2</f>
        <v>14935.72772</v>
      </c>
      <c r="Q3" s="13" t="s">
        <v>20</v>
      </c>
      <c r="R3" s="13" t="s">
        <v>20</v>
      </c>
      <c r="S3" s="13" t="s">
        <v>20</v>
      </c>
      <c r="U3" s="16" t="s">
        <v>29</v>
      </c>
      <c r="V3" s="16">
        <v>33.0</v>
      </c>
      <c r="W3" s="7">
        <v>70.0</v>
      </c>
      <c r="X3" s="7" t="s">
        <v>30</v>
      </c>
      <c r="Y3" s="17">
        <f t="shared" ref="Y3:Y5" si="9">V3*W3</f>
        <v>2310</v>
      </c>
      <c r="Z3" s="18">
        <v>0.4</v>
      </c>
      <c r="AB3" s="16" t="s">
        <v>29</v>
      </c>
      <c r="AC3" s="16">
        <v>33.0</v>
      </c>
      <c r="AD3" s="7">
        <v>70.0</v>
      </c>
      <c r="AE3" s="16" t="s">
        <v>31</v>
      </c>
      <c r="AF3" s="17">
        <f t="shared" ref="AF3:AF5" si="10">(1/(AC3*AD3))*1000</f>
        <v>0.4329004329</v>
      </c>
      <c r="AG3" s="18">
        <v>0.4</v>
      </c>
    </row>
    <row r="4">
      <c r="A4" s="14" t="s">
        <v>32</v>
      </c>
      <c r="B4" s="8">
        <v>3015.0</v>
      </c>
      <c r="C4" s="15">
        <f t="shared" si="2"/>
        <v>1.305194805</v>
      </c>
      <c r="D4" s="15">
        <f t="shared" si="3"/>
        <v>1.206</v>
      </c>
      <c r="E4" s="9">
        <f t="shared" si="4"/>
        <v>74.36460972</v>
      </c>
      <c r="F4" s="9">
        <f>F5+F15</f>
        <v>66.71957475</v>
      </c>
      <c r="G4" s="9">
        <f>G15+G5</f>
        <v>-32.84194761</v>
      </c>
      <c r="H4" s="10">
        <f t="shared" si="6"/>
        <v>126.6894312</v>
      </c>
      <c r="I4" s="11">
        <f t="shared" si="7"/>
        <v>21653.5545</v>
      </c>
      <c r="J4" s="11">
        <f t="shared" si="8"/>
        <v>20007.88436</v>
      </c>
      <c r="L4" s="19" t="s">
        <v>33</v>
      </c>
      <c r="M4" s="9">
        <f>Q4*S4/(SQRT(3)*$U$8)</f>
        <v>18.91399482</v>
      </c>
      <c r="N4" s="9">
        <f>R4*M4</f>
        <v>17.02259534</v>
      </c>
      <c r="O4" s="9">
        <f>-(M4*SIN(ACOS(R4)))</f>
        <v>-8.244419203</v>
      </c>
      <c r="P4" s="9">
        <f>P3-H9</f>
        <v>14908.52951</v>
      </c>
      <c r="Q4" s="13">
        <v>630000.0</v>
      </c>
      <c r="R4" s="13">
        <v>0.9</v>
      </c>
      <c r="S4" s="13">
        <v>0.78</v>
      </c>
      <c r="U4" s="20" t="s">
        <v>29</v>
      </c>
      <c r="V4" s="21">
        <v>33.0</v>
      </c>
      <c r="W4" s="21">
        <v>35.0</v>
      </c>
      <c r="X4" s="20" t="s">
        <v>34</v>
      </c>
      <c r="Y4" s="22">
        <f t="shared" si="9"/>
        <v>1155</v>
      </c>
      <c r="Z4" s="23">
        <v>0.4</v>
      </c>
      <c r="AB4" s="20" t="s">
        <v>29</v>
      </c>
      <c r="AC4" s="21">
        <v>33.0</v>
      </c>
      <c r="AD4" s="21">
        <v>35.0</v>
      </c>
      <c r="AE4" s="21" t="s">
        <v>35</v>
      </c>
      <c r="AF4" s="22">
        <f t="shared" si="10"/>
        <v>0.8658008658</v>
      </c>
      <c r="AG4" s="23">
        <v>0.4</v>
      </c>
    </row>
    <row r="5">
      <c r="A5" s="16" t="s">
        <v>36</v>
      </c>
      <c r="B5" s="8">
        <v>2620.0</v>
      </c>
      <c r="C5" s="15">
        <f t="shared" si="2"/>
        <v>1.134199134</v>
      </c>
      <c r="D5" s="15">
        <f t="shared" si="3"/>
        <v>1.048</v>
      </c>
      <c r="E5" s="9">
        <f t="shared" si="4"/>
        <v>42.41271704</v>
      </c>
      <c r="F5" s="9">
        <f t="shared" ref="F5:G5" si="11">F6+F26</f>
        <v>37.97694601</v>
      </c>
      <c r="G5" s="9">
        <f t="shared" si="11"/>
        <v>-18.88359444</v>
      </c>
      <c r="H5" s="10">
        <f t="shared" si="6"/>
        <v>62.86342626</v>
      </c>
      <c r="I5" s="11">
        <f t="shared" si="7"/>
        <v>6120.723436</v>
      </c>
      <c r="J5" s="11">
        <f t="shared" si="8"/>
        <v>5655.548455</v>
      </c>
      <c r="L5" s="19">
        <v>2.0</v>
      </c>
      <c r="M5" s="8" t="s">
        <v>20</v>
      </c>
      <c r="N5" s="13" t="s">
        <v>20</v>
      </c>
      <c r="O5" s="13" t="s">
        <v>20</v>
      </c>
      <c r="P5" s="9">
        <f>P3-H3</f>
        <v>14828.32381</v>
      </c>
      <c r="Q5" s="13" t="s">
        <v>20</v>
      </c>
      <c r="R5" s="13" t="s">
        <v>20</v>
      </c>
      <c r="S5" s="13" t="s">
        <v>20</v>
      </c>
      <c r="U5" s="24" t="s">
        <v>37</v>
      </c>
      <c r="V5" s="24">
        <v>54.0</v>
      </c>
      <c r="W5" s="24">
        <v>50.0</v>
      </c>
      <c r="X5" s="24" t="s">
        <v>38</v>
      </c>
      <c r="Y5" s="25">
        <f t="shared" si="9"/>
        <v>2700</v>
      </c>
      <c r="Z5" s="26">
        <v>0.1</v>
      </c>
      <c r="AB5" s="24" t="s">
        <v>37</v>
      </c>
      <c r="AC5" s="24">
        <v>54.0</v>
      </c>
      <c r="AD5" s="24">
        <v>50.0</v>
      </c>
      <c r="AE5" s="24" t="s">
        <v>39</v>
      </c>
      <c r="AF5" s="25">
        <f t="shared" si="10"/>
        <v>0.3703703704</v>
      </c>
      <c r="AG5" s="26">
        <v>0.1</v>
      </c>
    </row>
    <row r="6">
      <c r="A6" s="27" t="s">
        <v>40</v>
      </c>
      <c r="B6" s="8">
        <v>1286.0</v>
      </c>
      <c r="C6" s="15">
        <f t="shared" ref="C6:C14" si="13">B6/$Y$4</f>
        <v>1.113419913</v>
      </c>
      <c r="D6" s="15">
        <f t="shared" ref="D6:D14" si="14">$Z$4*(B6/1000)</f>
        <v>0.5144</v>
      </c>
      <c r="E6" s="9">
        <f t="shared" si="4"/>
        <v>17.49105862</v>
      </c>
      <c r="F6" s="9">
        <f t="shared" ref="F6:G6" si="12">N15+F7</f>
        <v>15.49261712</v>
      </c>
      <c r="G6" s="9">
        <f t="shared" si="12"/>
        <v>-8.118863604</v>
      </c>
      <c r="H6" s="10">
        <f t="shared" si="6"/>
        <v>21.42613185</v>
      </c>
      <c r="I6" s="11">
        <f t="shared" si="7"/>
        <v>1021.909484</v>
      </c>
      <c r="J6" s="11">
        <f t="shared" si="8"/>
        <v>472.1221814</v>
      </c>
      <c r="L6" s="19" t="s">
        <v>41</v>
      </c>
      <c r="M6" s="9">
        <f>Q6*S6/(SQRT(3)*$U$8)</f>
        <v>21.33886595</v>
      </c>
      <c r="N6" s="9">
        <f>R6*M6</f>
        <v>19.63175667</v>
      </c>
      <c r="O6" s="9">
        <f>-(M6*(SQRT(1-R6^2)))</f>
        <v>-8.363093322</v>
      </c>
      <c r="P6" s="9">
        <f>P5-H10</f>
        <v>14818.33568</v>
      </c>
      <c r="Q6" s="13">
        <v>630000.0</v>
      </c>
      <c r="R6" s="13">
        <v>0.92</v>
      </c>
      <c r="S6" s="13">
        <v>0.88</v>
      </c>
    </row>
    <row r="7">
      <c r="A7" s="27" t="s">
        <v>42</v>
      </c>
      <c r="B7" s="8">
        <v>1059.0</v>
      </c>
      <c r="C7" s="15">
        <f t="shared" si="13"/>
        <v>0.9168831169</v>
      </c>
      <c r="D7" s="15">
        <f t="shared" si="14"/>
        <v>0.4236</v>
      </c>
      <c r="E7" s="9">
        <f t="shared" si="4"/>
        <v>10.59262896</v>
      </c>
      <c r="F7" s="9">
        <f t="shared" ref="F7:G7" si="15">N17+F8</f>
        <v>9.603644378</v>
      </c>
      <c r="G7" s="9">
        <f t="shared" si="15"/>
        <v>-4.469206086</v>
      </c>
      <c r="H7" s="10">
        <f t="shared" si="6"/>
        <v>10.69857509</v>
      </c>
      <c r="I7" s="11">
        <f t="shared" si="7"/>
        <v>308.6332776</v>
      </c>
      <c r="J7" s="11">
        <f t="shared" si="8"/>
        <v>142.5885743</v>
      </c>
      <c r="L7" s="19">
        <v>3.0</v>
      </c>
      <c r="M7" s="8" t="s">
        <v>20</v>
      </c>
      <c r="N7" s="13" t="s">
        <v>20</v>
      </c>
      <c r="O7" s="13" t="s">
        <v>20</v>
      </c>
      <c r="P7" s="9">
        <f>P5-H4</f>
        <v>14701.63438</v>
      </c>
      <c r="Q7" s="13" t="s">
        <v>20</v>
      </c>
      <c r="R7" s="13" t="s">
        <v>20</v>
      </c>
      <c r="S7" s="13" t="s">
        <v>20</v>
      </c>
      <c r="U7" s="28" t="s">
        <v>43</v>
      </c>
      <c r="V7" s="28" t="s">
        <v>44</v>
      </c>
      <c r="W7" s="28" t="s">
        <v>45</v>
      </c>
    </row>
    <row r="8">
      <c r="A8" s="27" t="s">
        <v>46</v>
      </c>
      <c r="B8" s="8">
        <f>558+436</f>
        <v>994</v>
      </c>
      <c r="C8" s="15">
        <f t="shared" si="13"/>
        <v>0.8606060606</v>
      </c>
      <c r="D8" s="15">
        <f t="shared" si="14"/>
        <v>0.3976</v>
      </c>
      <c r="E8" s="9">
        <f t="shared" si="4"/>
        <v>5.05145703</v>
      </c>
      <c r="F8" s="9">
        <f t="shared" ref="F8:G8" si="16">N19+N20</f>
        <v>4.615338052</v>
      </c>
      <c r="G8" s="9">
        <f t="shared" si="16"/>
        <v>-2.053259066</v>
      </c>
      <c r="H8" s="10">
        <f t="shared" si="6"/>
        <v>4.788363704</v>
      </c>
      <c r="I8" s="11">
        <f t="shared" si="7"/>
        <v>65.88081771</v>
      </c>
      <c r="J8" s="11">
        <f t="shared" si="8"/>
        <v>30.43693778</v>
      </c>
      <c r="L8" s="12">
        <v>4.0</v>
      </c>
      <c r="M8" s="8" t="s">
        <v>20</v>
      </c>
      <c r="N8" s="13" t="s">
        <v>20</v>
      </c>
      <c r="O8" s="13" t="s">
        <v>20</v>
      </c>
      <c r="P8" s="9">
        <f>P7-H5</f>
        <v>14638.77095</v>
      </c>
      <c r="Q8" s="13" t="s">
        <v>20</v>
      </c>
      <c r="R8" s="13" t="s">
        <v>20</v>
      </c>
      <c r="S8" s="13" t="s">
        <v>20</v>
      </c>
      <c r="U8" s="28">
        <v>15000.0</v>
      </c>
      <c r="V8" s="29">
        <f>U8*0.95</f>
        <v>14250</v>
      </c>
      <c r="W8" s="29">
        <f>U8*0.9</f>
        <v>13500</v>
      </c>
    </row>
    <row r="9">
      <c r="A9" s="20" t="s">
        <v>47</v>
      </c>
      <c r="B9" s="8">
        <f>1202+306</f>
        <v>1508</v>
      </c>
      <c r="C9" s="15">
        <f t="shared" si="13"/>
        <v>1.305627706</v>
      </c>
      <c r="D9" s="15">
        <f t="shared" si="14"/>
        <v>0.6032</v>
      </c>
      <c r="E9" s="9">
        <f t="shared" si="4"/>
        <v>18.91399482</v>
      </c>
      <c r="F9" s="30">
        <f>R4*M4</f>
        <v>17.02259534</v>
      </c>
      <c r="G9" s="30">
        <f>-(M4*SIN(ACOS(R4)))</f>
        <v>-8.244419203</v>
      </c>
      <c r="H9" s="10">
        <f t="shared" si="6"/>
        <v>27.19820576</v>
      </c>
      <c r="I9" s="11">
        <f t="shared" si="7"/>
        <v>1401.222633</v>
      </c>
      <c r="J9" s="11">
        <f t="shared" si="8"/>
        <v>647.3648563</v>
      </c>
      <c r="L9" s="31" t="s">
        <v>48</v>
      </c>
      <c r="M9" s="8" t="s">
        <v>20</v>
      </c>
      <c r="N9" s="13" t="s">
        <v>20</v>
      </c>
      <c r="O9" s="13" t="s">
        <v>20</v>
      </c>
      <c r="P9" s="9">
        <f>P8-H26</f>
        <v>14624.61793</v>
      </c>
      <c r="Q9" s="13" t="s">
        <v>20</v>
      </c>
      <c r="R9" s="13" t="s">
        <v>20</v>
      </c>
      <c r="S9" s="13" t="s">
        <v>20</v>
      </c>
    </row>
    <row r="10">
      <c r="A10" s="20" t="s">
        <v>49</v>
      </c>
      <c r="B10" s="8">
        <v>491.0</v>
      </c>
      <c r="C10" s="15">
        <f t="shared" si="13"/>
        <v>0.4251082251</v>
      </c>
      <c r="D10" s="15">
        <f t="shared" si="14"/>
        <v>0.1964</v>
      </c>
      <c r="E10" s="9">
        <f t="shared" si="4"/>
        <v>21.33886595</v>
      </c>
      <c r="F10" s="30">
        <f>R6*M6</f>
        <v>19.63175667</v>
      </c>
      <c r="G10" s="30">
        <f>-(M6*(SQRT(1-R6^2)))</f>
        <v>-8.363093322</v>
      </c>
      <c r="H10" s="10">
        <f t="shared" si="6"/>
        <v>9.988132764</v>
      </c>
      <c r="I10" s="11">
        <f t="shared" si="7"/>
        <v>580.71552</v>
      </c>
      <c r="J10" s="11">
        <f t="shared" si="8"/>
        <v>268.2905702</v>
      </c>
      <c r="L10" s="32" t="s">
        <v>50</v>
      </c>
      <c r="M10" s="9">
        <f>Q10*S10/(SQRT(3)*$U$8)</f>
        <v>13.70244639</v>
      </c>
      <c r="N10" s="9">
        <f>R10*M10</f>
        <v>11.92112836</v>
      </c>
      <c r="O10" s="9">
        <f>-(M10*(SQRT(1-R10^2)))</f>
        <v>-6.75601478</v>
      </c>
      <c r="P10" s="9">
        <f>P9-H28</f>
        <v>14609.15707</v>
      </c>
      <c r="Q10" s="13">
        <v>400000.0</v>
      </c>
      <c r="R10" s="13">
        <v>0.87</v>
      </c>
      <c r="S10" s="13">
        <v>0.89</v>
      </c>
      <c r="U10" s="28" t="s">
        <v>51</v>
      </c>
      <c r="Y10" s="28" t="b">
        <v>1</v>
      </c>
      <c r="AI10" s="28"/>
      <c r="AJ10" s="28"/>
      <c r="AK10" s="28"/>
      <c r="AL10" s="28"/>
      <c r="AM10" s="28"/>
      <c r="AN10" s="28"/>
    </row>
    <row r="11">
      <c r="A11" s="21" t="s">
        <v>52</v>
      </c>
      <c r="B11" s="8">
        <f>1777+666+777</f>
        <v>3220</v>
      </c>
      <c r="C11" s="15">
        <f t="shared" si="13"/>
        <v>2.787878788</v>
      </c>
      <c r="D11" s="15">
        <f t="shared" si="14"/>
        <v>1.288</v>
      </c>
      <c r="E11" s="9">
        <f t="shared" si="4"/>
        <v>6.92820323</v>
      </c>
      <c r="F11" s="30">
        <f>R15*M15</f>
        <v>5.888972746</v>
      </c>
      <c r="G11" s="30">
        <f>-(M15*(SQRT(1-R15^2)))</f>
        <v>-3.649657518</v>
      </c>
      <c r="H11" s="10">
        <f t="shared" si="6"/>
        <v>21.11850108</v>
      </c>
      <c r="I11" s="11">
        <f t="shared" si="7"/>
        <v>401.4545455</v>
      </c>
      <c r="J11" s="11">
        <f t="shared" si="8"/>
        <v>185.472</v>
      </c>
      <c r="L11" s="32" t="s">
        <v>53</v>
      </c>
      <c r="M11" s="8" t="s">
        <v>20</v>
      </c>
      <c r="N11" s="13" t="s">
        <v>20</v>
      </c>
      <c r="O11" s="13" t="s">
        <v>20</v>
      </c>
      <c r="P11" s="9">
        <f>P9-H27</f>
        <v>14620.65413</v>
      </c>
      <c r="Q11" s="13" t="s">
        <v>20</v>
      </c>
      <c r="R11" s="13" t="s">
        <v>20</v>
      </c>
      <c r="S11" s="13" t="s">
        <v>20</v>
      </c>
      <c r="U11" s="28" t="s">
        <v>54</v>
      </c>
      <c r="Y11" s="28" t="b">
        <v>0</v>
      </c>
    </row>
    <row r="12">
      <c r="A12" s="21" t="s">
        <v>55</v>
      </c>
      <c r="B12" s="8">
        <v>617.0</v>
      </c>
      <c r="C12" s="15">
        <f t="shared" si="13"/>
        <v>0.5341991342</v>
      </c>
      <c r="D12" s="15">
        <f t="shared" si="14"/>
        <v>0.2468</v>
      </c>
      <c r="E12" s="9">
        <f t="shared" si="4"/>
        <v>5.542562584</v>
      </c>
      <c r="F12" s="30">
        <f>R17*M17</f>
        <v>4.988306326</v>
      </c>
      <c r="G12" s="30">
        <f>-(M17*(SQRT(1-R17^2)))</f>
        <v>-2.415947019</v>
      </c>
      <c r="H12" s="10">
        <f t="shared" si="6"/>
        <v>3.261004645</v>
      </c>
      <c r="I12" s="11">
        <f t="shared" si="7"/>
        <v>49.23179221</v>
      </c>
      <c r="J12" s="11">
        <f t="shared" si="8"/>
        <v>22.745088</v>
      </c>
      <c r="L12" s="32" t="s">
        <v>56</v>
      </c>
      <c r="M12" s="9">
        <f t="shared" ref="M12:M13" si="17">Q12*S12/(SQRT(3)*$U$8)</f>
        <v>8.275353858</v>
      </c>
      <c r="N12" s="9">
        <f t="shared" ref="N12:N13" si="18">R12*M12</f>
        <v>7.944339704</v>
      </c>
      <c r="O12" s="9">
        <f t="shared" ref="O12:O13" si="19">-(M12*(SQRT(1-R12^2)))</f>
        <v>-2.31709908</v>
      </c>
      <c r="P12" s="9">
        <f>P11-H29</f>
        <v>14620.00662</v>
      </c>
      <c r="Q12" s="13">
        <v>250000.0</v>
      </c>
      <c r="R12" s="13">
        <v>0.96</v>
      </c>
      <c r="S12" s="13">
        <v>0.86</v>
      </c>
      <c r="U12" s="28" t="s">
        <v>57</v>
      </c>
      <c r="Y12" s="28" t="b">
        <v>1</v>
      </c>
    </row>
    <row r="13">
      <c r="A13" s="21" t="s">
        <v>58</v>
      </c>
      <c r="B13" s="8">
        <v>332.0</v>
      </c>
      <c r="C13" s="15">
        <f t="shared" si="13"/>
        <v>0.2874458874</v>
      </c>
      <c r="D13" s="15">
        <f t="shared" si="14"/>
        <v>0.1328</v>
      </c>
      <c r="E13" s="9">
        <f t="shared" si="4"/>
        <v>1.818653348</v>
      </c>
      <c r="F13" s="30">
        <f t="shared" ref="F13:F14" si="20">R19*M19</f>
        <v>1.67316108</v>
      </c>
      <c r="G13" s="30">
        <f t="shared" ref="G13:G14" si="21">-(M19*(SQRT(1-R19^2)))</f>
        <v>-0.7127636354</v>
      </c>
      <c r="H13" s="10">
        <f t="shared" si="6"/>
        <v>0.5755982823</v>
      </c>
      <c r="I13" s="11">
        <f t="shared" si="7"/>
        <v>2.852181818</v>
      </c>
      <c r="J13" s="11">
        <f t="shared" si="8"/>
        <v>1.317708</v>
      </c>
      <c r="L13" s="32" t="s">
        <v>59</v>
      </c>
      <c r="M13" s="9">
        <f t="shared" si="17"/>
        <v>3.117691454</v>
      </c>
      <c r="N13" s="9">
        <f t="shared" si="18"/>
        <v>2.618860821</v>
      </c>
      <c r="O13" s="9">
        <f t="shared" si="19"/>
        <v>-1.691616978</v>
      </c>
      <c r="P13" s="9">
        <f>P11-H30</f>
        <v>14619.16076</v>
      </c>
      <c r="Q13" s="13">
        <v>100000.0</v>
      </c>
      <c r="R13" s="13">
        <v>0.84</v>
      </c>
      <c r="S13" s="13">
        <v>0.81</v>
      </c>
      <c r="U13" s="28" t="s">
        <v>60</v>
      </c>
      <c r="Y13" s="28" t="b">
        <v>1</v>
      </c>
    </row>
    <row r="14">
      <c r="A14" s="21" t="s">
        <v>61</v>
      </c>
      <c r="B14" s="8">
        <f>442+278</f>
        <v>720</v>
      </c>
      <c r="C14" s="15">
        <f t="shared" si="13"/>
        <v>0.6233766234</v>
      </c>
      <c r="D14" s="15">
        <f t="shared" si="14"/>
        <v>0.288</v>
      </c>
      <c r="E14" s="9">
        <f t="shared" si="4"/>
        <v>3.233161507</v>
      </c>
      <c r="F14" s="30">
        <f t="shared" si="20"/>
        <v>2.942176972</v>
      </c>
      <c r="G14" s="30">
        <f t="shared" si="21"/>
        <v>-1.340495431</v>
      </c>
      <c r="H14" s="10">
        <f t="shared" si="6"/>
        <v>2.22014703</v>
      </c>
      <c r="I14" s="11">
        <f t="shared" si="7"/>
        <v>19.54909091</v>
      </c>
      <c r="J14" s="11">
        <f t="shared" si="8"/>
        <v>9.03168</v>
      </c>
      <c r="L14" s="33" t="s">
        <v>62</v>
      </c>
      <c r="M14" s="8" t="s">
        <v>20</v>
      </c>
      <c r="N14" s="13" t="s">
        <v>20</v>
      </c>
      <c r="O14" s="13" t="s">
        <v>20</v>
      </c>
      <c r="P14" s="9">
        <f>P8-H6</f>
        <v>14617.34482</v>
      </c>
      <c r="Q14" s="13" t="s">
        <v>20</v>
      </c>
      <c r="R14" s="13" t="s">
        <v>20</v>
      </c>
      <c r="S14" s="13" t="s">
        <v>20</v>
      </c>
      <c r="U14" s="28" t="s">
        <v>63</v>
      </c>
      <c r="Y14" s="29" t="b">
        <v>0</v>
      </c>
      <c r="Z14" s="28" t="s">
        <v>64</v>
      </c>
    </row>
    <row r="15">
      <c r="A15" s="16" t="s">
        <v>65</v>
      </c>
      <c r="B15" s="8">
        <v>1688.0</v>
      </c>
      <c r="C15" s="9">
        <f>B15/$Y$3</f>
        <v>0.7307359307</v>
      </c>
      <c r="D15" s="9">
        <f>$Z$3*(B15/1000)</f>
        <v>0.6752</v>
      </c>
      <c r="E15" s="9">
        <f t="shared" si="4"/>
        <v>31.95268894</v>
      </c>
      <c r="F15" s="9">
        <f t="shared" ref="F15:G15" si="22">N22+F17</f>
        <v>28.74262875</v>
      </c>
      <c r="G15" s="9">
        <f t="shared" si="22"/>
        <v>-13.95835317</v>
      </c>
      <c r="H15" s="10">
        <f t="shared" si="6"/>
        <v>30.42795163</v>
      </c>
      <c r="I15" s="11">
        <f t="shared" si="7"/>
        <v>2238.187883</v>
      </c>
      <c r="J15" s="11">
        <f t="shared" si="8"/>
        <v>2068.085604</v>
      </c>
      <c r="L15" s="33" t="s">
        <v>66</v>
      </c>
      <c r="M15" s="9">
        <f>Q15*S15/(SQRT(3)*$U$8)</f>
        <v>6.92820323</v>
      </c>
      <c r="N15" s="9">
        <f>R15*M15</f>
        <v>5.888972746</v>
      </c>
      <c r="O15" s="9">
        <f>-(M15*(SQRT(1-R15^2)))</f>
        <v>-3.649657518</v>
      </c>
      <c r="P15" s="9">
        <f>P14-H11</f>
        <v>14596.22632</v>
      </c>
      <c r="Q15" s="13">
        <v>250000.0</v>
      </c>
      <c r="R15" s="13">
        <v>0.85</v>
      </c>
      <c r="S15" s="13">
        <v>0.72</v>
      </c>
      <c r="U15" s="28" t="s">
        <v>67</v>
      </c>
      <c r="Y15" s="28" t="b">
        <v>1</v>
      </c>
      <c r="Z15" s="28" t="s">
        <v>64</v>
      </c>
    </row>
    <row r="16">
      <c r="A16" s="23" t="s">
        <v>68</v>
      </c>
      <c r="B16" s="13">
        <v>739.0</v>
      </c>
      <c r="C16" s="11">
        <f>B16/$Y$4</f>
        <v>0.6398268398</v>
      </c>
      <c r="D16" s="11">
        <f>$Z$4*(B16/1000)</f>
        <v>0.2956</v>
      </c>
      <c r="E16" s="9">
        <f t="shared" si="4"/>
        <v>11.08512517</v>
      </c>
      <c r="F16" s="34">
        <f>R22*M22</f>
        <v>9.533207645</v>
      </c>
      <c r="G16" s="34">
        <f>-(M22*(SQRT(1-R22^2)))</f>
        <v>-5.656673227</v>
      </c>
      <c r="H16" s="10">
        <f t="shared" si="6"/>
        <v>7.771714727</v>
      </c>
      <c r="I16" s="11">
        <f t="shared" si="7"/>
        <v>235.8657662</v>
      </c>
      <c r="J16" s="11">
        <f t="shared" si="8"/>
        <v>108.969984</v>
      </c>
      <c r="L16" s="35" t="s">
        <v>69</v>
      </c>
      <c r="M16" s="8" t="s">
        <v>20</v>
      </c>
      <c r="N16" s="13" t="s">
        <v>20</v>
      </c>
      <c r="O16" s="13" t="s">
        <v>20</v>
      </c>
      <c r="P16" s="11">
        <f>P14-H7</f>
        <v>14606.64625</v>
      </c>
      <c r="Q16" s="13" t="s">
        <v>20</v>
      </c>
      <c r="R16" s="13" t="s">
        <v>20</v>
      </c>
      <c r="S16" s="13" t="s">
        <v>20</v>
      </c>
    </row>
    <row r="17">
      <c r="A17" s="7" t="s">
        <v>70</v>
      </c>
      <c r="B17" s="8">
        <v>2023.0</v>
      </c>
      <c r="C17" s="9">
        <f>B17/$Y$3</f>
        <v>0.8757575758</v>
      </c>
      <c r="D17" s="9">
        <f>$Z$3*(B17/1000)</f>
        <v>0.8092</v>
      </c>
      <c r="E17" s="9">
        <f t="shared" si="4"/>
        <v>20.92653218</v>
      </c>
      <c r="F17" s="9">
        <f>F18+F19</f>
        <v>19.2094211</v>
      </c>
      <c r="G17" s="9">
        <f>G19+G19</f>
        <v>-8.301679946</v>
      </c>
      <c r="H17" s="10">
        <f t="shared" si="6"/>
        <v>23.54051547</v>
      </c>
      <c r="I17" s="11">
        <f t="shared" si="7"/>
        <v>1150.534613</v>
      </c>
      <c r="J17" s="11">
        <f t="shared" si="8"/>
        <v>1063.093983</v>
      </c>
      <c r="L17" s="35" t="s">
        <v>71</v>
      </c>
      <c r="M17" s="9">
        <f>Q17*S17/(SQRT(3)*$U$8)</f>
        <v>5.542562584</v>
      </c>
      <c r="N17" s="9">
        <f>R17*M17</f>
        <v>4.988306326</v>
      </c>
      <c r="O17" s="9">
        <f>-(M17*(SQRT(1-R17^2)))</f>
        <v>-2.415947019</v>
      </c>
      <c r="P17" s="11">
        <f>P16-H12</f>
        <v>14603.38524</v>
      </c>
      <c r="Q17" s="13">
        <v>160000.0</v>
      </c>
      <c r="R17" s="13">
        <v>0.9</v>
      </c>
      <c r="S17" s="13">
        <v>0.9</v>
      </c>
      <c r="U17" s="36" t="s">
        <v>72</v>
      </c>
      <c r="V17" s="5"/>
      <c r="W17" s="5"/>
      <c r="X17" s="5"/>
      <c r="Y17" s="5"/>
      <c r="Z17" s="5"/>
      <c r="AA17" s="6"/>
      <c r="AC17" s="36" t="s">
        <v>73</v>
      </c>
      <c r="AD17" s="5"/>
      <c r="AE17" s="5"/>
      <c r="AF17" s="5"/>
      <c r="AG17" s="5"/>
      <c r="AH17" s="5"/>
      <c r="AI17" s="6"/>
    </row>
    <row r="18">
      <c r="A18" s="24" t="s">
        <v>74</v>
      </c>
      <c r="B18" s="8">
        <v>1503.0</v>
      </c>
      <c r="C18" s="9">
        <f>B18/$Y$5</f>
        <v>0.5566666667</v>
      </c>
      <c r="D18" s="9">
        <f>$Z$5*(B18/1000)</f>
        <v>0.1503</v>
      </c>
      <c r="E18" s="9">
        <f t="shared" si="4"/>
        <v>10.78550223</v>
      </c>
      <c r="F18" s="9">
        <f t="shared" ref="F18:G18" si="23">N30+N31</f>
        <v>9.744325393</v>
      </c>
      <c r="G18" s="9">
        <f t="shared" si="23"/>
        <v>-4.623330068</v>
      </c>
      <c r="H18" s="10">
        <f t="shared" si="6"/>
        <v>6.119227645</v>
      </c>
      <c r="I18" s="11">
        <f t="shared" si="7"/>
        <v>194.2661873</v>
      </c>
      <c r="J18" s="11">
        <f t="shared" si="8"/>
        <v>52.45187058</v>
      </c>
      <c r="L18" s="35" t="s">
        <v>75</v>
      </c>
      <c r="M18" s="8" t="s">
        <v>20</v>
      </c>
      <c r="N18" s="13" t="s">
        <v>20</v>
      </c>
      <c r="O18" s="13" t="s">
        <v>20</v>
      </c>
      <c r="P18" s="11">
        <f>P16-H8</f>
        <v>14601.85788</v>
      </c>
      <c r="Q18" s="13" t="s">
        <v>20</v>
      </c>
      <c r="R18" s="13" t="s">
        <v>20</v>
      </c>
      <c r="S18" s="13" t="s">
        <v>20</v>
      </c>
      <c r="U18" s="36" t="s">
        <v>76</v>
      </c>
      <c r="V18" s="5"/>
      <c r="W18" s="6"/>
      <c r="X18" s="11"/>
      <c r="Y18" s="37" t="s">
        <v>77</v>
      </c>
      <c r="Z18" s="5"/>
      <c r="AA18" s="6"/>
      <c r="AC18" s="36" t="s">
        <v>76</v>
      </c>
      <c r="AD18" s="5"/>
      <c r="AE18" s="6"/>
      <c r="AF18" s="11"/>
      <c r="AG18" s="37" t="s">
        <v>77</v>
      </c>
      <c r="AH18" s="5"/>
      <c r="AI18" s="6"/>
    </row>
    <row r="19">
      <c r="A19" s="20" t="s">
        <v>78</v>
      </c>
      <c r="B19" s="8">
        <v>1082.0</v>
      </c>
      <c r="C19" s="9">
        <f t="shared" ref="C19:C20" si="25">B19/$Y$4</f>
        <v>0.9367965368</v>
      </c>
      <c r="D19" s="9">
        <f t="shared" ref="D19:D20" si="26">$Z$4*(B19/1000)</f>
        <v>0.4328</v>
      </c>
      <c r="E19" s="9">
        <f t="shared" si="4"/>
        <v>10.33525565</v>
      </c>
      <c r="F19" s="9">
        <f t="shared" ref="F19:G19" si="24">F20+N25</f>
        <v>9.465095709</v>
      </c>
      <c r="G19" s="9">
        <f t="shared" si="24"/>
        <v>-4.150839973</v>
      </c>
      <c r="H19" s="10">
        <f t="shared" si="6"/>
        <v>10.66335242</v>
      </c>
      <c r="I19" s="11">
        <f t="shared" si="7"/>
        <v>300.1988182</v>
      </c>
      <c r="J19" s="11">
        <f t="shared" si="8"/>
        <v>138.691854</v>
      </c>
      <c r="L19" s="35" t="s">
        <v>79</v>
      </c>
      <c r="M19" s="9">
        <f t="shared" ref="M19:M20" si="28">Q19*S19/(SQRT(3)*$U$8)</f>
        <v>1.818653348</v>
      </c>
      <c r="N19" s="9">
        <f t="shared" ref="N19:N20" si="29">R19*M19</f>
        <v>1.67316108</v>
      </c>
      <c r="O19" s="9">
        <f t="shared" ref="O19:O20" si="30">-(M19*(SQRT(1-R19^2)))</f>
        <v>-0.7127636354</v>
      </c>
      <c r="P19" s="11">
        <f>P18-H13</f>
        <v>14601.28228</v>
      </c>
      <c r="Q19" s="13">
        <v>63000.0</v>
      </c>
      <c r="R19" s="13">
        <v>0.92</v>
      </c>
      <c r="S19" s="13">
        <v>0.75</v>
      </c>
      <c r="U19" s="13" t="s">
        <v>80</v>
      </c>
      <c r="V19" s="13" t="s">
        <v>81</v>
      </c>
      <c r="W19" s="13" t="s">
        <v>82</v>
      </c>
      <c r="Y19" s="13" t="s">
        <v>80</v>
      </c>
      <c r="Z19" s="13" t="s">
        <v>81</v>
      </c>
      <c r="AA19" s="13" t="s">
        <v>82</v>
      </c>
      <c r="AC19" s="13" t="s">
        <v>83</v>
      </c>
      <c r="AD19" s="38">
        <f>V29*(15.75/0.42)</f>
        <v>34797.80134</v>
      </c>
      <c r="AE19" s="13" t="s">
        <v>84</v>
      </c>
      <c r="AG19" s="13" t="s">
        <v>83</v>
      </c>
      <c r="AH19" s="11">
        <f t="shared" ref="AH19:AH21" si="31">Z29*(15/0.7)</f>
        <v>101817.3098</v>
      </c>
      <c r="AI19" s="13" t="s">
        <v>84</v>
      </c>
    </row>
    <row r="20">
      <c r="A20" s="21" t="s">
        <v>85</v>
      </c>
      <c r="B20" s="8">
        <v>836.0</v>
      </c>
      <c r="C20" s="9">
        <f t="shared" si="25"/>
        <v>0.7238095238</v>
      </c>
      <c r="D20" s="9">
        <f t="shared" si="26"/>
        <v>0.3344</v>
      </c>
      <c r="E20" s="9">
        <f t="shared" si="4"/>
        <v>4.967749159</v>
      </c>
      <c r="F20" s="9">
        <f t="shared" ref="F20:G20" si="27">N28+N27</f>
        <v>4.316670909</v>
      </c>
      <c r="G20" s="9">
        <f t="shared" si="27"/>
        <v>-2.458634574</v>
      </c>
      <c r="H20" s="10">
        <f t="shared" si="6"/>
        <v>3.946614916</v>
      </c>
      <c r="I20" s="11">
        <f t="shared" si="7"/>
        <v>53.58766884</v>
      </c>
      <c r="J20" s="11">
        <f t="shared" si="8"/>
        <v>24.75750301</v>
      </c>
      <c r="L20" s="35" t="s">
        <v>86</v>
      </c>
      <c r="M20" s="9">
        <f t="shared" si="28"/>
        <v>3.233161507</v>
      </c>
      <c r="N20" s="9">
        <f t="shared" si="29"/>
        <v>2.942176972</v>
      </c>
      <c r="O20" s="9">
        <f t="shared" si="30"/>
        <v>-1.340495431</v>
      </c>
      <c r="P20" s="11">
        <f>P18-H14</f>
        <v>14599.63774</v>
      </c>
      <c r="Q20" s="13">
        <v>100000.0</v>
      </c>
      <c r="R20" s="13">
        <v>0.91</v>
      </c>
      <c r="S20" s="13">
        <v>0.84</v>
      </c>
      <c r="U20" s="13" t="s">
        <v>87</v>
      </c>
      <c r="V20" s="11">
        <f>SQRT(V22^2+V21^2)</f>
        <v>10.26603594</v>
      </c>
      <c r="W20" s="13" t="s">
        <v>88</v>
      </c>
      <c r="Y20" s="13" t="s">
        <v>87</v>
      </c>
      <c r="Z20" s="11">
        <f>SQRT(Z22^2+Z21^2)</f>
        <v>2.004910165</v>
      </c>
      <c r="AA20" s="13" t="s">
        <v>88</v>
      </c>
      <c r="AC20" s="13" t="s">
        <v>89</v>
      </c>
      <c r="AD20" s="11">
        <f>V26*SQRT(2)*V29*(15.75/0.42)</f>
        <v>50720.72516</v>
      </c>
      <c r="AE20" s="13" t="s">
        <v>84</v>
      </c>
      <c r="AG20" s="13" t="s">
        <v>89</v>
      </c>
      <c r="AH20" s="11">
        <f t="shared" si="31"/>
        <v>147648.0932</v>
      </c>
      <c r="AI20" s="13" t="s">
        <v>84</v>
      </c>
    </row>
    <row r="21" ht="15.75" customHeight="1">
      <c r="A21" s="24" t="s">
        <v>90</v>
      </c>
      <c r="B21" s="8">
        <v>727.0</v>
      </c>
      <c r="C21" s="9">
        <f t="shared" ref="C21:C22" si="32">B21/$Y$5</f>
        <v>0.2692592593</v>
      </c>
      <c r="D21" s="9">
        <f t="shared" ref="D21:D22" si="33">$Z$5*(B21/1000)</f>
        <v>0.0727</v>
      </c>
      <c r="E21" s="9">
        <f t="shared" si="4"/>
        <v>7.409328455</v>
      </c>
      <c r="F21" s="9">
        <f t="shared" ref="F21:F22" si="34">R30*M30</f>
        <v>6.594302325</v>
      </c>
      <c r="G21" s="30">
        <f t="shared" ref="G21:G22" si="35">-(M30*(SQRT(1-R30^2)))</f>
        <v>-3.378361289</v>
      </c>
      <c r="H21" s="10">
        <f t="shared" si="6"/>
        <v>2.021183825</v>
      </c>
      <c r="I21" s="11">
        <f t="shared" si="7"/>
        <v>44.34550412</v>
      </c>
      <c r="J21" s="11">
        <f t="shared" si="8"/>
        <v>11.97328611</v>
      </c>
      <c r="L21" s="18" t="s">
        <v>91</v>
      </c>
      <c r="M21" s="8" t="s">
        <v>20</v>
      </c>
      <c r="N21" s="13" t="s">
        <v>20</v>
      </c>
      <c r="O21" s="13" t="s">
        <v>20</v>
      </c>
      <c r="P21" s="11">
        <f>P7-H15</f>
        <v>14671.20643</v>
      </c>
      <c r="Q21" s="13" t="s">
        <v>20</v>
      </c>
      <c r="R21" s="13" t="s">
        <v>20</v>
      </c>
      <c r="S21" s="13" t="s">
        <v>20</v>
      </c>
      <c r="U21" s="13" t="s">
        <v>92</v>
      </c>
      <c r="V21" s="11">
        <f>D2+D3+D4+D5+D6+D7+D8+D9+D14</f>
        <v>5.6768</v>
      </c>
      <c r="W21" s="13" t="s">
        <v>88</v>
      </c>
      <c r="Y21" s="13" t="s">
        <v>92</v>
      </c>
      <c r="Z21" s="11">
        <f>D2+D9</f>
        <v>1.0016</v>
      </c>
      <c r="AA21" s="13" t="s">
        <v>88</v>
      </c>
      <c r="AC21" s="13" t="s">
        <v>93</v>
      </c>
      <c r="AD21" s="11">
        <f>SQRT(V27+V28)*V29*(15.75/0.42)</f>
        <v>36496.24194</v>
      </c>
      <c r="AE21" s="13" t="s">
        <v>84</v>
      </c>
      <c r="AG21" s="13" t="s">
        <v>93</v>
      </c>
      <c r="AH21" s="11">
        <f t="shared" si="31"/>
        <v>144902.705</v>
      </c>
      <c r="AI21" s="13" t="s">
        <v>84</v>
      </c>
    </row>
    <row r="22" ht="15.75" customHeight="1">
      <c r="A22" s="24" t="s">
        <v>94</v>
      </c>
      <c r="B22" s="8">
        <f>2996+747</f>
        <v>3743</v>
      </c>
      <c r="C22" s="9">
        <f t="shared" si="32"/>
        <v>1.386296296</v>
      </c>
      <c r="D22" s="9">
        <f t="shared" si="33"/>
        <v>0.3743</v>
      </c>
      <c r="E22" s="9">
        <f t="shared" si="4"/>
        <v>3.387121579</v>
      </c>
      <c r="F22" s="11">
        <f t="shared" si="34"/>
        <v>3.150023069</v>
      </c>
      <c r="G22" s="34">
        <f t="shared" si="35"/>
        <v>-1.244968778</v>
      </c>
      <c r="H22" s="10">
        <f t="shared" si="6"/>
        <v>4.832857127</v>
      </c>
      <c r="I22" s="11">
        <f t="shared" si="7"/>
        <v>47.71323786</v>
      </c>
      <c r="J22" s="11">
        <f t="shared" si="8"/>
        <v>12.88257422</v>
      </c>
      <c r="L22" s="18" t="s">
        <v>95</v>
      </c>
      <c r="M22" s="9">
        <f>Q22*S22/(SQRT(3)*$U$8)</f>
        <v>11.08512517</v>
      </c>
      <c r="N22" s="9">
        <f>R22*M22</f>
        <v>9.533207645</v>
      </c>
      <c r="O22" s="9">
        <f>-(M22*(SQRT(1-R22^2)))</f>
        <v>-5.656673227</v>
      </c>
      <c r="P22" s="11">
        <f>P21-H16</f>
        <v>14663.43471</v>
      </c>
      <c r="Q22" s="13">
        <v>400000.0</v>
      </c>
      <c r="R22" s="13">
        <v>0.86</v>
      </c>
      <c r="S22" s="13">
        <v>0.72</v>
      </c>
      <c r="U22" s="13" t="s">
        <v>96</v>
      </c>
      <c r="V22" s="11">
        <f>C2+C3+C4+C5+C6+C7+C8+C9+C14</f>
        <v>8.553679654</v>
      </c>
      <c r="W22" s="13" t="s">
        <v>88</v>
      </c>
      <c r="Y22" s="13" t="s">
        <v>96</v>
      </c>
      <c r="Z22" s="11">
        <f>C2+C9</f>
        <v>1.736796537</v>
      </c>
      <c r="AA22" s="13" t="s">
        <v>88</v>
      </c>
      <c r="AC22" s="28"/>
      <c r="AG22" s="28"/>
    </row>
    <row r="23" ht="15.75" customHeight="1">
      <c r="A23" s="21" t="s">
        <v>97</v>
      </c>
      <c r="B23" s="8">
        <v>590.0</v>
      </c>
      <c r="C23" s="9">
        <f t="shared" ref="C23:C25" si="36">B23/$Y$4</f>
        <v>0.5108225108</v>
      </c>
      <c r="D23" s="9">
        <f t="shared" ref="D23:D25" si="37">$Z$4*(B23/1000)</f>
        <v>0.236</v>
      </c>
      <c r="E23" s="9">
        <f t="shared" si="4"/>
        <v>5.419394527</v>
      </c>
      <c r="F23" s="34">
        <f>R25*M25</f>
        <v>5.1484248</v>
      </c>
      <c r="G23" s="34">
        <f>-(M25*(SQRT(1-R25^2)))</f>
        <v>-1.692205399</v>
      </c>
      <c r="H23" s="10">
        <f t="shared" si="6"/>
        <v>3.029291757</v>
      </c>
      <c r="I23" s="11">
        <f t="shared" si="7"/>
        <v>45.00832169</v>
      </c>
      <c r="J23" s="11">
        <f t="shared" si="8"/>
        <v>20.79384462</v>
      </c>
      <c r="L23" s="18" t="s">
        <v>98</v>
      </c>
      <c r="M23" s="8" t="s">
        <v>20</v>
      </c>
      <c r="N23" s="13" t="s">
        <v>20</v>
      </c>
      <c r="O23" s="13" t="s">
        <v>20</v>
      </c>
      <c r="P23" s="11">
        <f>P21-H17</f>
        <v>14647.66591</v>
      </c>
      <c r="Q23" s="13" t="s">
        <v>20</v>
      </c>
      <c r="R23" s="13" t="s">
        <v>20</v>
      </c>
      <c r="S23" s="13" t="s">
        <v>20</v>
      </c>
      <c r="U23" s="13" t="s">
        <v>99</v>
      </c>
      <c r="V23" s="13">
        <v>1.1</v>
      </c>
      <c r="W23" s="13" t="s">
        <v>20</v>
      </c>
      <c r="Y23" s="13" t="s">
        <v>99</v>
      </c>
      <c r="Z23" s="13">
        <v>1.1</v>
      </c>
      <c r="AA23" s="13" t="s">
        <v>20</v>
      </c>
      <c r="AC23" s="28" t="s">
        <v>4</v>
      </c>
      <c r="AD23" s="28">
        <f>V34*(15/0.4)</f>
        <v>259.8076211</v>
      </c>
      <c r="AG23" s="28" t="s">
        <v>4</v>
      </c>
      <c r="AH23" s="28">
        <f>Z34*(15/0.4)</f>
        <v>709.2748057</v>
      </c>
    </row>
    <row r="24" ht="15.75" customHeight="1">
      <c r="A24" s="21" t="s">
        <v>100</v>
      </c>
      <c r="B24" s="8">
        <v>755.0</v>
      </c>
      <c r="C24" s="9">
        <f t="shared" si="36"/>
        <v>0.6536796537</v>
      </c>
      <c r="D24" s="9">
        <f t="shared" si="37"/>
        <v>0.302</v>
      </c>
      <c r="E24" s="9">
        <f t="shared" si="4"/>
        <v>1.770155925</v>
      </c>
      <c r="F24" s="30">
        <f t="shared" ref="F24:F25" si="38">R27*M27</f>
        <v>1.699349688</v>
      </c>
      <c r="G24" s="30">
        <f t="shared" ref="G24:G25" si="39">-(M27*(SQRT(1-R27^2)))</f>
        <v>-0.4956436591</v>
      </c>
      <c r="H24" s="10">
        <f t="shared" si="6"/>
        <v>1.260514701</v>
      </c>
      <c r="I24" s="11">
        <f t="shared" si="7"/>
        <v>6.144821455</v>
      </c>
      <c r="J24" s="11">
        <f t="shared" si="8"/>
        <v>2.838907512</v>
      </c>
      <c r="L24" s="18" t="s">
        <v>101</v>
      </c>
      <c r="M24" s="8" t="s">
        <v>20</v>
      </c>
      <c r="N24" s="13" t="s">
        <v>20</v>
      </c>
      <c r="O24" s="13" t="s">
        <v>20</v>
      </c>
      <c r="P24" s="11">
        <f>P23-H19</f>
        <v>14637.00256</v>
      </c>
      <c r="Q24" s="13" t="s">
        <v>20</v>
      </c>
      <c r="R24" s="13" t="s">
        <v>20</v>
      </c>
      <c r="S24" s="13" t="s">
        <v>20</v>
      </c>
      <c r="U24" s="13" t="s">
        <v>43</v>
      </c>
      <c r="V24" s="13">
        <v>15000.0</v>
      </c>
      <c r="W24" s="13" t="s">
        <v>102</v>
      </c>
      <c r="Y24" s="13" t="s">
        <v>43</v>
      </c>
      <c r="Z24" s="13">
        <v>15000.0</v>
      </c>
      <c r="AA24" s="13" t="s">
        <v>102</v>
      </c>
      <c r="AC24" s="28"/>
      <c r="AD24" s="28"/>
      <c r="AG24" s="28"/>
      <c r="AH24" s="28"/>
    </row>
    <row r="25" ht="15.75" customHeight="1">
      <c r="A25" s="21" t="s">
        <v>103</v>
      </c>
      <c r="B25" s="8">
        <f>802+617</f>
        <v>1419</v>
      </c>
      <c r="C25" s="9">
        <f t="shared" si="36"/>
        <v>1.228571429</v>
      </c>
      <c r="D25" s="9">
        <f t="shared" si="37"/>
        <v>0.5676</v>
      </c>
      <c r="E25" s="9">
        <f t="shared" si="4"/>
        <v>3.271651525</v>
      </c>
      <c r="F25" s="30">
        <f t="shared" si="38"/>
        <v>2.61732122</v>
      </c>
      <c r="G25" s="30">
        <f t="shared" si="39"/>
        <v>-1.962990915</v>
      </c>
      <c r="H25" s="10">
        <f t="shared" si="6"/>
        <v>4.329759714</v>
      </c>
      <c r="I25" s="11">
        <f t="shared" si="7"/>
        <v>39.45079365</v>
      </c>
      <c r="J25" s="11">
        <f t="shared" si="8"/>
        <v>18.22626667</v>
      </c>
      <c r="L25" s="18" t="s">
        <v>104</v>
      </c>
      <c r="M25" s="9">
        <f>Q25*S25/(SQRT(3)*$U$8)</f>
        <v>5.419394527</v>
      </c>
      <c r="N25" s="9">
        <f>R25*M25</f>
        <v>5.1484248</v>
      </c>
      <c r="O25" s="9">
        <f>-(M25*(SQRT(1-R25^2)))</f>
        <v>-1.692205399</v>
      </c>
      <c r="P25" s="11">
        <f>P24-H23</f>
        <v>14633.97327</v>
      </c>
      <c r="Q25" s="13">
        <v>160000.0</v>
      </c>
      <c r="R25" s="13">
        <v>0.95</v>
      </c>
      <c r="S25" s="13">
        <v>0.88</v>
      </c>
      <c r="U25" s="13" t="s">
        <v>105</v>
      </c>
      <c r="V25" s="11">
        <f>V22/V21</f>
        <v>1.506778406</v>
      </c>
      <c r="W25" s="13" t="s">
        <v>20</v>
      </c>
      <c r="Y25" s="13" t="s">
        <v>105</v>
      </c>
      <c r="Z25" s="11">
        <f>Z22/Z21</f>
        <v>1.734022101</v>
      </c>
      <c r="AA25" s="13" t="s">
        <v>20</v>
      </c>
      <c r="AC25" s="28"/>
      <c r="AG25" s="28"/>
    </row>
    <row r="26" ht="15.75" customHeight="1">
      <c r="A26" s="39" t="s">
        <v>106</v>
      </c>
      <c r="B26" s="8">
        <v>1505.0</v>
      </c>
      <c r="C26" s="9">
        <f t="shared" ref="C26:C30" si="41">B26/$Y$5</f>
        <v>0.5574074074</v>
      </c>
      <c r="D26" s="9">
        <f t="shared" ref="D26:D30" si="42">$Z$5*(B26/1000)</f>
        <v>0.1505</v>
      </c>
      <c r="E26" s="9">
        <f t="shared" si="4"/>
        <v>24.92838694</v>
      </c>
      <c r="F26" s="9">
        <f t="shared" ref="F26:G26" si="40">N10+F27</f>
        <v>22.48432888</v>
      </c>
      <c r="G26" s="9">
        <f t="shared" si="40"/>
        <v>-10.76473084</v>
      </c>
      <c r="H26" s="10">
        <f t="shared" si="6"/>
        <v>14.15302346</v>
      </c>
      <c r="I26" s="11">
        <f t="shared" si="7"/>
        <v>1039.159817</v>
      </c>
      <c r="J26" s="11">
        <f t="shared" si="8"/>
        <v>280.5731506</v>
      </c>
      <c r="L26" s="18" t="s">
        <v>107</v>
      </c>
      <c r="M26" s="8" t="s">
        <v>20</v>
      </c>
      <c r="N26" s="13" t="s">
        <v>20</v>
      </c>
      <c r="O26" s="13" t="s">
        <v>20</v>
      </c>
      <c r="P26" s="11">
        <f>P24-H20</f>
        <v>14633.05595</v>
      </c>
      <c r="Q26" s="13" t="s">
        <v>20</v>
      </c>
      <c r="R26" s="13" t="s">
        <v>20</v>
      </c>
      <c r="S26" s="13" t="s">
        <v>20</v>
      </c>
      <c r="U26" s="13" t="s">
        <v>108</v>
      </c>
      <c r="V26" s="13">
        <f>1.02+0.98*exp(-3*V25)</f>
        <v>1.030667667</v>
      </c>
      <c r="W26" s="13" t="s">
        <v>20</v>
      </c>
      <c r="Y26" s="13" t="s">
        <v>109</v>
      </c>
      <c r="Z26" s="13">
        <f>1.02+0.98*exp(-3*Z25)</f>
        <v>1.025395074</v>
      </c>
      <c r="AA26" s="13" t="s">
        <v>20</v>
      </c>
      <c r="AC26" s="28"/>
      <c r="AD26" s="28"/>
      <c r="AG26" s="28"/>
      <c r="AH26" s="28"/>
    </row>
    <row r="27" ht="15.75" customHeight="1">
      <c r="A27" s="39" t="s">
        <v>110</v>
      </c>
      <c r="B27" s="8">
        <v>919.0</v>
      </c>
      <c r="C27" s="9">
        <f t="shared" si="41"/>
        <v>0.3403703704</v>
      </c>
      <c r="D27" s="9">
        <f t="shared" si="42"/>
        <v>0.0919</v>
      </c>
      <c r="E27" s="9">
        <f t="shared" si="4"/>
        <v>11.29827464</v>
      </c>
      <c r="F27" s="9">
        <f t="shared" ref="F27:G27" si="43">N12+N13</f>
        <v>10.56320053</v>
      </c>
      <c r="G27" s="9">
        <f t="shared" si="43"/>
        <v>-4.008716058</v>
      </c>
      <c r="H27" s="10">
        <f t="shared" si="6"/>
        <v>3.963801481</v>
      </c>
      <c r="I27" s="11">
        <f t="shared" si="7"/>
        <v>130.3458644</v>
      </c>
      <c r="J27" s="11">
        <f t="shared" si="8"/>
        <v>35.19338339</v>
      </c>
      <c r="L27" s="18" t="s">
        <v>111</v>
      </c>
      <c r="M27" s="9">
        <f t="shared" ref="M27:M28" si="44">Q27*S27/(SQRT(3)*$U$8)</f>
        <v>1.770155925</v>
      </c>
      <c r="N27" s="9">
        <f t="shared" ref="N27:N28" si="45">R27*M27</f>
        <v>1.699349688</v>
      </c>
      <c r="O27" s="9">
        <f t="shared" ref="O27:O28" si="46">-(M27*(SQRT(1-R27^2)))</f>
        <v>-0.4956436591</v>
      </c>
      <c r="P27" s="11">
        <f>P26-H24</f>
        <v>14631.79543</v>
      </c>
      <c r="Q27" s="13">
        <v>63000.0</v>
      </c>
      <c r="R27" s="13">
        <v>0.96</v>
      </c>
      <c r="S27" s="13">
        <v>0.73</v>
      </c>
      <c r="U27" s="13" t="s">
        <v>112</v>
      </c>
      <c r="V27" s="13">
        <v>0.1</v>
      </c>
      <c r="W27" s="13" t="s">
        <v>20</v>
      </c>
      <c r="Y27" s="13" t="s">
        <v>112</v>
      </c>
      <c r="Z27" s="28">
        <v>0.1</v>
      </c>
      <c r="AA27" s="13" t="s">
        <v>20</v>
      </c>
      <c r="AC27" s="28"/>
      <c r="AD27" s="28"/>
      <c r="AG27" s="28"/>
    </row>
    <row r="28" ht="15.75" customHeight="1">
      <c r="A28" s="24" t="s">
        <v>113</v>
      </c>
      <c r="B28" s="9">
        <f>1191+1269+577</f>
        <v>3037</v>
      </c>
      <c r="C28" s="9">
        <f t="shared" si="41"/>
        <v>1.124814815</v>
      </c>
      <c r="D28" s="9">
        <f t="shared" si="42"/>
        <v>0.3037</v>
      </c>
      <c r="E28" s="9">
        <f t="shared" si="4"/>
        <v>13.70244639</v>
      </c>
      <c r="F28" s="30">
        <f>R10*M10</f>
        <v>11.92112836</v>
      </c>
      <c r="G28" s="30">
        <f>-(M10*(SQRT(1-R10^2)))</f>
        <v>-6.75601478</v>
      </c>
      <c r="H28" s="9">
        <f t="shared" si="6"/>
        <v>15.46086348</v>
      </c>
      <c r="I28" s="11">
        <f t="shared" si="7"/>
        <v>633.5756905</v>
      </c>
      <c r="J28" s="11">
        <f t="shared" si="8"/>
        <v>171.0654364</v>
      </c>
      <c r="L28" s="18" t="s">
        <v>114</v>
      </c>
      <c r="M28" s="9">
        <f t="shared" si="44"/>
        <v>3.271651525</v>
      </c>
      <c r="N28" s="9">
        <f t="shared" si="45"/>
        <v>2.61732122</v>
      </c>
      <c r="O28" s="9">
        <f t="shared" si="46"/>
        <v>-1.962990915</v>
      </c>
      <c r="P28" s="11">
        <f>P26-H25</f>
        <v>14628.72619</v>
      </c>
      <c r="Q28" s="13">
        <v>100000.0</v>
      </c>
      <c r="R28" s="13">
        <v>0.8</v>
      </c>
      <c r="S28" s="13">
        <v>0.85</v>
      </c>
      <c r="U28" s="13" t="s">
        <v>115</v>
      </c>
      <c r="V28" s="13">
        <v>1.0</v>
      </c>
      <c r="W28" s="13" t="s">
        <v>20</v>
      </c>
      <c r="Y28" s="13" t="s">
        <v>115</v>
      </c>
      <c r="Z28" s="13">
        <v>1.0</v>
      </c>
      <c r="AA28" s="13" t="s">
        <v>20</v>
      </c>
      <c r="AC28" s="28"/>
      <c r="AD28" s="28"/>
      <c r="AG28" s="28"/>
      <c r="AH28" s="28"/>
    </row>
    <row r="29" ht="15.75" customHeight="1">
      <c r="A29" s="24" t="s">
        <v>116</v>
      </c>
      <c r="B29" s="8">
        <v>204.0</v>
      </c>
      <c r="C29" s="9">
        <f t="shared" si="41"/>
        <v>0.07555555556</v>
      </c>
      <c r="D29" s="9">
        <f t="shared" si="42"/>
        <v>0.0204</v>
      </c>
      <c r="E29" s="9">
        <f t="shared" si="4"/>
        <v>8.275353858</v>
      </c>
      <c r="F29" s="30">
        <f t="shared" ref="F29:F30" si="47">R12*M12</f>
        <v>7.944339704</v>
      </c>
      <c r="G29" s="30">
        <f t="shared" ref="G29:G30" si="48">-(M12*(SQRT(1-R12^2)))</f>
        <v>-2.31709908</v>
      </c>
      <c r="H29" s="9">
        <f t="shared" si="6"/>
        <v>0.6475078211</v>
      </c>
      <c r="I29" s="11">
        <f t="shared" si="7"/>
        <v>15.52246914</v>
      </c>
      <c r="J29" s="11">
        <f t="shared" si="8"/>
        <v>4.191066667</v>
      </c>
      <c r="L29" s="18" t="s">
        <v>117</v>
      </c>
      <c r="M29" s="8" t="s">
        <v>20</v>
      </c>
      <c r="N29" s="13" t="s">
        <v>20</v>
      </c>
      <c r="O29" s="13" t="s">
        <v>20</v>
      </c>
      <c r="P29" s="11">
        <f>P23-H21</f>
        <v>14645.64473</v>
      </c>
      <c r="Q29" s="13" t="s">
        <v>20</v>
      </c>
      <c r="R29" s="13" t="s">
        <v>20</v>
      </c>
      <c r="S29" s="13" t="s">
        <v>20</v>
      </c>
      <c r="U29" s="13" t="s">
        <v>83</v>
      </c>
      <c r="V29" s="11">
        <f>(V23*V24)/(SQRT(3)*V20)</f>
        <v>927.941369</v>
      </c>
      <c r="W29" s="13" t="s">
        <v>84</v>
      </c>
      <c r="Y29" s="13" t="s">
        <v>83</v>
      </c>
      <c r="Z29" s="11">
        <f>(Z23*Z24)/(SQRT(3)*Z20)</f>
        <v>4751.474459</v>
      </c>
      <c r="AA29" s="13" t="s">
        <v>84</v>
      </c>
    </row>
    <row r="30" ht="15.75" customHeight="1">
      <c r="A30" s="24" t="s">
        <v>118</v>
      </c>
      <c r="B30" s="8">
        <v>1311.0</v>
      </c>
      <c r="C30" s="9">
        <f t="shared" si="41"/>
        <v>0.4855555556</v>
      </c>
      <c r="D30" s="9">
        <f t="shared" si="42"/>
        <v>0.1311</v>
      </c>
      <c r="E30" s="9">
        <f t="shared" si="4"/>
        <v>3.117691454</v>
      </c>
      <c r="F30" s="30">
        <f t="shared" si="47"/>
        <v>2.618860821</v>
      </c>
      <c r="G30" s="30">
        <f t="shared" si="48"/>
        <v>-1.691616978</v>
      </c>
      <c r="H30" s="9">
        <f t="shared" si="6"/>
        <v>1.493373407</v>
      </c>
      <c r="I30" s="11">
        <f t="shared" si="7"/>
        <v>14.1588</v>
      </c>
      <c r="J30" s="11">
        <f t="shared" si="8"/>
        <v>3.822876</v>
      </c>
      <c r="L30" s="18" t="s">
        <v>119</v>
      </c>
      <c r="M30" s="9">
        <f t="shared" ref="M30:M31" si="49">Q30*S30/(SQRT(3)*$U$8)</f>
        <v>7.409328455</v>
      </c>
      <c r="N30" s="9">
        <f t="shared" ref="N30:N31" si="50">R30*M30</f>
        <v>6.594302325</v>
      </c>
      <c r="O30" s="9">
        <f t="shared" ref="O30:O31" si="51">-(M30*(SQRT(1-R30^2)))</f>
        <v>-3.378361289</v>
      </c>
      <c r="P30" s="11">
        <f>P29-H21</f>
        <v>14643.62354</v>
      </c>
      <c r="Q30" s="13">
        <v>250000.0</v>
      </c>
      <c r="R30" s="13">
        <v>0.89</v>
      </c>
      <c r="S30" s="13">
        <v>0.77</v>
      </c>
      <c r="U30" s="13" t="s">
        <v>89</v>
      </c>
      <c r="V30" s="11">
        <f>V26*SQRT(2)*V29</f>
        <v>1352.552671</v>
      </c>
      <c r="W30" s="13" t="s">
        <v>84</v>
      </c>
      <c r="Y30" s="13" t="s">
        <v>89</v>
      </c>
      <c r="Z30" s="11">
        <f>Z26*SQRT(2)*Z29</f>
        <v>6890.244349</v>
      </c>
      <c r="AA30" s="13" t="s">
        <v>84</v>
      </c>
    </row>
    <row r="31" ht="15.75" customHeight="1">
      <c r="L31" s="18" t="s">
        <v>120</v>
      </c>
      <c r="M31" s="9">
        <f t="shared" si="49"/>
        <v>3.387121579</v>
      </c>
      <c r="N31" s="9">
        <f t="shared" si="50"/>
        <v>3.150023069</v>
      </c>
      <c r="O31" s="9">
        <f t="shared" si="51"/>
        <v>-1.244968778</v>
      </c>
      <c r="P31" s="11">
        <f>P29-H22</f>
        <v>14640.81187</v>
      </c>
      <c r="Q31" s="13">
        <v>100000.0</v>
      </c>
      <c r="R31" s="13">
        <v>0.93</v>
      </c>
      <c r="S31" s="13">
        <v>0.88</v>
      </c>
      <c r="U31" s="13" t="s">
        <v>93</v>
      </c>
      <c r="V31" s="11">
        <f>SQRT(V27+V28)*V29</f>
        <v>973.2331184</v>
      </c>
      <c r="W31" s="13" t="s">
        <v>84</v>
      </c>
      <c r="Y31" s="13" t="s">
        <v>93</v>
      </c>
      <c r="Z31" s="11">
        <f>SQRT(Z26+Z28)*Z29</f>
        <v>6762.126233</v>
      </c>
      <c r="AA31" s="13" t="s">
        <v>84</v>
      </c>
    </row>
    <row r="32" ht="15.75" customHeight="1">
      <c r="A32" s="28" t="s">
        <v>121</v>
      </c>
      <c r="B32" s="29">
        <f>SUM(B2:B5)+B15+B17</f>
        <v>12336</v>
      </c>
      <c r="D32" s="40" t="s">
        <v>122</v>
      </c>
      <c r="E32" s="11">
        <f>MAX(E2:E5,E15,E17)</f>
        <v>114.5923987</v>
      </c>
      <c r="G32" s="13" t="s">
        <v>123</v>
      </c>
      <c r="H32" s="11">
        <f t="shared" ref="H32:I32" si="52">MAX(H2:H30)</f>
        <v>126.6894312</v>
      </c>
      <c r="I32" s="29">
        <f t="shared" si="52"/>
        <v>23706.34965</v>
      </c>
      <c r="U32" s="13" t="s">
        <v>124</v>
      </c>
      <c r="V32" s="11">
        <f>SQRT(3)*V29*V24</f>
        <v>24108623.96</v>
      </c>
      <c r="W32" s="13" t="s">
        <v>125</v>
      </c>
      <c r="Y32" s="13" t="s">
        <v>124</v>
      </c>
      <c r="Z32" s="11">
        <f>SQRT(3)*Z29*Z24</f>
        <v>123446927.6</v>
      </c>
      <c r="AA32" s="13" t="s">
        <v>125</v>
      </c>
    </row>
    <row r="33" ht="15.75" customHeight="1">
      <c r="A33" s="28" t="s">
        <v>121</v>
      </c>
      <c r="B33" s="29">
        <f>SUM(B6:B14)+B16+SUM(B19:B20)+SUM(B23:B25)</f>
        <v>15648</v>
      </c>
      <c r="D33" s="23" t="s">
        <v>122</v>
      </c>
      <c r="E33" s="11">
        <f>MAX(E6:E14,E16,E19:E20,E23:E25)</f>
        <v>21.33886595</v>
      </c>
      <c r="H33" s="29">
        <f>MAX(H6:H14,H16,H19:H20,H23:H25)</f>
        <v>27.19820576</v>
      </c>
      <c r="I33" s="29">
        <f>MIN(I5:I30)</f>
        <v>2.852181818</v>
      </c>
    </row>
    <row r="34" ht="15.75" customHeight="1">
      <c r="A34" s="28" t="s">
        <v>121</v>
      </c>
      <c r="B34" s="29">
        <f>SUM(B26:B30)+SUM(B21:B22)+B18</f>
        <v>12949</v>
      </c>
      <c r="D34" s="26" t="s">
        <v>122</v>
      </c>
      <c r="E34" s="11">
        <f>MAX(E18,E21:E22,E26:E30)</f>
        <v>24.92838694</v>
      </c>
      <c r="H34" s="29">
        <f>Max(H18,H21:H22,H26:H30)</f>
        <v>15.46086348</v>
      </c>
      <c r="O34" s="41" t="s">
        <v>126</v>
      </c>
      <c r="P34" s="41" t="s">
        <v>127</v>
      </c>
      <c r="Q34" s="41" t="s">
        <v>128</v>
      </c>
      <c r="U34" s="28" t="s">
        <v>4</v>
      </c>
      <c r="V34" s="29">
        <f>E11</f>
        <v>6.92820323</v>
      </c>
      <c r="Y34" s="28" t="s">
        <v>4</v>
      </c>
      <c r="Z34" s="29">
        <f>E9</f>
        <v>18.91399482</v>
      </c>
      <c r="AA34" s="42"/>
    </row>
    <row r="35" ht="15.75" customHeight="1">
      <c r="O35" s="11">
        <f>MIN(P2:P31)</f>
        <v>14596.22632</v>
      </c>
      <c r="P35" s="11">
        <f>O35/U8*100</f>
        <v>97.30817547</v>
      </c>
      <c r="Q35" s="13">
        <f>100-P35</f>
        <v>2.69182453</v>
      </c>
    </row>
    <row r="36" ht="15.75" customHeight="1">
      <c r="D36" s="28" t="s">
        <v>129</v>
      </c>
    </row>
    <row r="37" ht="15.75" customHeight="1">
      <c r="E37" s="29">
        <f>SUM(E2:E30)</f>
        <v>590.5916398</v>
      </c>
      <c r="Z37" s="36" t="s">
        <v>130</v>
      </c>
      <c r="AA37" s="6"/>
      <c r="AB37" s="36" t="s">
        <v>131</v>
      </c>
      <c r="AC37" s="6"/>
    </row>
    <row r="38" ht="15.75" customHeight="1">
      <c r="U38" s="36" t="s">
        <v>132</v>
      </c>
      <c r="V38" s="5"/>
      <c r="W38" s="5"/>
      <c r="X38" s="6"/>
      <c r="Z38" s="43" t="s">
        <v>93</v>
      </c>
      <c r="AA38" s="44">
        <f>V31</f>
        <v>973.2331184</v>
      </c>
      <c r="AB38" s="43" t="s">
        <v>93</v>
      </c>
      <c r="AC38" s="43">
        <f>Z31</f>
        <v>6762.126233</v>
      </c>
    </row>
    <row r="39" ht="15.75" customHeight="1">
      <c r="L39" s="45"/>
      <c r="U39" s="11"/>
      <c r="V39" s="13" t="s">
        <v>133</v>
      </c>
      <c r="W39" s="13" t="s">
        <v>134</v>
      </c>
      <c r="X39" s="11"/>
      <c r="Z39" s="43" t="s">
        <v>135</v>
      </c>
      <c r="AA39" s="43">
        <v>100.0</v>
      </c>
      <c r="AB39" s="43" t="s">
        <v>135</v>
      </c>
      <c r="AC39" s="43">
        <v>100.0</v>
      </c>
    </row>
    <row r="40" ht="15.75" customHeight="1">
      <c r="P40" s="28" t="s">
        <v>136</v>
      </c>
      <c r="U40" s="16" t="s">
        <v>29</v>
      </c>
      <c r="V40" s="13">
        <f>165*0.83</f>
        <v>136.95</v>
      </c>
      <c r="W40" s="11">
        <f t="shared" ref="W40:W42" si="53">E32</f>
        <v>114.5923987</v>
      </c>
      <c r="X40" s="11" t="str">
        <f t="shared" ref="X40:X42" si="54">IF(W40&lt;V40,"Zgodny", "Niezgodny")</f>
        <v>Zgodny</v>
      </c>
      <c r="Z40" s="43" t="s">
        <v>137</v>
      </c>
      <c r="AA40" s="44">
        <f>V31/AA39</f>
        <v>9.732331184</v>
      </c>
      <c r="AB40" s="43" t="s">
        <v>137</v>
      </c>
      <c r="AC40" s="44">
        <f>Z31/AC39</f>
        <v>67.62126233</v>
      </c>
    </row>
    <row r="41" ht="15.75" customHeight="1">
      <c r="P41" s="28" t="s">
        <v>138</v>
      </c>
      <c r="U41" s="20" t="s">
        <v>29</v>
      </c>
      <c r="V41" s="13">
        <f>107*0.83</f>
        <v>88.81</v>
      </c>
      <c r="W41" s="11">
        <f t="shared" si="53"/>
        <v>21.33886595</v>
      </c>
      <c r="X41" s="11" t="str">
        <f t="shared" si="54"/>
        <v>Zgodny</v>
      </c>
      <c r="Z41" s="43" t="s">
        <v>139</v>
      </c>
      <c r="AA41" s="44">
        <f>W4</f>
        <v>35</v>
      </c>
      <c r="AB41" s="43" t="s">
        <v>139</v>
      </c>
      <c r="AC41" s="44">
        <f>W4</f>
        <v>35</v>
      </c>
    </row>
    <row r="42" ht="15.75" customHeight="1">
      <c r="A42" s="1" t="s">
        <v>10</v>
      </c>
      <c r="B42" s="3" t="s">
        <v>140</v>
      </c>
      <c r="C42" s="3" t="s">
        <v>141</v>
      </c>
      <c r="P42" s="28" t="s">
        <v>142</v>
      </c>
      <c r="U42" s="24" t="s">
        <v>37</v>
      </c>
      <c r="V42" s="11">
        <f>210*0.78</f>
        <v>163.8</v>
      </c>
      <c r="W42" s="11">
        <f t="shared" si="53"/>
        <v>24.92838694</v>
      </c>
      <c r="X42" s="11" t="str">
        <f t="shared" si="54"/>
        <v>Zgodny</v>
      </c>
      <c r="Z42" s="11"/>
      <c r="AA42" s="11" t="str">
        <f>IF(AA40&lt;AA41,"Zgodny", "Niezgodny")</f>
        <v>Zgodny</v>
      </c>
      <c r="AB42" s="11"/>
      <c r="AC42" s="11" t="str">
        <f>IF(AB42&lt;AA43,"Zgodny", "Niezgodny")</f>
        <v>Niezgodny</v>
      </c>
    </row>
    <row r="43" ht="15.75" customHeight="1">
      <c r="A43" s="19" t="s">
        <v>33</v>
      </c>
      <c r="B43" s="46">
        <v>14909.557012326746</v>
      </c>
      <c r="C43" s="46">
        <v>14948.288650443252</v>
      </c>
      <c r="L43" s="47"/>
      <c r="M43" s="48"/>
    </row>
    <row r="44" ht="15.75" customHeight="1">
      <c r="A44" s="12">
        <v>1.0</v>
      </c>
      <c r="B44" s="46">
        <v>14936.755218083585</v>
      </c>
      <c r="C44" s="46">
        <v>14964.917781844762</v>
      </c>
    </row>
    <row r="45" ht="15.75" customHeight="1">
      <c r="A45" s="19">
        <v>2.0</v>
      </c>
      <c r="B45" s="46">
        <v>14831.408368700693</v>
      </c>
      <c r="C45" s="46">
        <v>14907.126489951335</v>
      </c>
      <c r="P45" s="11"/>
      <c r="Q45" s="49" t="s">
        <v>4</v>
      </c>
      <c r="R45" s="49" t="s">
        <v>143</v>
      </c>
    </row>
    <row r="46" ht="15.75" customHeight="1">
      <c r="A46" s="19">
        <v>3.0</v>
      </c>
      <c r="B46" s="46">
        <v>14707.829285909214</v>
      </c>
      <c r="C46" s="46">
        <v>14837.151080477792</v>
      </c>
      <c r="L46" s="45"/>
      <c r="M46" s="48"/>
      <c r="P46" s="40" t="s">
        <v>122</v>
      </c>
      <c r="Q46" s="13">
        <f>max(E2:E5,E15,E17)</f>
        <v>114.5923987</v>
      </c>
      <c r="R46" s="13">
        <f>max(H2:H5,H15,H17)</f>
        <v>126.6894312</v>
      </c>
    </row>
    <row r="47" ht="15.75" customHeight="1">
      <c r="A47" s="12">
        <v>4.0</v>
      </c>
      <c r="B47" s="46">
        <v>14647.668716311697</v>
      </c>
      <c r="C47" s="46">
        <v>14802.996140882473</v>
      </c>
      <c r="L47" s="47"/>
      <c r="M47" s="48"/>
      <c r="P47" s="50" t="s">
        <v>122</v>
      </c>
      <c r="Q47" s="13">
        <f>max(E6:E14,E16,E19:E20,E23:E25)</f>
        <v>21.33886595</v>
      </c>
      <c r="R47" s="13">
        <f>max(H6:H14,H16,H19:H20,H23:H25)</f>
        <v>27.19820576</v>
      </c>
    </row>
    <row r="48" ht="15.75" customHeight="1">
      <c r="A48" s="33" t="s">
        <v>62</v>
      </c>
      <c r="B48" s="46">
        <v>14628.502879146647</v>
      </c>
      <c r="C48" s="46">
        <v>14790.0616155696</v>
      </c>
      <c r="L48" s="47"/>
      <c r="M48" s="48"/>
      <c r="P48" s="26" t="s">
        <v>122</v>
      </c>
      <c r="Q48" s="13">
        <f>max(E18,E21:E22,E26:E30)</f>
        <v>24.92838694</v>
      </c>
      <c r="R48" s="13">
        <f>max(H18,H21:H22,H26:H30)</f>
        <v>15.46086348</v>
      </c>
    </row>
    <row r="49" ht="15.75" customHeight="1">
      <c r="A49" s="35" t="s">
        <v>69</v>
      </c>
      <c r="B49" s="11">
        <v>14619.665619824735</v>
      </c>
      <c r="C49" s="11">
        <v>14784.88032657302</v>
      </c>
      <c r="L49" s="47"/>
      <c r="M49" s="48"/>
    </row>
    <row r="50" ht="15.75" customHeight="1">
      <c r="A50" s="35" t="s">
        <v>75</v>
      </c>
      <c r="B50" s="11">
        <v>14616.62432682124</v>
      </c>
      <c r="C50" s="11">
        <v>14782.626846674286</v>
      </c>
      <c r="L50" s="47"/>
      <c r="M50" s="48"/>
    </row>
    <row r="51" ht="15.75" customHeight="1">
      <c r="A51" s="35" t="s">
        <v>86</v>
      </c>
      <c r="B51" s="11">
        <v>14615.669663598288</v>
      </c>
      <c r="C51" s="11">
        <v>14781.904297577137</v>
      </c>
    </row>
    <row r="52" ht="15.75" customHeight="1">
      <c r="L52" s="47"/>
      <c r="M52" s="48"/>
    </row>
    <row r="53" ht="15.75" customHeight="1"/>
    <row r="54" ht="15.75" customHeight="1">
      <c r="A54" s="48"/>
      <c r="L54" s="28"/>
    </row>
    <row r="55" ht="15.75" customHeight="1"/>
    <row r="56" ht="15.75" customHeight="1">
      <c r="A56" s="48"/>
      <c r="L56" s="28"/>
    </row>
    <row r="57" ht="15.75" customHeight="1"/>
    <row r="58" ht="15.75" customHeight="1">
      <c r="L58" s="28"/>
    </row>
    <row r="59" ht="15.75" customHeight="1">
      <c r="L59" s="28"/>
    </row>
    <row r="60" ht="15.75" customHeight="1">
      <c r="L60" s="28"/>
    </row>
    <row r="61" ht="15.75" customHeight="1">
      <c r="L61" s="28"/>
    </row>
    <row r="62" ht="15.75" customHeight="1">
      <c r="L62" s="28"/>
    </row>
    <row r="63" ht="15.75" customHeight="1">
      <c r="L63" s="28"/>
    </row>
    <row r="64" ht="15.75" customHeight="1">
      <c r="L64" s="28"/>
    </row>
    <row r="65" ht="15.75" customHeight="1">
      <c r="L65" s="28"/>
    </row>
    <row r="66" ht="15.75" customHeight="1">
      <c r="L66" s="28"/>
    </row>
    <row r="67" ht="15.75" customHeight="1">
      <c r="L67" s="28"/>
    </row>
    <row r="68" ht="15.75" customHeight="1">
      <c r="L68" s="28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1">
    <mergeCell ref="Y18:AA18"/>
    <mergeCell ref="Z37:AA37"/>
    <mergeCell ref="AB37:AC37"/>
    <mergeCell ref="U38:X38"/>
    <mergeCell ref="U1:Z1"/>
    <mergeCell ref="AB1:AG1"/>
    <mergeCell ref="U17:AA17"/>
    <mergeCell ref="AC17:AI17"/>
    <mergeCell ref="U18:W18"/>
    <mergeCell ref="AC18:AE18"/>
    <mergeCell ref="AG18:AI18"/>
  </mergeCells>
  <conditionalFormatting sqref="P2:P31">
    <cfRule type="cellIs" dxfId="0" priority="1" operator="lessThan">
      <formula>14550</formula>
    </cfRule>
  </conditionalFormatting>
  <conditionalFormatting sqref="H2:H30">
    <cfRule type="cellIs" dxfId="1" priority="2" operator="greaterThan">
      <formula>100</formula>
    </cfRule>
  </conditionalFormatting>
  <conditionalFormatting sqref="R33">
    <cfRule type="notContainsBlanks" dxfId="2" priority="3">
      <formula>LEN(TRIM(R33))&gt;0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 t="s">
        <v>144</v>
      </c>
      <c r="B1" s="6"/>
      <c r="C1" s="13" t="s">
        <v>145</v>
      </c>
      <c r="D1" s="13" t="s">
        <v>146</v>
      </c>
      <c r="F1" s="28" t="s">
        <v>147</v>
      </c>
      <c r="K1" s="28" t="s">
        <v>148</v>
      </c>
      <c r="L1" s="28" t="s">
        <v>149</v>
      </c>
      <c r="M1" s="28" t="s">
        <v>150</v>
      </c>
    </row>
    <row r="2">
      <c r="A2" s="13" t="s">
        <v>151</v>
      </c>
      <c r="B2" s="11">
        <f>C2+D2</f>
        <v>112.399743</v>
      </c>
      <c r="C2" s="51">
        <f>SUM('Szczyt obciążenia'!I2:I30)/1000</f>
        <v>78.50571743</v>
      </c>
      <c r="D2" s="11">
        <f>SUM('Dolina obciążenia'!I2:I30)/1000</f>
        <v>33.89402562</v>
      </c>
      <c r="J2" s="29">
        <f>C4/4</f>
        <v>100546.1976</v>
      </c>
      <c r="K2" s="28" t="s">
        <v>4</v>
      </c>
      <c r="L2" s="29">
        <f>$C$4-F10</f>
        <v>400222.0204</v>
      </c>
      <c r="M2" s="29">
        <f>$D$4-C10</f>
        <v>122457.9712</v>
      </c>
    </row>
    <row r="3">
      <c r="A3" s="13" t="s">
        <v>152</v>
      </c>
      <c r="B3" s="13">
        <v>8760.0</v>
      </c>
      <c r="C3" s="13">
        <v>5123.0</v>
      </c>
      <c r="D3" s="11">
        <f>B3-C3</f>
        <v>3637</v>
      </c>
      <c r="J3" s="29">
        <f>D4/4</f>
        <v>30818.14279</v>
      </c>
      <c r="K3" s="28" t="s">
        <v>153</v>
      </c>
      <c r="L3" s="29">
        <f>$C$4-F10-B10</f>
        <v>398465.3604</v>
      </c>
      <c r="M3" s="29">
        <f>$D$4-C10-E10</f>
        <v>121507.1912</v>
      </c>
    </row>
    <row r="4">
      <c r="A4" s="52" t="s">
        <v>154</v>
      </c>
      <c r="B4" s="53">
        <f>C4+D4</f>
        <v>525457.3616</v>
      </c>
      <c r="C4" s="11">
        <f t="shared" ref="C4:D4" si="1">C3*C2</f>
        <v>402184.7904</v>
      </c>
      <c r="D4" s="11">
        <f t="shared" si="1"/>
        <v>123272.5712</v>
      </c>
      <c r="K4" s="28" t="s">
        <v>155</v>
      </c>
      <c r="L4" s="54">
        <f>$C$4-F10-B10-D10</f>
        <v>396461.6274</v>
      </c>
      <c r="M4" s="54">
        <f>$D$4-C10-E10-G10</f>
        <v>120619.5012</v>
      </c>
    </row>
    <row r="5">
      <c r="A5" s="55"/>
      <c r="B5" s="56"/>
      <c r="K5" s="28" t="s">
        <v>156</v>
      </c>
      <c r="L5" s="54">
        <f>$C$4-F10-B10-D10-H10</f>
        <v>394901.3457</v>
      </c>
      <c r="M5" s="54">
        <f>$D$4-C10-E10-G10-I10</f>
        <v>119596.5142</v>
      </c>
    </row>
    <row r="7">
      <c r="B7" s="36" t="s">
        <v>157</v>
      </c>
      <c r="C7" s="5"/>
      <c r="D7" s="5"/>
      <c r="E7" s="5"/>
      <c r="F7" s="5"/>
      <c r="G7" s="5"/>
      <c r="H7" s="5"/>
      <c r="I7" s="6"/>
    </row>
    <row r="8">
      <c r="B8" s="36" t="s">
        <v>4</v>
      </c>
      <c r="C8" s="6"/>
      <c r="D8" s="36" t="s">
        <v>153</v>
      </c>
      <c r="E8" s="6"/>
      <c r="F8" s="36" t="s">
        <v>155</v>
      </c>
      <c r="G8" s="6"/>
      <c r="H8" s="36" t="s">
        <v>158</v>
      </c>
      <c r="I8" s="6"/>
    </row>
    <row r="9">
      <c r="B9" s="13" t="s">
        <v>159</v>
      </c>
      <c r="C9" s="13" t="s">
        <v>146</v>
      </c>
      <c r="D9" s="13" t="s">
        <v>159</v>
      </c>
      <c r="E9" s="13" t="s">
        <v>146</v>
      </c>
      <c r="F9" s="13" t="s">
        <v>159</v>
      </c>
      <c r="G9" s="13" t="s">
        <v>146</v>
      </c>
      <c r="H9" s="13" t="s">
        <v>160</v>
      </c>
      <c r="I9" s="13" t="s">
        <v>146</v>
      </c>
    </row>
    <row r="10">
      <c r="B10" s="13">
        <v>1756.66</v>
      </c>
      <c r="C10" s="13">
        <v>814.6</v>
      </c>
      <c r="D10" s="13">
        <v>2003.733</v>
      </c>
      <c r="E10" s="13">
        <v>950.78</v>
      </c>
      <c r="F10" s="13">
        <v>1962.77</v>
      </c>
      <c r="G10" s="13">
        <v>887.69</v>
      </c>
      <c r="H10" s="13">
        <v>1560.2817</v>
      </c>
      <c r="I10" s="13">
        <v>1022.987</v>
      </c>
      <c r="K10" s="28" t="s">
        <v>4</v>
      </c>
      <c r="L10" s="28" t="s">
        <v>153</v>
      </c>
      <c r="M10" s="28" t="s">
        <v>155</v>
      </c>
      <c r="N10" s="28" t="s">
        <v>158</v>
      </c>
    </row>
    <row r="11">
      <c r="A11" s="28" t="s">
        <v>161</v>
      </c>
      <c r="B11" s="57">
        <f>B10+C10</f>
        <v>2571.26</v>
      </c>
      <c r="C11" s="6"/>
      <c r="D11" s="57">
        <f>D10+E10</f>
        <v>2954.513</v>
      </c>
      <c r="E11" s="6"/>
      <c r="F11" s="57">
        <f>F10+G10</f>
        <v>2850.46</v>
      </c>
      <c r="G11" s="6"/>
      <c r="H11" s="57">
        <f>H10+I10</f>
        <v>2583.2687</v>
      </c>
      <c r="I11" s="6"/>
      <c r="K11" s="29">
        <f>B11</f>
        <v>2571.26</v>
      </c>
      <c r="L11" s="29">
        <f>B11+D11</f>
        <v>5525.773</v>
      </c>
      <c r="M11" s="29">
        <f>L11+F11</f>
        <v>8376.233</v>
      </c>
      <c r="N11" s="29">
        <f>M11+H11</f>
        <v>10959.5017</v>
      </c>
    </row>
  </sheetData>
  <mergeCells count="10">
    <mergeCell ref="D11:E11"/>
    <mergeCell ref="F11:G11"/>
    <mergeCell ref="A1:B1"/>
    <mergeCell ref="B7:I7"/>
    <mergeCell ref="B8:C8"/>
    <mergeCell ref="D8:E8"/>
    <mergeCell ref="F8:G8"/>
    <mergeCell ref="H8:I8"/>
    <mergeCell ref="B11:C11"/>
    <mergeCell ref="H11:I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58" t="s">
        <v>8</v>
      </c>
      <c r="J1" s="58" t="s">
        <v>9</v>
      </c>
      <c r="M1" s="1" t="s">
        <v>10</v>
      </c>
      <c r="N1" s="1" t="s">
        <v>11</v>
      </c>
      <c r="O1" s="2" t="s">
        <v>12</v>
      </c>
      <c r="P1" s="2" t="s">
        <v>13</v>
      </c>
      <c r="Q1" s="1" t="s">
        <v>14</v>
      </c>
      <c r="R1" s="3" t="s">
        <v>15</v>
      </c>
      <c r="S1" s="3" t="s">
        <v>162</v>
      </c>
      <c r="T1" s="3" t="s">
        <v>163</v>
      </c>
      <c r="V1" s="1" t="s">
        <v>10</v>
      </c>
      <c r="W1" s="59" t="s">
        <v>14</v>
      </c>
    </row>
    <row r="2">
      <c r="A2" s="7" t="s">
        <v>19</v>
      </c>
      <c r="B2" s="8">
        <v>996.0</v>
      </c>
      <c r="C2" s="9">
        <f t="shared" ref="C2:C5" si="2">B2/$K$38</f>
        <v>0.4311688312</v>
      </c>
      <c r="D2" s="9">
        <f t="shared" ref="D2:D5" si="3">$L$38*(B2/1000)</f>
        <v>0.3984</v>
      </c>
      <c r="E2" s="9">
        <f t="shared" ref="E2:E30" si="4">SQRT(F2^2+G2^2)</f>
        <v>73.37871898</v>
      </c>
      <c r="F2" s="9">
        <f t="shared" ref="F2:G2" si="1">O4+F3</f>
        <v>72.47063392</v>
      </c>
      <c r="G2" s="9">
        <f t="shared" si="1"/>
        <v>-11.50841515</v>
      </c>
      <c r="H2" s="9">
        <f t="shared" ref="H2:H30" si="6">(C2*F2)-(D2*G2)</f>
        <v>35.83203112</v>
      </c>
      <c r="I2" s="11">
        <f t="shared" ref="I2:I30" si="7">3*E2^2*C2</f>
        <v>6964.803447</v>
      </c>
      <c r="J2" s="11">
        <f t="shared" ref="J2:J30" si="8">3*E2^2*D2</f>
        <v>6435.478385</v>
      </c>
      <c r="M2" s="60">
        <v>0.0</v>
      </c>
      <c r="N2" s="8" t="s">
        <v>20</v>
      </c>
      <c r="O2" s="8" t="s">
        <v>20</v>
      </c>
      <c r="P2" s="8" t="s">
        <v>20</v>
      </c>
      <c r="Q2" s="8">
        <v>15000.0</v>
      </c>
      <c r="R2" s="13" t="s">
        <v>20</v>
      </c>
      <c r="S2" s="13" t="s">
        <v>20</v>
      </c>
      <c r="T2" s="13" t="s">
        <v>20</v>
      </c>
      <c r="V2" s="61" t="s">
        <v>33</v>
      </c>
      <c r="W2" s="46">
        <v>14948.288650443252</v>
      </c>
    </row>
    <row r="3">
      <c r="A3" s="14" t="s">
        <v>28</v>
      </c>
      <c r="B3" s="8">
        <v>1994.0</v>
      </c>
      <c r="C3" s="9">
        <f t="shared" si="2"/>
        <v>0.8632034632</v>
      </c>
      <c r="D3" s="9">
        <f t="shared" si="3"/>
        <v>0.7976</v>
      </c>
      <c r="E3" s="9">
        <f t="shared" si="4"/>
        <v>61.91594274</v>
      </c>
      <c r="F3" s="9">
        <f t="shared" ref="F3:G3" si="5">O6+F4</f>
        <v>61.41322156</v>
      </c>
      <c r="G3" s="9">
        <f t="shared" si="5"/>
        <v>-7.874019464</v>
      </c>
      <c r="H3" s="9">
        <f t="shared" si="6"/>
        <v>59.29242346</v>
      </c>
      <c r="I3" s="11">
        <f t="shared" si="7"/>
        <v>9927.488865</v>
      </c>
      <c r="J3" s="11">
        <f t="shared" si="8"/>
        <v>9172.999711</v>
      </c>
      <c r="M3" s="60">
        <v>1.0</v>
      </c>
      <c r="N3" s="8" t="s">
        <v>20</v>
      </c>
      <c r="O3" s="13" t="s">
        <v>20</v>
      </c>
      <c r="P3" s="13" t="s">
        <v>20</v>
      </c>
      <c r="Q3" s="9">
        <f>Q2-H2</f>
        <v>14964.16797</v>
      </c>
      <c r="R3" s="13" t="s">
        <v>20</v>
      </c>
      <c r="S3" s="13" t="s">
        <v>20</v>
      </c>
      <c r="T3" s="13" t="s">
        <v>20</v>
      </c>
      <c r="V3" s="60">
        <v>1.0</v>
      </c>
      <c r="W3" s="46">
        <v>14964.917781844762</v>
      </c>
    </row>
    <row r="4">
      <c r="A4" s="14" t="s">
        <v>32</v>
      </c>
      <c r="B4" s="8">
        <v>3015.0</v>
      </c>
      <c r="C4" s="9">
        <f t="shared" si="2"/>
        <v>1.305194805</v>
      </c>
      <c r="D4" s="9">
        <f t="shared" si="3"/>
        <v>1.206</v>
      </c>
      <c r="E4" s="9">
        <f t="shared" si="4"/>
        <v>48.71697176</v>
      </c>
      <c r="F4" s="9">
        <f>F5+F15</f>
        <v>48.07643034</v>
      </c>
      <c r="G4" s="9">
        <f>G15+G5</f>
        <v>-7.874019464</v>
      </c>
      <c r="H4" s="9">
        <f t="shared" si="6"/>
        <v>72.24517461</v>
      </c>
      <c r="I4" s="11">
        <f t="shared" si="7"/>
        <v>9293.026183</v>
      </c>
      <c r="J4" s="11">
        <f t="shared" si="8"/>
        <v>8586.756193</v>
      </c>
      <c r="M4" s="61" t="s">
        <v>33</v>
      </c>
      <c r="N4" s="9">
        <f>R4*T4/(SQRT(3)*$G$43)</f>
        <v>11.63938143</v>
      </c>
      <c r="O4" s="9">
        <f>S4*N4</f>
        <v>11.05741236</v>
      </c>
      <c r="P4" s="9">
        <f>-(N4*SIN(ACOS(S4)))</f>
        <v>-3.634395686</v>
      </c>
      <c r="Q4" s="9">
        <f>Q3-H9</f>
        <v>14947.53884</v>
      </c>
      <c r="R4" s="13">
        <v>630000.0</v>
      </c>
      <c r="S4" s="13">
        <v>0.95</v>
      </c>
      <c r="T4" s="13">
        <v>0.48</v>
      </c>
      <c r="V4" s="61">
        <v>2.0</v>
      </c>
      <c r="W4" s="46">
        <v>14907.126489951335</v>
      </c>
    </row>
    <row r="5">
      <c r="A5" s="16" t="s">
        <v>36</v>
      </c>
      <c r="B5" s="8">
        <v>2620.0</v>
      </c>
      <c r="C5" s="9">
        <f t="shared" si="2"/>
        <v>1.134199134</v>
      </c>
      <c r="D5" s="9">
        <f t="shared" si="3"/>
        <v>1.048</v>
      </c>
      <c r="E5" s="9">
        <f t="shared" si="4"/>
        <v>27.6217109</v>
      </c>
      <c r="F5" s="9">
        <f t="shared" ref="F5:G5" si="9">F6+F26</f>
        <v>27.14845303</v>
      </c>
      <c r="G5" s="9">
        <f t="shared" si="9"/>
        <v>-5.091209184</v>
      </c>
      <c r="H5" s="9">
        <f t="shared" si="6"/>
        <v>36.12733915</v>
      </c>
      <c r="I5" s="11">
        <f t="shared" si="7"/>
        <v>2596.042016</v>
      </c>
      <c r="J5" s="11">
        <f t="shared" si="8"/>
        <v>2398.742823</v>
      </c>
      <c r="M5" s="61">
        <v>2.0</v>
      </c>
      <c r="N5" s="8" t="s">
        <v>20</v>
      </c>
      <c r="O5" s="13" t="s">
        <v>20</v>
      </c>
      <c r="P5" s="13" t="s">
        <v>20</v>
      </c>
      <c r="Q5" s="9">
        <f>Q3-H3</f>
        <v>14904.87555</v>
      </c>
      <c r="R5" s="13" t="s">
        <v>20</v>
      </c>
      <c r="S5" s="13" t="s">
        <v>20</v>
      </c>
      <c r="T5" s="13" t="s">
        <v>20</v>
      </c>
      <c r="V5" s="61">
        <v>3.0</v>
      </c>
      <c r="W5" s="46">
        <v>14837.151080477792</v>
      </c>
    </row>
    <row r="6">
      <c r="A6" s="27" t="s">
        <v>40</v>
      </c>
      <c r="B6" s="8">
        <v>1286.0</v>
      </c>
      <c r="C6" s="9">
        <f t="shared" ref="C6:C14" si="11">B6/$K$39</f>
        <v>1.113419913</v>
      </c>
      <c r="D6" s="9">
        <f t="shared" ref="D6:D14" si="12">$L$39*(B6/1000)</f>
        <v>0.5144</v>
      </c>
      <c r="E6" s="9">
        <f t="shared" si="4"/>
        <v>12.3769707</v>
      </c>
      <c r="F6" s="9">
        <f t="shared" ref="F6:G6" si="10">O15+F7</f>
        <v>12.20585827</v>
      </c>
      <c r="G6" s="9">
        <f t="shared" si="10"/>
        <v>-2.050957751</v>
      </c>
      <c r="H6" s="9">
        <f t="shared" si="6"/>
        <v>14.64525832</v>
      </c>
      <c r="I6" s="11">
        <f t="shared" si="7"/>
        <v>511.6923978</v>
      </c>
      <c r="J6" s="11">
        <f t="shared" si="8"/>
        <v>236.4018878</v>
      </c>
      <c r="M6" s="61" t="s">
        <v>41</v>
      </c>
      <c r="N6" s="9">
        <f>R6*T6/(SQRT(3)*$G$43)</f>
        <v>13.33679122</v>
      </c>
      <c r="O6" s="9">
        <f>S6*N6</f>
        <v>13.33679122</v>
      </c>
      <c r="P6" s="9">
        <f>-(N6*(SQRT(1-S6^2)))</f>
        <v>0</v>
      </c>
      <c r="Q6" s="9">
        <f>Q5-H10</f>
        <v>14899.20597</v>
      </c>
      <c r="R6" s="13">
        <v>630000.0</v>
      </c>
      <c r="S6" s="13">
        <v>1.0</v>
      </c>
      <c r="T6" s="13">
        <v>0.55</v>
      </c>
      <c r="V6" s="60">
        <v>4.0</v>
      </c>
      <c r="W6" s="46">
        <v>14802.996140882473</v>
      </c>
    </row>
    <row r="7">
      <c r="A7" s="27" t="s">
        <v>42</v>
      </c>
      <c r="B7" s="8">
        <v>1059.0</v>
      </c>
      <c r="C7" s="9">
        <f t="shared" si="11"/>
        <v>0.9168831169</v>
      </c>
      <c r="D7" s="9">
        <f t="shared" si="12"/>
        <v>0.4236</v>
      </c>
      <c r="E7" s="9">
        <f t="shared" si="4"/>
        <v>6.568321562</v>
      </c>
      <c r="F7" s="9">
        <f t="shared" ref="F7:G7" si="13">O17+F8</f>
        <v>6.239905484</v>
      </c>
      <c r="G7" s="9">
        <f t="shared" si="13"/>
        <v>-2.050957751</v>
      </c>
      <c r="H7" s="9">
        <f t="shared" si="6"/>
        <v>6.590049693</v>
      </c>
      <c r="I7" s="11">
        <f t="shared" si="7"/>
        <v>118.6708472</v>
      </c>
      <c r="J7" s="11">
        <f t="shared" si="8"/>
        <v>54.82593143</v>
      </c>
      <c r="M7" s="61">
        <v>3.0</v>
      </c>
      <c r="N7" s="8" t="s">
        <v>20</v>
      </c>
      <c r="O7" s="13" t="s">
        <v>20</v>
      </c>
      <c r="P7" s="13" t="s">
        <v>20</v>
      </c>
      <c r="Q7" s="9">
        <f>Q5-H4</f>
        <v>14832.63037</v>
      </c>
      <c r="R7" s="13" t="s">
        <v>20</v>
      </c>
      <c r="S7" s="13" t="s">
        <v>20</v>
      </c>
      <c r="T7" s="13" t="s">
        <v>20</v>
      </c>
      <c r="V7" s="62" t="s">
        <v>62</v>
      </c>
      <c r="W7" s="46">
        <v>14790.0616155696</v>
      </c>
    </row>
    <row r="8">
      <c r="A8" s="27" t="s">
        <v>46</v>
      </c>
      <c r="B8" s="8">
        <f>558+436</f>
        <v>994</v>
      </c>
      <c r="C8" s="9">
        <f t="shared" si="11"/>
        <v>0.8606060606</v>
      </c>
      <c r="D8" s="9">
        <f t="shared" si="12"/>
        <v>0.3976</v>
      </c>
      <c r="E8" s="9">
        <f t="shared" si="4"/>
        <v>3.79704027</v>
      </c>
      <c r="F8" s="9">
        <f t="shared" ref="F8:G8" si="14">O19+O20</f>
        <v>3.607188257</v>
      </c>
      <c r="G8" s="9">
        <f t="shared" si="14"/>
        <v>-1.185625444</v>
      </c>
      <c r="H8" s="9">
        <f t="shared" si="6"/>
        <v>3.575772752</v>
      </c>
      <c r="I8" s="11">
        <f t="shared" si="7"/>
        <v>37.22340189</v>
      </c>
      <c r="J8" s="11">
        <f t="shared" si="8"/>
        <v>17.19721167</v>
      </c>
      <c r="M8" s="60">
        <v>4.0</v>
      </c>
      <c r="N8" s="8" t="s">
        <v>20</v>
      </c>
      <c r="O8" s="13" t="s">
        <v>20</v>
      </c>
      <c r="P8" s="13" t="s">
        <v>20</v>
      </c>
      <c r="Q8" s="9">
        <f>Q7-H5</f>
        <v>14796.50303</v>
      </c>
      <c r="R8" s="13" t="s">
        <v>20</v>
      </c>
      <c r="S8" s="13" t="s">
        <v>20</v>
      </c>
      <c r="T8" s="13" t="s">
        <v>20</v>
      </c>
      <c r="V8" s="35" t="s">
        <v>69</v>
      </c>
      <c r="W8" s="11">
        <v>14784.88032657302</v>
      </c>
    </row>
    <row r="9">
      <c r="A9" s="20" t="s">
        <v>47</v>
      </c>
      <c r="B9" s="8">
        <f>1202+306</f>
        <v>1508</v>
      </c>
      <c r="C9" s="9">
        <f t="shared" si="11"/>
        <v>1.305627706</v>
      </c>
      <c r="D9" s="9">
        <f t="shared" si="12"/>
        <v>0.6032</v>
      </c>
      <c r="E9" s="9">
        <f t="shared" si="4"/>
        <v>11.63938143</v>
      </c>
      <c r="F9" s="30">
        <f>S4*N4</f>
        <v>11.05741236</v>
      </c>
      <c r="G9" s="30">
        <f>-(N4*SIN(ACOS(S4)))</f>
        <v>-3.634395686</v>
      </c>
      <c r="H9" s="9">
        <f t="shared" si="6"/>
        <v>16.6291314</v>
      </c>
      <c r="I9" s="11">
        <f t="shared" si="7"/>
        <v>530.6405236</v>
      </c>
      <c r="J9" s="11">
        <f t="shared" si="8"/>
        <v>245.1559219</v>
      </c>
      <c r="M9" s="63" t="s">
        <v>48</v>
      </c>
      <c r="N9" s="8" t="s">
        <v>20</v>
      </c>
      <c r="O9" s="13" t="s">
        <v>20</v>
      </c>
      <c r="P9" s="13" t="s">
        <v>20</v>
      </c>
      <c r="Q9" s="9">
        <f>Q8-H26</f>
        <v>14776.57482</v>
      </c>
      <c r="R9" s="13" t="s">
        <v>20</v>
      </c>
      <c r="S9" s="13" t="s">
        <v>20</v>
      </c>
      <c r="T9" s="13" t="s">
        <v>20</v>
      </c>
      <c r="V9" s="35" t="s">
        <v>75</v>
      </c>
      <c r="W9" s="11">
        <v>14782.626846674286</v>
      </c>
    </row>
    <row r="10">
      <c r="A10" s="20" t="s">
        <v>49</v>
      </c>
      <c r="B10" s="8">
        <v>491.0</v>
      </c>
      <c r="C10" s="9">
        <f t="shared" si="11"/>
        <v>0.4251082251</v>
      </c>
      <c r="D10" s="9">
        <f t="shared" si="12"/>
        <v>0.1964</v>
      </c>
      <c r="E10" s="9">
        <f t="shared" si="4"/>
        <v>13.33679122</v>
      </c>
      <c r="F10" s="30">
        <f>S6*N6</f>
        <v>13.33679122</v>
      </c>
      <c r="G10" s="30">
        <f>-(N6*(SQRT(1-S6^2)))</f>
        <v>0</v>
      </c>
      <c r="H10" s="9">
        <f t="shared" si="6"/>
        <v>5.669579643</v>
      </c>
      <c r="I10" s="11">
        <f t="shared" si="7"/>
        <v>226.842</v>
      </c>
      <c r="J10" s="11">
        <f t="shared" si="8"/>
        <v>104.801004</v>
      </c>
      <c r="M10" s="64" t="s">
        <v>50</v>
      </c>
      <c r="N10" s="9">
        <f>R10*T10/(SQRT(3)*$G$43)</f>
        <v>7.544043517</v>
      </c>
      <c r="O10" s="9">
        <f>S10*N10</f>
        <v>7.468603082</v>
      </c>
      <c r="P10" s="9">
        <f>-(N10*(SQRT(1-S10^2)))</f>
        <v>-1.064218301</v>
      </c>
      <c r="Q10" s="9">
        <f>Q9-H28</f>
        <v>14756.61339</v>
      </c>
      <c r="R10" s="13">
        <v>400000.0</v>
      </c>
      <c r="S10" s="13">
        <v>0.99</v>
      </c>
      <c r="T10" s="13">
        <v>0.49</v>
      </c>
      <c r="V10" s="35" t="s">
        <v>86</v>
      </c>
      <c r="W10" s="11">
        <v>14781.904297577137</v>
      </c>
    </row>
    <row r="11">
      <c r="A11" s="21" t="s">
        <v>52</v>
      </c>
      <c r="B11" s="8">
        <f>1777+666+777</f>
        <v>3220</v>
      </c>
      <c r="C11" s="9">
        <f t="shared" si="11"/>
        <v>2.787878788</v>
      </c>
      <c r="D11" s="9">
        <f t="shared" si="12"/>
        <v>1.288</v>
      </c>
      <c r="E11" s="9">
        <f t="shared" si="4"/>
        <v>5.965952782</v>
      </c>
      <c r="F11" s="30">
        <f>S15*N15</f>
        <v>5.965952782</v>
      </c>
      <c r="G11" s="30">
        <f>-(N15*(SQRT(1-S15^2)))</f>
        <v>0</v>
      </c>
      <c r="H11" s="9">
        <f t="shared" si="6"/>
        <v>16.63235321</v>
      </c>
      <c r="I11" s="11">
        <f t="shared" si="7"/>
        <v>297.6835017</v>
      </c>
      <c r="J11" s="11">
        <f t="shared" si="8"/>
        <v>137.5297778</v>
      </c>
      <c r="M11" s="64" t="s">
        <v>53</v>
      </c>
      <c r="N11" s="8" t="s">
        <v>20</v>
      </c>
      <c r="O11" s="13" t="s">
        <v>20</v>
      </c>
      <c r="P11" s="13" t="s">
        <v>20</v>
      </c>
      <c r="Q11" s="9">
        <f>Q9-H27</f>
        <v>14770.44638</v>
      </c>
      <c r="R11" s="13" t="s">
        <v>20</v>
      </c>
      <c r="S11" s="13" t="s">
        <v>20</v>
      </c>
      <c r="T11" s="13" t="s">
        <v>20</v>
      </c>
      <c r="V11" s="65"/>
      <c r="W11" s="48"/>
    </row>
    <row r="12">
      <c r="A12" s="21" t="s">
        <v>55</v>
      </c>
      <c r="B12" s="8">
        <v>617.0</v>
      </c>
      <c r="C12" s="9">
        <f t="shared" si="11"/>
        <v>0.5341991342</v>
      </c>
      <c r="D12" s="9">
        <f t="shared" si="12"/>
        <v>0.2468</v>
      </c>
      <c r="E12" s="9">
        <f t="shared" si="4"/>
        <v>2.771281292</v>
      </c>
      <c r="F12" s="30">
        <f>S17*N17</f>
        <v>2.632717228</v>
      </c>
      <c r="G12" s="30">
        <f>-(N17*(SQRT(1-S17^2)))</f>
        <v>-0.8653323061</v>
      </c>
      <c r="H12" s="9">
        <f t="shared" si="6"/>
        <v>1.619959277</v>
      </c>
      <c r="I12" s="11">
        <f t="shared" si="7"/>
        <v>12.30794805</v>
      </c>
      <c r="J12" s="11">
        <f t="shared" si="8"/>
        <v>5.686272</v>
      </c>
      <c r="M12" s="64" t="s">
        <v>56</v>
      </c>
      <c r="N12" s="9">
        <f t="shared" ref="N12:N13" si="15">R12*T12/(SQRT(3)*$G$43)</f>
        <v>5.388602512</v>
      </c>
      <c r="O12" s="9">
        <f t="shared" ref="O12:O13" si="16">S12*N12</f>
        <v>5.173058412</v>
      </c>
      <c r="P12" s="9">
        <f t="shared" ref="P12:P13" si="17">-(N12*(SQRT(1-S12^2)))</f>
        <v>-1.508808703</v>
      </c>
      <c r="Q12" s="9">
        <f>Q11-H29</f>
        <v>14769.50192</v>
      </c>
      <c r="R12" s="13">
        <v>250000.0</v>
      </c>
      <c r="S12" s="13">
        <v>0.96</v>
      </c>
      <c r="T12" s="13">
        <v>0.56</v>
      </c>
      <c r="V12" s="65"/>
      <c r="W12" s="48"/>
    </row>
    <row r="13">
      <c r="A13" s="21" t="s">
        <v>58</v>
      </c>
      <c r="B13" s="8">
        <v>332.0</v>
      </c>
      <c r="C13" s="9">
        <f t="shared" si="11"/>
        <v>0.2874458874</v>
      </c>
      <c r="D13" s="9">
        <f t="shared" si="12"/>
        <v>0.1328</v>
      </c>
      <c r="E13" s="9">
        <f t="shared" si="4"/>
        <v>1.333679122</v>
      </c>
      <c r="F13" s="30">
        <f t="shared" ref="F13:F14" si="18">S19*N19</f>
        <v>1.266995166</v>
      </c>
      <c r="G13" s="30">
        <f t="shared" ref="G13:G14" si="19">-(N19*(SQRT(1-S19^2)))</f>
        <v>-0.4164411723</v>
      </c>
      <c r="H13" s="9">
        <f t="shared" si="6"/>
        <v>0.4194959375</v>
      </c>
      <c r="I13" s="11">
        <f t="shared" si="7"/>
        <v>1.53384</v>
      </c>
      <c r="J13" s="11">
        <f t="shared" si="8"/>
        <v>0.70863408</v>
      </c>
      <c r="M13" s="64" t="s">
        <v>59</v>
      </c>
      <c r="N13" s="9">
        <f t="shared" si="15"/>
        <v>2.347891095</v>
      </c>
      <c r="O13" s="9">
        <f t="shared" si="16"/>
        <v>2.300933273</v>
      </c>
      <c r="P13" s="9">
        <f t="shared" si="17"/>
        <v>-0.4672244286</v>
      </c>
      <c r="Q13" s="9">
        <f>Q11-H30</f>
        <v>14767.77342</v>
      </c>
      <c r="R13" s="13">
        <v>100000.0</v>
      </c>
      <c r="S13" s="13">
        <v>0.98</v>
      </c>
      <c r="T13" s="13">
        <v>0.61</v>
      </c>
      <c r="V13" s="65"/>
      <c r="W13" s="48"/>
    </row>
    <row r="14">
      <c r="A14" s="21" t="s">
        <v>61</v>
      </c>
      <c r="B14" s="8">
        <f>442+278</f>
        <v>720</v>
      </c>
      <c r="C14" s="9">
        <f t="shared" si="11"/>
        <v>0.6233766234</v>
      </c>
      <c r="D14" s="9">
        <f t="shared" si="12"/>
        <v>0.288</v>
      </c>
      <c r="E14" s="9">
        <f t="shared" si="4"/>
        <v>2.463361149</v>
      </c>
      <c r="F14" s="30">
        <f t="shared" si="18"/>
        <v>2.340193091</v>
      </c>
      <c r="G14" s="30">
        <f t="shared" si="19"/>
        <v>-0.7691842721</v>
      </c>
      <c r="H14" s="9">
        <f t="shared" si="6"/>
        <v>1.680346738</v>
      </c>
      <c r="I14" s="11">
        <f t="shared" si="7"/>
        <v>11.34822511</v>
      </c>
      <c r="J14" s="11">
        <f t="shared" si="8"/>
        <v>5.24288</v>
      </c>
      <c r="M14" s="62" t="s">
        <v>62</v>
      </c>
      <c r="N14" s="8" t="s">
        <v>20</v>
      </c>
      <c r="O14" s="13" t="s">
        <v>20</v>
      </c>
      <c r="P14" s="13" t="s">
        <v>20</v>
      </c>
      <c r="Q14" s="9">
        <f>Q8-H6</f>
        <v>14781.85777</v>
      </c>
      <c r="R14" s="13" t="s">
        <v>20</v>
      </c>
      <c r="S14" s="13" t="s">
        <v>20</v>
      </c>
      <c r="T14" s="13" t="s">
        <v>20</v>
      </c>
    </row>
    <row r="15">
      <c r="A15" s="16" t="s">
        <v>65</v>
      </c>
      <c r="B15" s="8">
        <v>1688.0</v>
      </c>
      <c r="C15" s="9">
        <f>B15/$K$38</f>
        <v>0.7307359307</v>
      </c>
      <c r="D15" s="9">
        <f>$L$38*(B15/1000)</f>
        <v>0.6752</v>
      </c>
      <c r="E15" s="9">
        <f t="shared" si="4"/>
        <v>21.11218291</v>
      </c>
      <c r="F15" s="9">
        <f t="shared" ref="F15:G15" si="20">O22+F17</f>
        <v>20.92797731</v>
      </c>
      <c r="G15" s="9">
        <f t="shared" si="20"/>
        <v>-2.78281028</v>
      </c>
      <c r="H15" s="9">
        <f t="shared" si="6"/>
        <v>17.17177848</v>
      </c>
      <c r="I15" s="11">
        <f t="shared" si="7"/>
        <v>977.120212</v>
      </c>
      <c r="J15" s="11">
        <f t="shared" si="8"/>
        <v>902.8590759</v>
      </c>
      <c r="M15" s="62" t="s">
        <v>66</v>
      </c>
      <c r="N15" s="9">
        <f>R15*T15/(SQRT(3)*$G$43)</f>
        <v>5.965952782</v>
      </c>
      <c r="O15" s="9">
        <f>S15*N15</f>
        <v>5.965952782</v>
      </c>
      <c r="P15" s="9">
        <f>-(N15*(SQRT(1-S15^2)))</f>
        <v>0</v>
      </c>
      <c r="Q15" s="9">
        <f>Q14-H11</f>
        <v>14765.22542</v>
      </c>
      <c r="R15" s="13">
        <v>250000.0</v>
      </c>
      <c r="S15" s="13">
        <v>1.0</v>
      </c>
      <c r="T15" s="13">
        <v>0.62</v>
      </c>
      <c r="V15" s="65"/>
      <c r="W15" s="48"/>
    </row>
    <row r="16">
      <c r="A16" s="23" t="s">
        <v>68</v>
      </c>
      <c r="B16" s="13">
        <v>739.0</v>
      </c>
      <c r="C16" s="11">
        <f>B16/$K$39</f>
        <v>0.6398268398</v>
      </c>
      <c r="D16" s="11">
        <f>$L$39*(B16/1000)</f>
        <v>0.2956</v>
      </c>
      <c r="E16" s="9">
        <f t="shared" si="4"/>
        <v>8.775724092</v>
      </c>
      <c r="F16" s="34">
        <f>S22*N22</f>
        <v>8.687966851</v>
      </c>
      <c r="G16" s="34">
        <f>-(N22*(SQRT(1-S22^2)))</f>
        <v>-1.237968228</v>
      </c>
      <c r="H16" s="9">
        <f t="shared" si="6"/>
        <v>5.924737783</v>
      </c>
      <c r="I16" s="11">
        <f t="shared" si="7"/>
        <v>147.8255931</v>
      </c>
      <c r="J16" s="11">
        <f t="shared" si="8"/>
        <v>68.295424</v>
      </c>
      <c r="M16" s="35" t="s">
        <v>69</v>
      </c>
      <c r="N16" s="8" t="s">
        <v>20</v>
      </c>
      <c r="O16" s="13" t="s">
        <v>20</v>
      </c>
      <c r="P16" s="13" t="s">
        <v>20</v>
      </c>
      <c r="Q16" s="11">
        <f>Q14-H7</f>
        <v>14775.26772</v>
      </c>
      <c r="R16" s="13" t="s">
        <v>20</v>
      </c>
      <c r="S16" s="13" t="s">
        <v>20</v>
      </c>
      <c r="T16" s="13" t="s">
        <v>20</v>
      </c>
    </row>
    <row r="17">
      <c r="A17" s="7" t="s">
        <v>70</v>
      </c>
      <c r="B17" s="8">
        <v>2023.0</v>
      </c>
      <c r="C17" s="9">
        <f>B17/$K$38</f>
        <v>0.8757575758</v>
      </c>
      <c r="D17" s="9">
        <f>$L$38*(B17/1000)</f>
        <v>0.8092</v>
      </c>
      <c r="E17" s="9">
        <f t="shared" si="4"/>
        <v>12.33711445</v>
      </c>
      <c r="F17" s="9">
        <f t="shared" ref="F17:G17" si="21">F19+F19</f>
        <v>12.24001046</v>
      </c>
      <c r="G17" s="9">
        <f t="shared" si="21"/>
        <v>-1.544842052</v>
      </c>
      <c r="H17" s="9">
        <f t="shared" si="6"/>
        <v>11.96936808</v>
      </c>
      <c r="I17" s="11">
        <f t="shared" si="7"/>
        <v>399.8824507</v>
      </c>
      <c r="J17" s="11">
        <f t="shared" si="8"/>
        <v>369.4913844</v>
      </c>
      <c r="M17" s="35" t="s">
        <v>71</v>
      </c>
      <c r="N17" s="9">
        <f>R17*T17/(SQRT(3)*$G$43)</f>
        <v>2.771281292</v>
      </c>
      <c r="O17" s="9">
        <f>S17*N17</f>
        <v>2.632717228</v>
      </c>
      <c r="P17" s="9">
        <f>-(N17*(SQRT(1-S17^2)))</f>
        <v>-0.8653323061</v>
      </c>
      <c r="Q17" s="11">
        <f>Q16-H12</f>
        <v>14773.64776</v>
      </c>
      <c r="R17" s="13">
        <v>160000.0</v>
      </c>
      <c r="S17" s="13">
        <v>0.95</v>
      </c>
      <c r="T17" s="13">
        <v>0.45</v>
      </c>
      <c r="V17" s="28"/>
    </row>
    <row r="18">
      <c r="A18" s="24" t="s">
        <v>74</v>
      </c>
      <c r="B18" s="8">
        <v>1503.0</v>
      </c>
      <c r="C18" s="9">
        <f>B18/$K$40</f>
        <v>0.5566666667</v>
      </c>
      <c r="D18" s="9">
        <f>$L$40*(B18/1000)</f>
        <v>0.1503</v>
      </c>
      <c r="E18" s="9">
        <f t="shared" si="4"/>
        <v>7.754823109</v>
      </c>
      <c r="F18" s="9">
        <f t="shared" ref="F18:G18" si="22">O30+O31</f>
        <v>7.422799961</v>
      </c>
      <c r="G18" s="9">
        <f t="shared" si="22"/>
        <v>-2.244843467</v>
      </c>
      <c r="H18" s="9">
        <f t="shared" si="6"/>
        <v>4.469425285</v>
      </c>
      <c r="I18" s="11">
        <f t="shared" si="7"/>
        <v>100.42926</v>
      </c>
      <c r="J18" s="11">
        <f t="shared" si="8"/>
        <v>27.11590021</v>
      </c>
      <c r="M18" s="35" t="s">
        <v>75</v>
      </c>
      <c r="N18" s="8" t="s">
        <v>20</v>
      </c>
      <c r="O18" s="13" t="s">
        <v>20</v>
      </c>
      <c r="P18" s="13" t="s">
        <v>20</v>
      </c>
      <c r="Q18" s="11">
        <f>Q16-H8</f>
        <v>14771.69195</v>
      </c>
      <c r="R18" s="13" t="s">
        <v>20</v>
      </c>
      <c r="S18" s="13" t="s">
        <v>20</v>
      </c>
      <c r="T18" s="13" t="s">
        <v>20</v>
      </c>
    </row>
    <row r="19">
      <c r="A19" s="20" t="s">
        <v>78</v>
      </c>
      <c r="B19" s="8">
        <v>1082.0</v>
      </c>
      <c r="C19" s="9">
        <f t="shared" ref="C19:C20" si="24">B19/$K$39</f>
        <v>0.9367965368</v>
      </c>
      <c r="D19" s="9">
        <f t="shared" ref="D19:D20" si="25">$L$39*(B19/1000)</f>
        <v>0.4328</v>
      </c>
      <c r="E19" s="9">
        <f t="shared" si="4"/>
        <v>6.168557226</v>
      </c>
      <c r="F19" s="9">
        <f t="shared" ref="F19:G19" si="23">F20+O25</f>
        <v>6.120005229</v>
      </c>
      <c r="G19" s="9">
        <f t="shared" si="23"/>
        <v>-0.7724210262</v>
      </c>
      <c r="H19" s="9">
        <f t="shared" si="6"/>
        <v>6.067503524</v>
      </c>
      <c r="I19" s="11">
        <f t="shared" si="7"/>
        <v>106.9384112</v>
      </c>
      <c r="J19" s="11">
        <f t="shared" si="8"/>
        <v>49.40554597</v>
      </c>
      <c r="M19" s="35" t="s">
        <v>79</v>
      </c>
      <c r="N19" s="9">
        <f t="shared" ref="N19:N20" si="27">R19*T19/(SQRT(3)*$G$43)</f>
        <v>1.333679122</v>
      </c>
      <c r="O19" s="9">
        <f t="shared" ref="O19:O20" si="28">S19*N19</f>
        <v>1.266995166</v>
      </c>
      <c r="P19" s="9">
        <f t="shared" ref="P19:P20" si="29">-(N19*(SQRT(1-S19^2)))</f>
        <v>-0.4164411723</v>
      </c>
      <c r="Q19" s="11">
        <f>Q18-H13</f>
        <v>14771.27245</v>
      </c>
      <c r="R19" s="13">
        <v>63000.0</v>
      </c>
      <c r="S19" s="13">
        <v>0.95</v>
      </c>
      <c r="T19" s="13">
        <v>0.55</v>
      </c>
      <c r="V19" s="28"/>
    </row>
    <row r="20">
      <c r="A20" s="21" t="s">
        <v>85</v>
      </c>
      <c r="B20" s="8">
        <v>836.0</v>
      </c>
      <c r="C20" s="9">
        <f t="shared" si="24"/>
        <v>0.7238095238</v>
      </c>
      <c r="D20" s="9">
        <f t="shared" si="25"/>
        <v>0.3344</v>
      </c>
      <c r="E20" s="9">
        <f t="shared" si="4"/>
        <v>3.256893016</v>
      </c>
      <c r="F20" s="9">
        <f t="shared" ref="F20:G20" si="26">O28+O27</f>
        <v>3.163971851</v>
      </c>
      <c r="G20" s="9">
        <f t="shared" si="26"/>
        <v>-0.7724210262</v>
      </c>
      <c r="H20" s="9">
        <f t="shared" si="6"/>
        <v>2.54841055</v>
      </c>
      <c r="I20" s="11">
        <f t="shared" si="7"/>
        <v>23.03310745</v>
      </c>
      <c r="J20" s="11">
        <f t="shared" si="8"/>
        <v>10.64129564</v>
      </c>
      <c r="M20" s="35" t="s">
        <v>86</v>
      </c>
      <c r="N20" s="9">
        <f t="shared" si="27"/>
        <v>2.463361149</v>
      </c>
      <c r="O20" s="9">
        <f t="shared" si="28"/>
        <v>2.340193091</v>
      </c>
      <c r="P20" s="9">
        <f t="shared" si="29"/>
        <v>-0.7691842721</v>
      </c>
      <c r="Q20" s="11">
        <f>Q18-H14</f>
        <v>14770.0116</v>
      </c>
      <c r="R20" s="13">
        <v>100000.0</v>
      </c>
      <c r="S20" s="13">
        <v>0.95</v>
      </c>
      <c r="T20" s="13">
        <v>0.64</v>
      </c>
    </row>
    <row r="21">
      <c r="A21" s="24" t="s">
        <v>90</v>
      </c>
      <c r="B21" s="8">
        <v>727.0</v>
      </c>
      <c r="C21" s="9">
        <f t="shared" ref="C21:C22" si="30">B21/$K$40</f>
        <v>0.2692592593</v>
      </c>
      <c r="D21" s="9">
        <f t="shared" ref="D21:D22" si="31">$L$40*(B21/1000)</f>
        <v>0.0727</v>
      </c>
      <c r="E21" s="9">
        <f t="shared" si="4"/>
        <v>5.484827557</v>
      </c>
      <c r="F21" s="9">
        <f t="shared" ref="F21:F22" si="32">S30*N30</f>
        <v>5.265434455</v>
      </c>
      <c r="G21" s="30">
        <f t="shared" ref="G21:G22" si="33">-(N30*(SQRT(1-S30^2)))</f>
        <v>-1.535751716</v>
      </c>
      <c r="H21" s="9">
        <f t="shared" si="6"/>
        <v>1.529416131</v>
      </c>
      <c r="I21" s="11">
        <f t="shared" si="7"/>
        <v>24.30064815</v>
      </c>
      <c r="J21" s="11">
        <f t="shared" si="8"/>
        <v>6.561175</v>
      </c>
      <c r="M21" s="18" t="s">
        <v>91</v>
      </c>
      <c r="N21" s="8" t="s">
        <v>20</v>
      </c>
      <c r="O21" s="13" t="s">
        <v>20</v>
      </c>
      <c r="P21" s="13" t="s">
        <v>20</v>
      </c>
      <c r="Q21" s="11">
        <f>Q7-H15</f>
        <v>14815.45859</v>
      </c>
      <c r="R21" s="13" t="s">
        <v>20</v>
      </c>
      <c r="S21" s="13" t="s">
        <v>20</v>
      </c>
      <c r="T21" s="13" t="s">
        <v>20</v>
      </c>
    </row>
    <row r="22">
      <c r="A22" s="24" t="s">
        <v>94</v>
      </c>
      <c r="B22" s="8">
        <f>2996+747</f>
        <v>3743</v>
      </c>
      <c r="C22" s="9">
        <f t="shared" si="30"/>
        <v>1.386296296</v>
      </c>
      <c r="D22" s="9">
        <f t="shared" si="31"/>
        <v>0.3743</v>
      </c>
      <c r="E22" s="9">
        <f t="shared" si="4"/>
        <v>2.270911059</v>
      </c>
      <c r="F22" s="11">
        <f t="shared" si="32"/>
        <v>2.157365506</v>
      </c>
      <c r="G22" s="34">
        <f t="shared" si="33"/>
        <v>-0.7090917508</v>
      </c>
      <c r="H22" s="9">
        <f t="shared" si="6"/>
        <v>3.256160853</v>
      </c>
      <c r="I22" s="11">
        <f t="shared" si="7"/>
        <v>21.44754403</v>
      </c>
      <c r="J22" s="11">
        <f t="shared" si="8"/>
        <v>5.790836889</v>
      </c>
      <c r="M22" s="18" t="s">
        <v>95</v>
      </c>
      <c r="N22" s="9">
        <f>R22*T22/(SQRT(3)*$G$43)</f>
        <v>8.775724092</v>
      </c>
      <c r="O22" s="9">
        <f>S22*N22</f>
        <v>8.687966851</v>
      </c>
      <c r="P22" s="9">
        <f>-(N22*(SQRT(1-S22^2)))</f>
        <v>-1.237968228</v>
      </c>
      <c r="Q22" s="11">
        <f>Q21-H16</f>
        <v>14809.53385</v>
      </c>
      <c r="R22" s="13">
        <v>400000.0</v>
      </c>
      <c r="S22" s="13">
        <v>0.99</v>
      </c>
      <c r="T22" s="13">
        <v>0.57</v>
      </c>
    </row>
    <row r="23">
      <c r="A23" s="21" t="s">
        <v>97</v>
      </c>
      <c r="B23" s="8">
        <v>590.0</v>
      </c>
      <c r="C23" s="9">
        <f t="shared" ref="C23:C30" si="34">B23/$K$39</f>
        <v>0.5108225108</v>
      </c>
      <c r="D23" s="9">
        <f t="shared" ref="D23:D25" si="35">$L$39*(B23/1000)</f>
        <v>0.236</v>
      </c>
      <c r="E23" s="9">
        <f t="shared" si="4"/>
        <v>2.956033378</v>
      </c>
      <c r="F23" s="34">
        <f>S25*N25</f>
        <v>2.956033378</v>
      </c>
      <c r="G23" s="34">
        <f>-(N25*(SQRT(1-S25^2)))</f>
        <v>0</v>
      </c>
      <c r="H23" s="9">
        <f t="shared" si="6"/>
        <v>1.510008392</v>
      </c>
      <c r="I23" s="11">
        <f t="shared" si="7"/>
        <v>13.39090563</v>
      </c>
      <c r="J23" s="11">
        <f t="shared" si="8"/>
        <v>6.1865984</v>
      </c>
      <c r="M23" s="18" t="s">
        <v>98</v>
      </c>
      <c r="N23" s="8" t="s">
        <v>20</v>
      </c>
      <c r="O23" s="13" t="s">
        <v>20</v>
      </c>
      <c r="P23" s="13" t="s">
        <v>20</v>
      </c>
      <c r="Q23" s="11">
        <f>Q21-H17</f>
        <v>14803.48922</v>
      </c>
      <c r="R23" s="13" t="s">
        <v>20</v>
      </c>
      <c r="S23" s="13" t="s">
        <v>20</v>
      </c>
      <c r="T23" s="13" t="s">
        <v>20</v>
      </c>
    </row>
    <row r="24">
      <c r="A24" s="21" t="s">
        <v>100</v>
      </c>
      <c r="B24" s="8">
        <v>755.0</v>
      </c>
      <c r="C24" s="9">
        <f t="shared" si="34"/>
        <v>0.6536796537</v>
      </c>
      <c r="D24" s="9">
        <f t="shared" si="35"/>
        <v>0.302</v>
      </c>
      <c r="E24" s="9">
        <f t="shared" si="4"/>
        <v>1.527668812</v>
      </c>
      <c r="F24" s="30">
        <f t="shared" ref="F24:F25" si="36">S27*N27</f>
        <v>1.46656206</v>
      </c>
      <c r="G24" s="30">
        <f t="shared" ref="G24:G25" si="37">-(N27*(SQRT(1-S27^2)))</f>
        <v>-0.4277472674</v>
      </c>
      <c r="H24" s="9">
        <f t="shared" si="6"/>
        <v>1.087841454</v>
      </c>
      <c r="I24" s="11">
        <f t="shared" si="7"/>
        <v>4.576617818</v>
      </c>
      <c r="J24" s="11">
        <f t="shared" si="8"/>
        <v>2.114397432</v>
      </c>
      <c r="M24" s="18" t="s">
        <v>101</v>
      </c>
      <c r="N24" s="8" t="s">
        <v>20</v>
      </c>
      <c r="O24" s="13" t="s">
        <v>20</v>
      </c>
      <c r="P24" s="13" t="s">
        <v>20</v>
      </c>
      <c r="Q24" s="11">
        <f>Q23-H19</f>
        <v>14797.42172</v>
      </c>
      <c r="R24" s="13" t="s">
        <v>20</v>
      </c>
      <c r="S24" s="13" t="s">
        <v>20</v>
      </c>
      <c r="T24" s="13" t="s">
        <v>20</v>
      </c>
    </row>
    <row r="25">
      <c r="A25" s="21" t="s">
        <v>103</v>
      </c>
      <c r="B25" s="8">
        <f>802+617</f>
        <v>1419</v>
      </c>
      <c r="C25" s="9">
        <f t="shared" si="34"/>
        <v>1.228571429</v>
      </c>
      <c r="D25" s="9">
        <f t="shared" si="35"/>
        <v>0.5676</v>
      </c>
      <c r="E25" s="9">
        <f t="shared" si="4"/>
        <v>1.732050808</v>
      </c>
      <c r="F25" s="30">
        <f t="shared" si="36"/>
        <v>1.697409791</v>
      </c>
      <c r="G25" s="30">
        <f t="shared" si="37"/>
        <v>-0.3446737588</v>
      </c>
      <c r="H25" s="9">
        <f t="shared" si="6"/>
        <v>2.281025998</v>
      </c>
      <c r="I25" s="11">
        <f t="shared" si="7"/>
        <v>11.05714286</v>
      </c>
      <c r="J25" s="11">
        <f t="shared" si="8"/>
        <v>5.1084</v>
      </c>
      <c r="M25" s="18" t="s">
        <v>104</v>
      </c>
      <c r="N25" s="9">
        <f>R25*T25/(SQRT(3)*$G$43)</f>
        <v>2.956033378</v>
      </c>
      <c r="O25" s="9">
        <f>S25*N25</f>
        <v>2.956033378</v>
      </c>
      <c r="P25" s="9">
        <f>-(N25*(SQRT(1-S25^2)))</f>
        <v>0</v>
      </c>
      <c r="Q25" s="11">
        <f>Q24-H23</f>
        <v>14795.91171</v>
      </c>
      <c r="R25" s="13">
        <v>160000.0</v>
      </c>
      <c r="S25" s="13">
        <v>1.0</v>
      </c>
      <c r="T25" s="13">
        <v>0.48</v>
      </c>
    </row>
    <row r="26">
      <c r="A26" s="39" t="s">
        <v>106</v>
      </c>
      <c r="B26" s="8">
        <v>1505.0</v>
      </c>
      <c r="C26" s="9">
        <f t="shared" si="34"/>
        <v>1.303030303</v>
      </c>
      <c r="D26" s="9">
        <f t="shared" ref="D26:D30" si="39">$L$40*(B26/1000)</f>
        <v>0.1505</v>
      </c>
      <c r="E26" s="9">
        <f t="shared" si="4"/>
        <v>15.24874641</v>
      </c>
      <c r="F26" s="9">
        <f t="shared" ref="F26:G26" si="38">O10+F27</f>
        <v>14.94259477</v>
      </c>
      <c r="G26" s="9">
        <f t="shared" si="38"/>
        <v>-3.040251433</v>
      </c>
      <c r="H26" s="9">
        <f t="shared" si="6"/>
        <v>19.92821163</v>
      </c>
      <c r="I26" s="11">
        <f t="shared" si="7"/>
        <v>908.9584989</v>
      </c>
      <c r="J26" s="11">
        <f t="shared" si="8"/>
        <v>104.9847066</v>
      </c>
      <c r="M26" s="18" t="s">
        <v>107</v>
      </c>
      <c r="N26" s="8" t="s">
        <v>20</v>
      </c>
      <c r="O26" s="13" t="s">
        <v>20</v>
      </c>
      <c r="P26" s="13" t="s">
        <v>20</v>
      </c>
      <c r="Q26" s="11">
        <f>Q24-H20</f>
        <v>14794.87331</v>
      </c>
      <c r="R26" s="13" t="s">
        <v>20</v>
      </c>
      <c r="S26" s="13" t="s">
        <v>20</v>
      </c>
      <c r="T26" s="13" t="s">
        <v>20</v>
      </c>
    </row>
    <row r="27">
      <c r="A27" s="39" t="s">
        <v>110</v>
      </c>
      <c r="B27" s="8">
        <v>919.0</v>
      </c>
      <c r="C27" s="9">
        <f t="shared" si="34"/>
        <v>0.7956709957</v>
      </c>
      <c r="D27" s="9">
        <f t="shared" si="39"/>
        <v>0.0919</v>
      </c>
      <c r="E27" s="9">
        <f t="shared" si="4"/>
        <v>7.730799353</v>
      </c>
      <c r="F27" s="9">
        <f t="shared" ref="F27:G27" si="40">O12+O13</f>
        <v>7.473991685</v>
      </c>
      <c r="G27" s="9">
        <f t="shared" si="40"/>
        <v>-1.976033132</v>
      </c>
      <c r="H27" s="9">
        <f t="shared" si="6"/>
        <v>6.12843585</v>
      </c>
      <c r="I27" s="11">
        <f t="shared" si="7"/>
        <v>142.6604486</v>
      </c>
      <c r="J27" s="11">
        <f t="shared" si="8"/>
        <v>16.47728181</v>
      </c>
      <c r="M27" s="18" t="s">
        <v>111</v>
      </c>
      <c r="N27" s="9">
        <f t="shared" ref="N27:N28" si="41">R27*T27/(SQRT(3)*$G$43)</f>
        <v>1.527668812</v>
      </c>
      <c r="O27" s="9">
        <f t="shared" ref="O27:O28" si="42">S27*N27</f>
        <v>1.46656206</v>
      </c>
      <c r="P27" s="9">
        <f t="shared" ref="P27:P28" si="43">-(N27*(SQRT(1-S27^2)))</f>
        <v>-0.4277472674</v>
      </c>
      <c r="Q27" s="11">
        <f>Q26-H24</f>
        <v>14793.78547</v>
      </c>
      <c r="R27" s="13">
        <v>63000.0</v>
      </c>
      <c r="S27" s="13">
        <v>0.96</v>
      </c>
      <c r="T27" s="13">
        <v>0.63</v>
      </c>
    </row>
    <row r="28">
      <c r="A28" s="24" t="s">
        <v>113</v>
      </c>
      <c r="B28" s="9">
        <f>1191+1269+577</f>
        <v>3037</v>
      </c>
      <c r="C28" s="9">
        <f t="shared" si="34"/>
        <v>2.629437229</v>
      </c>
      <c r="D28" s="9">
        <f t="shared" si="39"/>
        <v>0.3037</v>
      </c>
      <c r="E28" s="9">
        <f t="shared" si="4"/>
        <v>7.544043517</v>
      </c>
      <c r="F28" s="30">
        <f>S10*N10</f>
        <v>7.468603082</v>
      </c>
      <c r="G28" s="30">
        <f>-(N10*(SQRT(1-S10^2)))</f>
        <v>-1.064218301</v>
      </c>
      <c r="H28" s="9">
        <f t="shared" si="6"/>
        <v>19.96142609</v>
      </c>
      <c r="I28" s="11">
        <f t="shared" si="7"/>
        <v>448.9442694</v>
      </c>
      <c r="J28" s="11">
        <f t="shared" si="8"/>
        <v>51.85306311</v>
      </c>
      <c r="M28" s="18" t="s">
        <v>114</v>
      </c>
      <c r="N28" s="9">
        <f t="shared" si="41"/>
        <v>1.732050808</v>
      </c>
      <c r="O28" s="9">
        <f t="shared" si="42"/>
        <v>1.697409791</v>
      </c>
      <c r="P28" s="9">
        <f t="shared" si="43"/>
        <v>-0.3446737588</v>
      </c>
      <c r="Q28" s="11">
        <f>Q26-H25</f>
        <v>14792.59228</v>
      </c>
      <c r="R28" s="13">
        <v>100000.0</v>
      </c>
      <c r="S28" s="13">
        <v>0.98</v>
      </c>
      <c r="T28" s="13">
        <v>0.45</v>
      </c>
    </row>
    <row r="29">
      <c r="A29" s="24" t="s">
        <v>116</v>
      </c>
      <c r="B29" s="8">
        <v>204.0</v>
      </c>
      <c r="C29" s="9">
        <f t="shared" si="34"/>
        <v>0.1766233766</v>
      </c>
      <c r="D29" s="9">
        <f t="shared" si="39"/>
        <v>0.0204</v>
      </c>
      <c r="E29" s="9">
        <f t="shared" si="4"/>
        <v>5.388602512</v>
      </c>
      <c r="F29" s="30">
        <f t="shared" ref="F29:F30" si="44">S12*N12</f>
        <v>5.173058412</v>
      </c>
      <c r="G29" s="30">
        <f t="shared" ref="G29:G30" si="45">-(N12*(SQRT(1-S12^2)))</f>
        <v>-1.508808703</v>
      </c>
      <c r="H29" s="9">
        <f t="shared" si="6"/>
        <v>0.9444627417</v>
      </c>
      <c r="I29" s="11">
        <f t="shared" si="7"/>
        <v>15.38585859</v>
      </c>
      <c r="J29" s="11">
        <f t="shared" si="8"/>
        <v>1.777066667</v>
      </c>
      <c r="M29" s="18" t="s">
        <v>117</v>
      </c>
      <c r="N29" s="8" t="s">
        <v>20</v>
      </c>
      <c r="O29" s="13" t="s">
        <v>20</v>
      </c>
      <c r="P29" s="13" t="s">
        <v>20</v>
      </c>
      <c r="Q29" s="11">
        <f>Q23-H21</f>
        <v>14801.95981</v>
      </c>
      <c r="R29" s="13" t="s">
        <v>20</v>
      </c>
      <c r="S29" s="13" t="s">
        <v>20</v>
      </c>
      <c r="T29" s="13" t="s">
        <v>20</v>
      </c>
    </row>
    <row r="30">
      <c r="A30" s="24" t="s">
        <v>118</v>
      </c>
      <c r="B30" s="8">
        <v>1311.0</v>
      </c>
      <c r="C30" s="9">
        <f t="shared" si="34"/>
        <v>1.135064935</v>
      </c>
      <c r="D30" s="9">
        <f t="shared" si="39"/>
        <v>0.1311</v>
      </c>
      <c r="E30" s="9">
        <f t="shared" si="4"/>
        <v>2.347891095</v>
      </c>
      <c r="F30" s="30">
        <f t="shared" si="44"/>
        <v>2.300933273</v>
      </c>
      <c r="G30" s="30">
        <f t="shared" si="45"/>
        <v>-0.4672244286</v>
      </c>
      <c r="H30" s="9">
        <f t="shared" si="6"/>
        <v>2.672961798</v>
      </c>
      <c r="I30" s="11">
        <f t="shared" si="7"/>
        <v>18.77145166</v>
      </c>
      <c r="J30" s="11">
        <f t="shared" si="8"/>
        <v>2.168102667</v>
      </c>
      <c r="M30" s="18" t="s">
        <v>119</v>
      </c>
      <c r="N30" s="9">
        <f t="shared" ref="N30:N31" si="46">R30*T30/(SQRT(3)*$G$43)</f>
        <v>5.484827557</v>
      </c>
      <c r="O30" s="9">
        <f t="shared" ref="O30:O31" si="47">S30*N30</f>
        <v>5.265434455</v>
      </c>
      <c r="P30" s="9">
        <f t="shared" ref="P30:P31" si="48">-(N30*(SQRT(1-S30^2)))</f>
        <v>-1.535751716</v>
      </c>
      <c r="Q30" s="11">
        <f>Q29-H21</f>
        <v>14800.43039</v>
      </c>
      <c r="R30" s="13">
        <v>250000.0</v>
      </c>
      <c r="S30" s="13">
        <v>0.96</v>
      </c>
      <c r="T30" s="13">
        <v>0.57</v>
      </c>
    </row>
    <row r="31">
      <c r="I31" s="29">
        <f>MAX(I2:I30)</f>
        <v>9927.488865</v>
      </c>
      <c r="M31" s="18" t="s">
        <v>120</v>
      </c>
      <c r="N31" s="9">
        <f t="shared" si="46"/>
        <v>2.270911059</v>
      </c>
      <c r="O31" s="9">
        <f t="shared" si="47"/>
        <v>2.157365506</v>
      </c>
      <c r="P31" s="9">
        <f t="shared" si="48"/>
        <v>-0.7090917508</v>
      </c>
      <c r="Q31" s="11">
        <f>Q29-H22</f>
        <v>14798.70365</v>
      </c>
      <c r="R31" s="13">
        <v>100000.0</v>
      </c>
      <c r="S31" s="13">
        <v>0.95</v>
      </c>
      <c r="T31" s="13">
        <v>0.59</v>
      </c>
    </row>
    <row r="32">
      <c r="I32" s="29">
        <f>MIN(I2:I30)</f>
        <v>1.53384</v>
      </c>
    </row>
    <row r="33">
      <c r="G33" s="28" t="s">
        <v>123</v>
      </c>
      <c r="H33" s="29">
        <f>MAX(H2:H30)</f>
        <v>72.24517461</v>
      </c>
    </row>
    <row r="34">
      <c r="D34" s="11"/>
      <c r="E34" s="3" t="s">
        <v>4</v>
      </c>
      <c r="F34" s="3" t="s">
        <v>143</v>
      </c>
      <c r="O34" s="66" t="s">
        <v>126</v>
      </c>
      <c r="P34" s="66" t="s">
        <v>127</v>
      </c>
      <c r="Q34" s="66" t="s">
        <v>128</v>
      </c>
    </row>
    <row r="35">
      <c r="D35" s="18" t="s">
        <v>122</v>
      </c>
      <c r="E35" s="11">
        <f>MAX(E2:E5,E15,E17)</f>
        <v>73.37871898</v>
      </c>
      <c r="F35" s="11">
        <f>Max(H2:H5,H15,H17)</f>
        <v>72.24517461</v>
      </c>
      <c r="O35" s="11">
        <f>MIN(Q2:Q31)</f>
        <v>14756.61339</v>
      </c>
      <c r="P35" s="11">
        <f>O35/G43*100</f>
        <v>98.37742263</v>
      </c>
      <c r="Q35" s="13">
        <f>100-P35</f>
        <v>1.622577374</v>
      </c>
    </row>
    <row r="36">
      <c r="B36" s="29">
        <f>SUM(B2:B5)+SUM(B9:B10)</f>
        <v>10624</v>
      </c>
      <c r="D36" s="23" t="s">
        <v>122</v>
      </c>
      <c r="E36" s="11">
        <f>Max(E6:E14,E16,E19:E20,E23:E25)</f>
        <v>13.33679122</v>
      </c>
      <c r="F36" s="11">
        <f>MAX(H6:H14,H16,H19:H20,H23:H25)</f>
        <v>16.63235321</v>
      </c>
      <c r="G36" s="4" t="s">
        <v>18</v>
      </c>
      <c r="H36" s="5"/>
      <c r="I36" s="5"/>
      <c r="J36" s="6"/>
    </row>
    <row r="37">
      <c r="A37" s="28" t="s">
        <v>164</v>
      </c>
      <c r="B37" s="29">
        <f>SUM(B6:B8)+SUM(B11:B14)</f>
        <v>8228</v>
      </c>
      <c r="D37" s="26" t="s">
        <v>122</v>
      </c>
      <c r="E37" s="11">
        <f>MAX(E18,E21:E22,E26:E30)</f>
        <v>15.24874641</v>
      </c>
      <c r="F37" s="11">
        <f>max(H18,H21:H22,H26:H30)</f>
        <v>19.96142609</v>
      </c>
      <c r="G37" s="1" t="s">
        <v>21</v>
      </c>
      <c r="H37" s="2" t="s">
        <v>22</v>
      </c>
      <c r="I37" s="1" t="s">
        <v>23</v>
      </c>
      <c r="J37" s="1" t="s">
        <v>24</v>
      </c>
      <c r="K37" s="3" t="s">
        <v>27</v>
      </c>
      <c r="L37" s="3" t="s">
        <v>26</v>
      </c>
    </row>
    <row r="38">
      <c r="A38" s="28" t="s">
        <v>84</v>
      </c>
      <c r="B38" s="29">
        <f>SUM(B15:B25)</f>
        <v>15105</v>
      </c>
      <c r="G38" s="9" t="s">
        <v>29</v>
      </c>
      <c r="H38" s="8">
        <v>33.0</v>
      </c>
      <c r="I38" s="9">
        <v>70.0</v>
      </c>
      <c r="J38" s="7" t="s">
        <v>30</v>
      </c>
      <c r="K38" s="17">
        <f t="shared" ref="K38:K40" si="49">H38*I38</f>
        <v>2310</v>
      </c>
      <c r="L38" s="18">
        <v>0.4</v>
      </c>
    </row>
    <row r="39">
      <c r="A39" s="28" t="s">
        <v>165</v>
      </c>
      <c r="B39" s="29">
        <f>SUM(B26:B30)</f>
        <v>6976</v>
      </c>
      <c r="G39" s="9" t="s">
        <v>29</v>
      </c>
      <c r="H39" s="8">
        <v>33.0</v>
      </c>
      <c r="I39" s="9">
        <v>35.0</v>
      </c>
      <c r="J39" s="67" t="s">
        <v>34</v>
      </c>
      <c r="K39" s="22">
        <f t="shared" si="49"/>
        <v>1155</v>
      </c>
      <c r="L39" s="23">
        <v>0.4</v>
      </c>
    </row>
    <row r="40">
      <c r="G40" s="8" t="s">
        <v>166</v>
      </c>
      <c r="H40" s="8">
        <v>54.0</v>
      </c>
      <c r="I40" s="8">
        <v>50.0</v>
      </c>
      <c r="J40" s="24" t="s">
        <v>38</v>
      </c>
      <c r="K40" s="25">
        <f t="shared" si="49"/>
        <v>2700</v>
      </c>
      <c r="L40" s="26">
        <v>0.1</v>
      </c>
    </row>
    <row r="42">
      <c r="G42" s="28" t="s">
        <v>43</v>
      </c>
      <c r="H42" s="28" t="s">
        <v>44</v>
      </c>
      <c r="I42" s="28" t="s">
        <v>45</v>
      </c>
    </row>
    <row r="43">
      <c r="G43" s="28">
        <v>15000.0</v>
      </c>
      <c r="H43" s="29">
        <f>G43*0.95</f>
        <v>14250</v>
      </c>
      <c r="I43" s="29">
        <f>G43*0.9</f>
        <v>13500</v>
      </c>
    </row>
  </sheetData>
  <mergeCells count="1">
    <mergeCell ref="G36:J36"/>
  </mergeCells>
  <conditionalFormatting sqref="Q2:Q31">
    <cfRule type="cellIs" dxfId="0" priority="1" operator="lessThan">
      <formula>14550</formula>
    </cfRule>
  </conditionalFormatting>
  <conditionalFormatting sqref="H2:H30">
    <cfRule type="cellIs" dxfId="1" priority="2" operator="greaterThan">
      <formula>100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2023-10-03T20:53:46Z</dcterms:created>
  <dc:creator>Maciej Duda</dc:creator>
</cp:coreProperties>
</file>