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jacksonkontny/Downloads/"/>
    </mc:Choice>
  </mc:AlternateContent>
  <bookViews>
    <workbookView xWindow="0" yWindow="460" windowWidth="21520" windowHeight="12440"/>
  </bookViews>
  <sheets>
    <sheet name="MAIN" sheetId="2" r:id="rId1"/>
    <sheet name="Sheet1" sheetId="3" r:id="rId2"/>
  </sheets>
  <definedNames>
    <definedName name="_1_Egg">MAIN!$D$60</definedName>
    <definedName name="_1_Oz_22_Almonds">MAIN!$D$67</definedName>
    <definedName name="ActualFat">MAIN!$I$52</definedName>
    <definedName name="ActualSatFat">MAIN!$I$53</definedName>
    <definedName name="Bananas">MAIN!$D$65</definedName>
    <definedName name="BlackBeanCans">MAIN!$D$50</definedName>
    <definedName name="BreadLoaves">MAIN!$D$66</definedName>
    <definedName name="BroccoliCup">MAIN!$D$63</definedName>
    <definedName name="cal_gram">MAIN!$I$54</definedName>
    <definedName name="Calorie_Upper_Limit">MAIN!$B$76</definedName>
    <definedName name="CalorieLower">MAIN!$B$74</definedName>
    <definedName name="CarrotCups">MAIN!$D$57</definedName>
    <definedName name="Fat_Actual">MAIN!$I$52</definedName>
    <definedName name="Fat_Lower">MAIN!$I$51</definedName>
    <definedName name="Fat_Upper">MAIN!$I$50</definedName>
    <definedName name="KaleCup">MAIN!$D$55</definedName>
    <definedName name="LowerFat">MAIN!$I$51</definedName>
    <definedName name="MilkCup">MAIN!$D$61</definedName>
    <definedName name="OatCups">MAIN!$D$68</definedName>
    <definedName name="Omega_3">MAIN!$I$57</definedName>
    <definedName name="Omega_6">MAIN!$I$58</definedName>
    <definedName name="Omega_6_Lower_Limit">MAIN!$I$60</definedName>
    <definedName name="Omega_6_Upper_Limit">MAIN!$I$59</definedName>
    <definedName name="PeasCup">MAIN!$D$56</definedName>
    <definedName name="Protein__g">MAIN!$B$75</definedName>
    <definedName name="RedPepperCup">MAIN!$D$58</definedName>
    <definedName name="SalmonCan">MAIN!$D$64</definedName>
    <definedName name="Sat_Fat_Actual">MAIN!$I$53</definedName>
    <definedName name="Sat_Fat_Limit">MAIN!$I$55</definedName>
    <definedName name="Sat_Fat_Ratio">MAIN!$I$55</definedName>
    <definedName name="Sat_Fat_Ratio_Limit">MAIN!$I$56</definedName>
    <definedName name="solver_adj" localSheetId="0" hidden="1">MAIN!$B$50:$B$68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MAIN!$D$45:$AY$45</definedName>
    <definedName name="solver_lhs10" localSheetId="0" hidden="1">MAIN!$D$61</definedName>
    <definedName name="solver_lhs11" localSheetId="0" hidden="1">MAIN!$I$55</definedName>
    <definedName name="solver_lhs12" localSheetId="0" hidden="1">MAIN!$I$55</definedName>
    <definedName name="solver_lhs13" localSheetId="0" hidden="1">MAIN!$I$55</definedName>
    <definedName name="solver_lhs14" localSheetId="0" hidden="1">MAIN!$D$64</definedName>
    <definedName name="solver_lhs2" localSheetId="0" hidden="1">MAIN!$D$50:$D$68</definedName>
    <definedName name="solver_lhs3" localSheetId="0" hidden="1">MAIN!$D$50:$D$68</definedName>
    <definedName name="solver_lhs4" localSheetId="0" hidden="1">MAIN!$I$52</definedName>
    <definedName name="solver_lhs5" localSheetId="0" hidden="1">MAIN!$I$52</definedName>
    <definedName name="solver_lhs6" localSheetId="0" hidden="1">MAIN!$I$53</definedName>
    <definedName name="solver_lhs7" localSheetId="0" hidden="1">MAIN!$I$58</definedName>
    <definedName name="solver_lhs8" localSheetId="0" hidden="1">MAIN!$I$58</definedName>
    <definedName name="solver_lhs9" localSheetId="0" hidden="1">MAIN!$D$50:$D$68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MAIN!$B$79</definedName>
    <definedName name="solver_pre" localSheetId="0" hidden="1">0.25</definedName>
    <definedName name="solver_rbv" localSheetId="0" hidden="1">2</definedName>
    <definedName name="solver_rel1" localSheetId="0" hidden="1">3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3</definedName>
    <definedName name="solver_rel8" localSheetId="0" hidden="1">1</definedName>
    <definedName name="solver_rel9" localSheetId="0" hidden="1">1</definedName>
    <definedName name="solver_rhs1" localSheetId="0" hidden="1">0</definedName>
    <definedName name="solver_rhs10" localSheetId="0" hidden="1">5</definedName>
    <definedName name="solver_rhs11" localSheetId="0" hidden="1">0.3333</definedName>
    <definedName name="solver_rhs12" localSheetId="0" hidden="1">0.3333</definedName>
    <definedName name="solver_rhs13" localSheetId="0" hidden="1">0.3333</definedName>
    <definedName name="solver_rhs14" localSheetId="0" hidden="1">1</definedName>
    <definedName name="solver_rhs2" localSheetId="0" hidden="1">MAIN!$F$50:$F$68</definedName>
    <definedName name="solver_rhs3" localSheetId="0" hidden="1">MAIN!$E$50:$E$68</definedName>
    <definedName name="solver_rhs4" localSheetId="0" hidden="1">Fat_Upper</definedName>
    <definedName name="solver_rhs5" localSheetId="0" hidden="1">Fat_Lower</definedName>
    <definedName name="solver_rhs6" localSheetId="0" hidden="1">Sat_Fat_Limit</definedName>
    <definedName name="solver_rhs7" localSheetId="0" hidden="1">Omega_6_Lower_Limit</definedName>
    <definedName name="solver_rhs8" localSheetId="0" hidden="1">Omega_6_Upper_Limit</definedName>
    <definedName name="solver_rhs9" localSheetId="0" hidden="1">MAIN!$E$50:$E$68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2800</definedName>
    <definedName name="solver_ver" localSheetId="0" hidden="1">3</definedName>
    <definedName name="Spin_10_oz_frozen_Package">MAIN!$D$54</definedName>
    <definedName name="SweetPotatoCup">MAIN!$D$59</definedName>
    <definedName name="TotalCost">MAIN!$B$79</definedName>
    <definedName name="UpperFat">MAIN!$I$50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31" i="2" l="1"/>
  <c r="AZ30" i="2"/>
  <c r="AZ28" i="2"/>
  <c r="D65" i="2"/>
  <c r="AZ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D26" i="2"/>
  <c r="D25" i="2"/>
  <c r="D24" i="2"/>
  <c r="D51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D53" i="2"/>
  <c r="G24" i="2"/>
  <c r="D66" i="2"/>
  <c r="D68" i="2"/>
  <c r="D67" i="2"/>
  <c r="D64" i="2"/>
  <c r="AZ41" i="2"/>
  <c r="D63" i="2"/>
  <c r="AZ36" i="2"/>
  <c r="D61" i="2"/>
  <c r="D60" i="2"/>
  <c r="AZ37" i="2"/>
  <c r="AZ27" i="2"/>
  <c r="D55" i="2"/>
  <c r="D58" i="2"/>
  <c r="AZ35" i="2"/>
  <c r="D59" i="2"/>
  <c r="AZ33" i="2"/>
  <c r="D52" i="2"/>
  <c r="D50" i="2"/>
  <c r="AZ26" i="2"/>
  <c r="AY35" i="2"/>
  <c r="AY36" i="2"/>
  <c r="AY37" i="2"/>
  <c r="AY38" i="2"/>
  <c r="AY39" i="2"/>
  <c r="AY40" i="2"/>
  <c r="AY41" i="2"/>
  <c r="AY34" i="2"/>
  <c r="AY33" i="2"/>
  <c r="E24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AV24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F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F27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F36" i="2"/>
  <c r="AV38" i="2"/>
  <c r="E44" i="2"/>
  <c r="I58" i="2"/>
  <c r="D44" i="2"/>
  <c r="D45" i="2"/>
  <c r="U43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F41" i="2"/>
  <c r="AX24" i="2"/>
  <c r="I54" i="2"/>
  <c r="H43" i="2"/>
  <c r="AZ42" i="2"/>
  <c r="I57" i="2"/>
  <c r="I59" i="2"/>
  <c r="E45" i="2"/>
  <c r="G39" i="2"/>
  <c r="AZ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F40" i="2"/>
  <c r="F42" i="2"/>
  <c r="AZ38" i="2"/>
  <c r="AZ34" i="2"/>
  <c r="AZ39" i="2"/>
  <c r="AZ32" i="2"/>
  <c r="F24" i="2"/>
  <c r="H24" i="2"/>
  <c r="I24" i="2"/>
  <c r="J24" i="2"/>
  <c r="K24" i="2"/>
  <c r="L24" i="2"/>
  <c r="M24" i="2"/>
  <c r="N24" i="2"/>
  <c r="O24" i="2"/>
  <c r="P24" i="2"/>
  <c r="Q24" i="2"/>
  <c r="F28" i="2"/>
  <c r="G28" i="2"/>
  <c r="H28" i="2"/>
  <c r="I28" i="2"/>
  <c r="J28" i="2"/>
  <c r="K28" i="2"/>
  <c r="L28" i="2"/>
  <c r="M28" i="2"/>
  <c r="N28" i="2"/>
  <c r="O28" i="2"/>
  <c r="P28" i="2"/>
  <c r="Q28" i="2"/>
  <c r="F29" i="2"/>
  <c r="G29" i="2"/>
  <c r="H29" i="2"/>
  <c r="I29" i="2"/>
  <c r="J29" i="2"/>
  <c r="K29" i="2"/>
  <c r="L29" i="2"/>
  <c r="M29" i="2"/>
  <c r="N29" i="2"/>
  <c r="O29" i="2"/>
  <c r="P29" i="2"/>
  <c r="Q29" i="2"/>
  <c r="F30" i="2"/>
  <c r="G30" i="2"/>
  <c r="H30" i="2"/>
  <c r="I30" i="2"/>
  <c r="J30" i="2"/>
  <c r="K30" i="2"/>
  <c r="L30" i="2"/>
  <c r="M30" i="2"/>
  <c r="N30" i="2"/>
  <c r="O30" i="2"/>
  <c r="P30" i="2"/>
  <c r="Q30" i="2"/>
  <c r="F31" i="2"/>
  <c r="G31" i="2"/>
  <c r="H31" i="2"/>
  <c r="I31" i="2"/>
  <c r="J31" i="2"/>
  <c r="K31" i="2"/>
  <c r="L31" i="2"/>
  <c r="M31" i="2"/>
  <c r="N31" i="2"/>
  <c r="O31" i="2"/>
  <c r="P31" i="2"/>
  <c r="Q31" i="2"/>
  <c r="F32" i="2"/>
  <c r="G32" i="2"/>
  <c r="H32" i="2"/>
  <c r="I32" i="2"/>
  <c r="J32" i="2"/>
  <c r="K32" i="2"/>
  <c r="L32" i="2"/>
  <c r="M32" i="2"/>
  <c r="N32" i="2"/>
  <c r="O32" i="2"/>
  <c r="P32" i="2"/>
  <c r="Q32" i="2"/>
  <c r="F33" i="2"/>
  <c r="G33" i="2"/>
  <c r="H33" i="2"/>
  <c r="I33" i="2"/>
  <c r="J33" i="2"/>
  <c r="K33" i="2"/>
  <c r="L33" i="2"/>
  <c r="M33" i="2"/>
  <c r="N33" i="2"/>
  <c r="O33" i="2"/>
  <c r="P33" i="2"/>
  <c r="Q33" i="2"/>
  <c r="F34" i="2"/>
  <c r="G34" i="2"/>
  <c r="H34" i="2"/>
  <c r="I34" i="2"/>
  <c r="J34" i="2"/>
  <c r="K34" i="2"/>
  <c r="L34" i="2"/>
  <c r="M34" i="2"/>
  <c r="N34" i="2"/>
  <c r="O34" i="2"/>
  <c r="P34" i="2"/>
  <c r="Q34" i="2"/>
  <c r="F35" i="2"/>
  <c r="G35" i="2"/>
  <c r="H35" i="2"/>
  <c r="I35" i="2"/>
  <c r="J35" i="2"/>
  <c r="K35" i="2"/>
  <c r="L35" i="2"/>
  <c r="M35" i="2"/>
  <c r="N35" i="2"/>
  <c r="O35" i="2"/>
  <c r="P35" i="2"/>
  <c r="Q35" i="2"/>
  <c r="F37" i="2"/>
  <c r="G37" i="2"/>
  <c r="H37" i="2"/>
  <c r="I37" i="2"/>
  <c r="J37" i="2"/>
  <c r="K37" i="2"/>
  <c r="L37" i="2"/>
  <c r="M37" i="2"/>
  <c r="N37" i="2"/>
  <c r="O37" i="2"/>
  <c r="P37" i="2"/>
  <c r="Q37" i="2"/>
  <c r="F38" i="2"/>
  <c r="G38" i="2"/>
  <c r="H38" i="2"/>
  <c r="I38" i="2"/>
  <c r="J38" i="2"/>
  <c r="K38" i="2"/>
  <c r="L38" i="2"/>
  <c r="M38" i="2"/>
  <c r="N38" i="2"/>
  <c r="O38" i="2"/>
  <c r="P38" i="2"/>
  <c r="Q38" i="2"/>
  <c r="F39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W38" i="2"/>
  <c r="AX38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W24" i="2"/>
  <c r="AY24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I61" i="2"/>
  <c r="G44" i="2"/>
  <c r="I44" i="2"/>
  <c r="I60" i="2"/>
  <c r="AT44" i="2"/>
  <c r="AL44" i="2"/>
  <c r="AD44" i="2"/>
  <c r="V44" i="2"/>
  <c r="V46" i="2"/>
  <c r="AX44" i="2"/>
  <c r="Q44" i="2"/>
  <c r="Q46" i="2"/>
  <c r="AS44" i="2"/>
  <c r="U44" i="2"/>
  <c r="U46" i="2"/>
  <c r="H44" i="2"/>
  <c r="L50" i="2"/>
  <c r="AJ44" i="2"/>
  <c r="O44" i="2"/>
  <c r="AI44" i="2"/>
  <c r="S44" i="2"/>
  <c r="S46" i="2"/>
  <c r="N44" i="2"/>
  <c r="AY44" i="2"/>
  <c r="AP44" i="2"/>
  <c r="AP45" i="2"/>
  <c r="AH44" i="2"/>
  <c r="Z44" i="2"/>
  <c r="Z46" i="2"/>
  <c r="R44" i="2"/>
  <c r="R46" i="2"/>
  <c r="M44" i="2"/>
  <c r="AK44" i="2"/>
  <c r="AK46" i="2"/>
  <c r="P44" i="2"/>
  <c r="P46" i="2"/>
  <c r="AR44" i="2"/>
  <c r="T44" i="2"/>
  <c r="AQ44" i="2"/>
  <c r="AA44" i="2"/>
  <c r="AA46" i="2"/>
  <c r="F44" i="2"/>
  <c r="AW44" i="2"/>
  <c r="AO44" i="2"/>
  <c r="AG44" i="2"/>
  <c r="Y44" i="2"/>
  <c r="Y46" i="2"/>
  <c r="L44" i="2"/>
  <c r="AC44" i="2"/>
  <c r="AB44" i="2"/>
  <c r="AB46" i="2"/>
  <c r="AV44" i="2"/>
  <c r="AN44" i="2"/>
  <c r="AF44" i="2"/>
  <c r="X44" i="2"/>
  <c r="AU44" i="2"/>
  <c r="AM44" i="2"/>
  <c r="AE44" i="2"/>
  <c r="W44" i="2"/>
  <c r="J44" i="2"/>
  <c r="K44" i="2"/>
  <c r="AZ29" i="2"/>
  <c r="AZ24" i="2"/>
  <c r="B79" i="2"/>
  <c r="B80" i="2"/>
  <c r="K46" i="2"/>
  <c r="M50" i="2"/>
  <c r="I51" i="2"/>
  <c r="I50" i="2"/>
  <c r="I52" i="2"/>
  <c r="N50" i="2"/>
  <c r="I55" i="2"/>
  <c r="AW45" i="2"/>
  <c r="AC46" i="2"/>
  <c r="AC45" i="2"/>
  <c r="K45" i="2"/>
  <c r="AD46" i="2"/>
  <c r="AD45" i="2"/>
  <c r="AL45" i="2"/>
  <c r="AV45" i="2"/>
  <c r="I53" i="2"/>
  <c r="R45" i="2"/>
  <c r="AI45" i="2"/>
  <c r="AI46" i="2"/>
  <c r="I45" i="2"/>
  <c r="L46" i="2"/>
  <c r="L45" i="2"/>
  <c r="AU45" i="2"/>
  <c r="AU46" i="2"/>
  <c r="W45" i="2"/>
  <c r="W46" i="2"/>
  <c r="Q45" i="2"/>
  <c r="AH45" i="2"/>
  <c r="AY45" i="2"/>
  <c r="T45" i="2"/>
  <c r="T46" i="2"/>
  <c r="M45" i="2"/>
  <c r="H45" i="2"/>
  <c r="H46" i="2"/>
  <c r="Y45" i="2"/>
  <c r="F45" i="2"/>
  <c r="O45" i="2"/>
  <c r="O46" i="2"/>
  <c r="Z45" i="2"/>
  <c r="AB45" i="2"/>
  <c r="P45" i="2"/>
  <c r="AX45" i="2"/>
  <c r="AR45" i="2"/>
  <c r="AR46" i="2"/>
  <c r="AF45" i="2"/>
  <c r="S45" i="2"/>
  <c r="G45" i="2"/>
  <c r="G46" i="2"/>
  <c r="AQ45" i="2"/>
  <c r="U45" i="2"/>
  <c r="AG45" i="2"/>
  <c r="V45" i="2"/>
  <c r="AJ46" i="2"/>
  <c r="AJ45" i="2"/>
  <c r="X45" i="2"/>
  <c r="X46" i="2"/>
  <c r="AT46" i="2"/>
  <c r="AT45" i="2"/>
  <c r="AK45" i="2"/>
  <c r="N46" i="2"/>
  <c r="N45" i="2"/>
  <c r="AS45" i="2"/>
  <c r="AN45" i="2"/>
  <c r="J45" i="2"/>
  <c r="AA45" i="2"/>
  <c r="O51" i="2"/>
  <c r="L51" i="2"/>
  <c r="I56" i="2"/>
  <c r="N51" i="2"/>
  <c r="M51" i="2"/>
</calcChain>
</file>

<file path=xl/sharedStrings.xml><?xml version="1.0" encoding="utf-8"?>
<sst xmlns="http://schemas.openxmlformats.org/spreadsheetml/2006/main" count="476" uniqueCount="202">
  <si>
    <t>Calcium</t>
  </si>
  <si>
    <t>Copper</t>
  </si>
  <si>
    <t>Iron</t>
  </si>
  <si>
    <t>Magnesium</t>
  </si>
  <si>
    <t>Manganese</t>
  </si>
  <si>
    <t>Omega 3</t>
  </si>
  <si>
    <t>Potassium</t>
  </si>
  <si>
    <t>Protein</t>
  </si>
  <si>
    <t>Selenium</t>
  </si>
  <si>
    <t>Zinc</t>
  </si>
  <si>
    <t>Black Beans</t>
  </si>
  <si>
    <t>Spinach</t>
  </si>
  <si>
    <t>Kale</t>
  </si>
  <si>
    <t>Peas</t>
  </si>
  <si>
    <t>Carrots</t>
  </si>
  <si>
    <t>Red Pepper</t>
  </si>
  <si>
    <t>Sweet Potato</t>
  </si>
  <si>
    <t>Eggs</t>
  </si>
  <si>
    <t>1 Cup</t>
  </si>
  <si>
    <t>Broccoli</t>
  </si>
  <si>
    <t>Salmon</t>
  </si>
  <si>
    <t>Calories</t>
  </si>
  <si>
    <t>1 Egg</t>
  </si>
  <si>
    <t>Banana</t>
  </si>
  <si>
    <t>1 Banana</t>
  </si>
  <si>
    <t>Price</t>
  </si>
  <si>
    <t>Unit</t>
  </si>
  <si>
    <t>IU</t>
  </si>
  <si>
    <t>mg</t>
  </si>
  <si>
    <t>Thiamin</t>
  </si>
  <si>
    <t>Riboflavin</t>
  </si>
  <si>
    <t>Niacin</t>
  </si>
  <si>
    <t>Shrt_Desc</t>
  </si>
  <si>
    <t>Water</t>
  </si>
  <si>
    <t>Energ_Kcal</t>
  </si>
  <si>
    <t>Lipid_Tot</t>
  </si>
  <si>
    <t>Ash</t>
  </si>
  <si>
    <t>Carbohydrt</t>
  </si>
  <si>
    <t>Fiber_TD</t>
  </si>
  <si>
    <t>Sugar_Tot</t>
  </si>
  <si>
    <t>Phosphorus</t>
  </si>
  <si>
    <t>Sodium</t>
  </si>
  <si>
    <t>Vit_C</t>
  </si>
  <si>
    <t>Panto_Acid</t>
  </si>
  <si>
    <t>Vit_B6</t>
  </si>
  <si>
    <t>Folate_Tot</t>
  </si>
  <si>
    <t>Folic_Acid</t>
  </si>
  <si>
    <t>Food_Folate</t>
  </si>
  <si>
    <t>Folate_DFE</t>
  </si>
  <si>
    <t>Choline_Tot</t>
  </si>
  <si>
    <t>Vit_B12</t>
  </si>
  <si>
    <t>Vit_A_IU</t>
  </si>
  <si>
    <t>Vit_A_RAE</t>
  </si>
  <si>
    <t>Retinol</t>
  </si>
  <si>
    <t>Alpha_Carot</t>
  </si>
  <si>
    <t>Beta_Carot</t>
  </si>
  <si>
    <t>Beta_Crypt</t>
  </si>
  <si>
    <t>Lycopene</t>
  </si>
  <si>
    <t>Lut+Zea</t>
  </si>
  <si>
    <t>Vit_E</t>
  </si>
  <si>
    <t>Vit_D_mcg</t>
  </si>
  <si>
    <t>ViVit_D_IU</t>
  </si>
  <si>
    <t>Vit_K</t>
  </si>
  <si>
    <t>FA_Sat</t>
  </si>
  <si>
    <t>FA_Mono</t>
  </si>
  <si>
    <t>FA_Poly</t>
  </si>
  <si>
    <t>Cholestrl</t>
  </si>
  <si>
    <t>GmWt_1</t>
  </si>
  <si>
    <t>GmWt_Desc1</t>
  </si>
  <si>
    <t>GmWt_2</t>
  </si>
  <si>
    <t>GmWt_Desc2</t>
  </si>
  <si>
    <t>11060</t>
  </si>
  <si>
    <t>BEANS,SNAP,GRN,FRZ,ALL STYLES,UNPREP</t>
  </si>
  <si>
    <t>1 cup</t>
  </si>
  <si>
    <t>1 package,  (10 oz)</t>
  </si>
  <si>
    <t>11124</t>
  </si>
  <si>
    <t>CARROTS,RAW</t>
  </si>
  <si>
    <t>1 cup, chopped</t>
  </si>
  <si>
    <t>1 cup, grated</t>
  </si>
  <si>
    <t>11463</t>
  </si>
  <si>
    <t>SPINACH,FRZ,CHOPD OR LEAF,UNPREP</t>
  </si>
  <si>
    <t>11233</t>
  </si>
  <si>
    <t>KALE,RAW</t>
  </si>
  <si>
    <t>11976</t>
  </si>
  <si>
    <t>PEPPER,BANANA,RAW</t>
  </si>
  <si>
    <t>1 small,  (4" long)</t>
  </si>
  <si>
    <t>11507</t>
  </si>
  <si>
    <t>SWEET POTATO,RAW,UNPREP</t>
  </si>
  <si>
    <t>1 cup, cubes</t>
  </si>
  <si>
    <t>1 sweetpotato,  5" long</t>
  </si>
  <si>
    <t>01077</t>
  </si>
  <si>
    <t>MILK,WHL,3.25% MILKFAT,W/ ADDED VITAMIN D</t>
  </si>
  <si>
    <t>1 tbsp</t>
  </si>
  <si>
    <t>11092</t>
  </si>
  <si>
    <t>BROCCOLI,FRZ,CHOPD,UNPREP</t>
  </si>
  <si>
    <t>1 can</t>
  </si>
  <si>
    <t>3 oz</t>
  </si>
  <si>
    <t>g</t>
  </si>
  <si>
    <t>kcal</t>
  </si>
  <si>
    <t>ug</t>
  </si>
  <si>
    <t>16015</t>
  </si>
  <si>
    <t>BEANS,BLACK,MATURE SEEDS,CKD,BLD,WO/SALT</t>
  </si>
  <si>
    <t>1 large</t>
  </si>
  <si>
    <t>09040</t>
  </si>
  <si>
    <t>BANANAS,RAW</t>
  </si>
  <si>
    <t>1 cup, mashed</t>
  </si>
  <si>
    <t>1 cup, sliced</t>
  </si>
  <si>
    <t>18035</t>
  </si>
  <si>
    <t>BREAD,MULTI-GRAIN (INCLUDES WHOLE-GRAIN)</t>
  </si>
  <si>
    <t>1 oz</t>
  </si>
  <si>
    <t>1 slice,  regular</t>
  </si>
  <si>
    <t>Bread</t>
  </si>
  <si>
    <t>20038</t>
  </si>
  <si>
    <t>OATS</t>
  </si>
  <si>
    <t>Oats</t>
  </si>
  <si>
    <t>Whole Wheat Bread</t>
  </si>
  <si>
    <t>PRICE</t>
  </si>
  <si>
    <t>Can</t>
  </si>
  <si>
    <t>Cup</t>
  </si>
  <si>
    <t>10 oz frozen Package</t>
  </si>
  <si>
    <t>Food</t>
  </si>
  <si>
    <t>Computation</t>
  </si>
  <si>
    <t>USDA Nutrition Table Extration</t>
  </si>
  <si>
    <t>Nutrition Multiplyer Table</t>
  </si>
  <si>
    <t>Recommended Daily Allowance (RDA):</t>
  </si>
  <si>
    <t>Total Nutrients - RDA</t>
  </si>
  <si>
    <t>100 G</t>
  </si>
  <si>
    <t># Unit/Day</t>
  </si>
  <si>
    <t>Cost/Meal</t>
  </si>
  <si>
    <t>Protein (g)</t>
  </si>
  <si>
    <t>Total Nutrients</t>
  </si>
  <si>
    <t>% RDA</t>
  </si>
  <si>
    <t>RDA</t>
  </si>
  <si>
    <t>Fat Actual</t>
  </si>
  <si>
    <t>Sat Fat Actual</t>
  </si>
  <si>
    <t>cal/gram</t>
  </si>
  <si>
    <t>12063</t>
  </si>
  <si>
    <t>ALMONDS,DRY RSTD,WO/SALT</t>
  </si>
  <si>
    <t>1 cup, whole kernels</t>
  </si>
  <si>
    <t>1 oz,  (22 whole kernels)</t>
  </si>
  <si>
    <t>Almonds</t>
  </si>
  <si>
    <t>1 Oz/22 Almonds</t>
  </si>
  <si>
    <t>Sat Fat Ratio</t>
  </si>
  <si>
    <t>Fat Upper</t>
  </si>
  <si>
    <t>Fat Lower</t>
  </si>
  <si>
    <t>Upper Limit</t>
  </si>
  <si>
    <t>Lower Limit</t>
  </si>
  <si>
    <t>Sat Fat Limit</t>
  </si>
  <si>
    <t>01085</t>
  </si>
  <si>
    <t>MILK,NONFAT,FLUID,W/ ADDED VIT A &amp; VIT D (FAT FREE OR SKIM)</t>
  </si>
  <si>
    <t>1 fl oz</t>
  </si>
  <si>
    <t>Skim Milk</t>
  </si>
  <si>
    <t>Whole Milk</t>
  </si>
  <si>
    <t>04053</t>
  </si>
  <si>
    <t>OIL,OLIVE,SALAD OR COOKING</t>
  </si>
  <si>
    <t>1 tablespoon</t>
  </si>
  <si>
    <t>Olive Oil</t>
  </si>
  <si>
    <t>16389</t>
  </si>
  <si>
    <t>PEANUTS,ALL TYPES,OIL-ROASTED,WO/SALT</t>
  </si>
  <si>
    <t>1 oz, shelled</t>
  </si>
  <si>
    <t>Peanuts</t>
  </si>
  <si>
    <t>15084</t>
  </si>
  <si>
    <t>SALMON,PINK,CND,SOL W/BONE&amp;LIQ</t>
  </si>
  <si>
    <t>Omega 6</t>
  </si>
  <si>
    <t>01130</t>
  </si>
  <si>
    <t>EGG,WHOLE,COOKED,OMELET</t>
  </si>
  <si>
    <t>Omega 6 Upper Limit</t>
  </si>
  <si>
    <t>Omega 6 Lower Limit</t>
  </si>
  <si>
    <t>Item #</t>
  </si>
  <si>
    <t>Fat Requirements</t>
  </si>
  <si>
    <t>Input</t>
  </si>
  <si>
    <t>Input Name:</t>
  </si>
  <si>
    <t>Ouput Name</t>
  </si>
  <si>
    <t>Output</t>
  </si>
  <si>
    <t>1 Loaf</t>
  </si>
  <si>
    <t>Requirement</t>
  </si>
  <si>
    <t>Calorie Upper Limit</t>
  </si>
  <si>
    <t>Omega 6 : 3</t>
  </si>
  <si>
    <t>2.5/16*d58</t>
  </si>
  <si>
    <t>.62*d60</t>
  </si>
  <si>
    <t>6.98/16*d64</t>
  </si>
  <si>
    <t># Unit/Meal</t>
  </si>
  <si>
    <t># Unit/Meal X4</t>
  </si>
  <si>
    <t>Until Food Runs Out</t>
  </si>
  <si>
    <t>11529</t>
  </si>
  <si>
    <t>TOMATOES,RED,RIPE,RAW,YEAR RND AVERAGE</t>
  </si>
  <si>
    <t>1 cup,  cherry tomatoes</t>
  </si>
  <si>
    <t>1 cup, chopped or sliced</t>
  </si>
  <si>
    <t>Tomatoes</t>
  </si>
  <si>
    <t>With Lycopene 2800 Until Food runs out</t>
  </si>
  <si>
    <t>2000 Until Food Runs Out</t>
  </si>
  <si>
    <t>.52*d57</t>
  </si>
  <si>
    <t>.52*d56</t>
  </si>
  <si>
    <t>1.29*d54</t>
  </si>
  <si>
    <t>3 Banana</t>
  </si>
  <si>
    <t>1 Can</t>
  </si>
  <si>
    <t>Carbs</t>
  </si>
  <si>
    <t>Fats</t>
  </si>
  <si>
    <t>Carb Ratio</t>
  </si>
  <si>
    <t>Kcals</t>
  </si>
  <si>
    <t>Ratio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</si>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</sst>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MS Sans Serif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MS Sans Serif"/>
    </font>
    <font>
      <sz val="11"/>
      <color theme="1"/>
      <name val="Calibri"/>
      <family val="2"/>
      <scheme val="minor"/>
    </font>
    <font>
      <b/>
      <sz val="10"/>
      <color theme="1"/>
      <name val="MS Sans Serif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43">
    <xf numFmtId="0" fontId="0" fillId="0" borderId="0" xfId="0"/>
    <xf numFmtId="0" fontId="0" fillId="0" borderId="0" xfId="0" applyFont="1" applyFill="1" applyBorder="1"/>
    <xf numFmtId="0" fontId="1" fillId="0" borderId="0" xfId="1" applyFont="1" applyFill="1" applyBorder="1" applyAlignment="1">
      <alignment vertical="center" wrapText="1"/>
    </xf>
    <xf numFmtId="0" fontId="1" fillId="0" borderId="0" xfId="1" applyFont="1" applyFill="1" applyBorder="1"/>
    <xf numFmtId="0" fontId="0" fillId="0" borderId="0" xfId="0" quotePrefix="1" applyNumberFormat="1" applyFont="1" applyFill="1" applyBorder="1"/>
    <xf numFmtId="0" fontId="4" fillId="0" borderId="0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left" vertical="center" wrapText="1"/>
    </xf>
    <xf numFmtId="9" fontId="4" fillId="0" borderId="0" xfId="0" applyNumberFormat="1" applyFont="1" applyFill="1" applyBorder="1" applyAlignment="1">
      <alignment horizontal="right" vertical="center" wrapText="1"/>
    </xf>
    <xf numFmtId="0" fontId="4" fillId="0" borderId="0" xfId="0" applyFont="1" applyFill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2" xfId="0" applyFont="1" applyFill="1" applyBorder="1"/>
    <xf numFmtId="9" fontId="4" fillId="0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Border="1"/>
    <xf numFmtId="0" fontId="4" fillId="0" borderId="0" xfId="0" applyFont="1" applyFill="1" applyBorder="1" applyAlignment="1">
      <alignment horizontal="right" vertical="center"/>
    </xf>
    <xf numFmtId="2" fontId="0" fillId="0" borderId="0" xfId="0" applyNumberFormat="1" applyFont="1" applyFill="1" applyBorder="1"/>
    <xf numFmtId="0" fontId="5" fillId="0" borderId="0" xfId="0" quotePrefix="1" applyNumberFormat="1" applyFont="1" applyFill="1" applyBorder="1"/>
    <xf numFmtId="0" fontId="5" fillId="0" borderId="0" xfId="0" applyFont="1" applyFill="1" applyBorder="1"/>
    <xf numFmtId="0" fontId="0" fillId="0" borderId="0" xfId="0" applyFont="1" applyFill="1" applyBorder="1" applyAlignment="1">
      <alignment horizontal="left" vertical="center"/>
    </xf>
    <xf numFmtId="2" fontId="0" fillId="0" borderId="0" xfId="0" applyNumberFormat="1"/>
    <xf numFmtId="2" fontId="6" fillId="0" borderId="0" xfId="0" applyNumberFormat="1" applyFont="1" applyFill="1" applyBorder="1"/>
    <xf numFmtId="0" fontId="6" fillId="0" borderId="0" xfId="0" applyFont="1" applyFill="1" applyBorder="1"/>
    <xf numFmtId="0" fontId="7" fillId="0" borderId="0" xfId="0" quotePrefix="1" applyNumberFormat="1" applyFont="1" applyFill="1" applyBorder="1"/>
    <xf numFmtId="0" fontId="0" fillId="0" borderId="6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5" fillId="0" borderId="5" xfId="0" quotePrefix="1" applyNumberFormat="1" applyFont="1" applyFill="1" applyBorder="1"/>
    <xf numFmtId="0" fontId="5" fillId="0" borderId="1" xfId="0" quotePrefix="1" applyNumberFormat="1" applyFont="1" applyFill="1" applyBorder="1"/>
    <xf numFmtId="0" fontId="5" fillId="0" borderId="3" xfId="0" quotePrefix="1" applyNumberFormat="1" applyFont="1" applyFill="1" applyBorder="1"/>
    <xf numFmtId="0" fontId="3" fillId="0" borderId="5" xfId="2" quotePrefix="1" applyNumberFormat="1" applyFont="1" applyFill="1" applyBorder="1"/>
    <xf numFmtId="0" fontId="3" fillId="0" borderId="7" xfId="2" quotePrefix="1" applyNumberFormat="1" applyFont="1" applyFill="1" applyBorder="1"/>
    <xf numFmtId="0" fontId="5" fillId="0" borderId="8" xfId="0" applyFont="1" applyFill="1" applyBorder="1"/>
    <xf numFmtId="0" fontId="5" fillId="0" borderId="8" xfId="0" quotePrefix="1" applyNumberFormat="1" applyFont="1" applyFill="1" applyBorder="1"/>
    <xf numFmtId="0" fontId="5" fillId="0" borderId="3" xfId="0" applyFont="1" applyFill="1" applyBorder="1"/>
    <xf numFmtId="0" fontId="5" fillId="0" borderId="4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quotePrefix="1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2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3" displayName="Table3" ref="A49:F68" totalsRowShown="0" headerRowDxfId="25" dataDxfId="24" headerRowCellStyle="Hyperlink">
  <autoFilter ref="A49:F68"/>
  <tableColumns count="6">
    <tableColumn id="1" name="Food" dataDxfId="23"/>
    <tableColumn id="2" name="100 G" dataDxfId="22"/>
    <tableColumn id="3" name="Unit" dataDxfId="21"/>
    <tableColumn id="4" name="# Unit/Day" dataDxfId="20"/>
    <tableColumn id="5" name="Upper Limit" dataDxfId="19"/>
    <tableColumn id="6" name="Lower Limit" dataDxfId="18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73:B76" totalsRowShown="0" headerRowDxfId="17" dataDxfId="16">
  <autoFilter ref="A73:B76"/>
  <tableColumns count="2">
    <tableColumn id="1" name="Input Name:" dataDxfId="15"/>
    <tableColumn id="2" name="Input" dataDxfId="1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78:B80" totalsRowShown="0" headerRowDxfId="13" dataDxfId="12">
  <autoFilter ref="A78:B80"/>
  <tableColumns count="2">
    <tableColumn id="1" name="Ouput Name" dataDxfId="11"/>
    <tableColumn id="2" name="Output" dataDxfId="10">
      <calculatedColumnFormula>B78/3</calculatedColumnFormula>
    </tableColumn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H49:I61" totalsRowShown="0" headerRowDxfId="9" dataDxfId="8">
  <autoFilter ref="H49:I61"/>
  <tableColumns count="2">
    <tableColumn id="1" name="Requirement" dataDxfId="7"/>
    <tableColumn id="2" name="RDA" dataDxfId="6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K49:N51" totalsRowShown="0" headerRowDxfId="5">
  <autoFilter ref="K49:N51"/>
  <tableColumns count="4">
    <tableColumn id="1" name="Description" dataDxfId="4"/>
    <tableColumn id="2" name="Protein"/>
    <tableColumn id="3" name="Carbs"/>
    <tableColumn id="4" name="Fats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A2:F20" totalsRowShown="0">
  <autoFilter ref="A2:F20"/>
  <tableColumns count="6">
    <tableColumn id="1" name="Food"/>
    <tableColumn id="2" name="100 G" dataDxfId="3"/>
    <tableColumn id="3" name="Unit"/>
    <tableColumn id="4" name="# Unit/Day" dataDxfId="2"/>
    <tableColumn id="7" name="# Unit/Meal" dataDxfId="1">
      <calculatedColumnFormula>Table2[[#This Row],['# Unit/Day]]/3</calculatedColumnFormula>
    </tableColumn>
    <tableColumn id="8" name="# Unit/Meal X4" dataDxfId="0">
      <calculatedColumnFormula>Table2[[#This Row],['# Unit/Day]]/4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8"/>
  <sheetViews>
    <sheetView tabSelected="1" topLeftCell="A54" zoomScale="70" zoomScaleNormal="70" zoomScalePageLayoutView="70" workbookViewId="0">
      <pane xSplit="1" topLeftCell="B1" activePane="topRight" state="frozen"/>
      <selection pane="topRight" activeCell="L64" sqref="L64"/>
    </sheetView>
  </sheetViews>
  <sheetFormatPr baseColWidth="10" defaultColWidth="8.83203125" defaultRowHeight="15" x14ac:dyDescent="0.2"/>
  <cols>
    <col min="1" max="1" width="20.6640625" style="1" bestFit="1" customWidth="1"/>
    <col min="2" max="2" width="16" style="1" bestFit="1" customWidth="1"/>
    <col min="3" max="3" width="62.5" style="1" bestFit="1" customWidth="1"/>
    <col min="4" max="4" width="19.5" style="1" bestFit="1" customWidth="1"/>
    <col min="5" max="5" width="20.1640625" style="1" bestFit="1" customWidth="1"/>
    <col min="6" max="6" width="19.83203125" style="1" bestFit="1" customWidth="1"/>
    <col min="7" max="7" width="16.5" style="1" bestFit="1" customWidth="1"/>
    <col min="8" max="8" width="16" style="1" bestFit="1" customWidth="1"/>
    <col min="9" max="9" width="21.6640625" style="1" bestFit="1" customWidth="1"/>
    <col min="10" max="23" width="16" style="1" bestFit="1" customWidth="1"/>
    <col min="24" max="24" width="16.5" style="1" bestFit="1" customWidth="1"/>
    <col min="25" max="30" width="16" style="1" bestFit="1" customWidth="1"/>
    <col min="31" max="31" width="12.1640625" style="1" bestFit="1" customWidth="1"/>
    <col min="32" max="35" width="16" style="1" bestFit="1" customWidth="1"/>
    <col min="36" max="36" width="16.5" style="1" bestFit="1" customWidth="1"/>
    <col min="37" max="52" width="16" style="1" bestFit="1" customWidth="1"/>
    <col min="53" max="53" width="18.5" style="1" bestFit="1" customWidth="1"/>
    <col min="54" max="54" width="10.33203125" style="1" bestFit="1" customWidth="1"/>
    <col min="55" max="55" width="21.5" style="1" bestFit="1" customWidth="1"/>
    <col min="56" max="56" width="20.33203125" style="1" bestFit="1" customWidth="1"/>
    <col min="57" max="57" width="3" style="1" bestFit="1" customWidth="1"/>
    <col min="58" max="16384" width="8.83203125" style="1"/>
  </cols>
  <sheetData>
    <row r="1" spans="1:57" ht="16" thickBot="1" x14ac:dyDescent="0.25">
      <c r="A1" s="37" t="s">
        <v>122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</row>
    <row r="2" spans="1:57" x14ac:dyDescent="0.2">
      <c r="A2" s="25" t="s">
        <v>120</v>
      </c>
      <c r="B2" s="31" t="s">
        <v>168</v>
      </c>
      <c r="C2" s="31" t="s">
        <v>32</v>
      </c>
      <c r="D2" s="31" t="s">
        <v>5</v>
      </c>
      <c r="E2" s="31" t="s">
        <v>163</v>
      </c>
      <c r="F2" s="31" t="s">
        <v>33</v>
      </c>
      <c r="G2" s="31" t="s">
        <v>34</v>
      </c>
      <c r="H2" s="31" t="s">
        <v>7</v>
      </c>
      <c r="I2" s="31" t="s">
        <v>35</v>
      </c>
      <c r="J2" s="31" t="s">
        <v>36</v>
      </c>
      <c r="K2" s="31" t="s">
        <v>37</v>
      </c>
      <c r="L2" s="31" t="s">
        <v>38</v>
      </c>
      <c r="M2" s="31" t="s">
        <v>39</v>
      </c>
      <c r="N2" s="31" t="s">
        <v>0</v>
      </c>
      <c r="O2" s="31" t="s">
        <v>2</v>
      </c>
      <c r="P2" s="31" t="s">
        <v>3</v>
      </c>
      <c r="Q2" s="31" t="s">
        <v>40</v>
      </c>
      <c r="R2" s="31" t="s">
        <v>6</v>
      </c>
      <c r="S2" s="31" t="s">
        <v>41</v>
      </c>
      <c r="T2" s="31" t="s">
        <v>9</v>
      </c>
      <c r="U2" s="31" t="s">
        <v>1</v>
      </c>
      <c r="V2" s="31" t="s">
        <v>4</v>
      </c>
      <c r="W2" s="31" t="s">
        <v>8</v>
      </c>
      <c r="X2" s="31" t="s">
        <v>42</v>
      </c>
      <c r="Y2" s="31" t="s">
        <v>29</v>
      </c>
      <c r="Z2" s="31" t="s">
        <v>30</v>
      </c>
      <c r="AA2" s="31" t="s">
        <v>31</v>
      </c>
      <c r="AB2" s="31" t="s">
        <v>43</v>
      </c>
      <c r="AC2" s="31" t="s">
        <v>44</v>
      </c>
      <c r="AD2" s="31" t="s">
        <v>45</v>
      </c>
      <c r="AE2" s="31" t="s">
        <v>46</v>
      </c>
      <c r="AF2" s="31" t="s">
        <v>47</v>
      </c>
      <c r="AG2" s="31" t="s">
        <v>48</v>
      </c>
      <c r="AH2" s="31" t="s">
        <v>49</v>
      </c>
      <c r="AI2" s="31" t="s">
        <v>50</v>
      </c>
      <c r="AJ2" s="31" t="s">
        <v>51</v>
      </c>
      <c r="AK2" s="31" t="s">
        <v>52</v>
      </c>
      <c r="AL2" s="31" t="s">
        <v>53</v>
      </c>
      <c r="AM2" s="31" t="s">
        <v>54</v>
      </c>
      <c r="AN2" s="31" t="s">
        <v>55</v>
      </c>
      <c r="AO2" s="31" t="s">
        <v>56</v>
      </c>
      <c r="AP2" s="31" t="s">
        <v>57</v>
      </c>
      <c r="AQ2" s="31" t="s">
        <v>58</v>
      </c>
      <c r="AR2" s="31" t="s">
        <v>59</v>
      </c>
      <c r="AS2" s="31" t="s">
        <v>60</v>
      </c>
      <c r="AT2" s="31" t="s">
        <v>61</v>
      </c>
      <c r="AU2" s="31" t="s">
        <v>62</v>
      </c>
      <c r="AV2" s="31" t="s">
        <v>63</v>
      </c>
      <c r="AW2" s="31" t="s">
        <v>64</v>
      </c>
      <c r="AX2" s="31" t="s">
        <v>65</v>
      </c>
      <c r="AY2" s="31" t="s">
        <v>66</v>
      </c>
      <c r="AZ2" s="31" t="s">
        <v>67</v>
      </c>
      <c r="BA2" s="31" t="s">
        <v>68</v>
      </c>
      <c r="BB2" s="31" t="s">
        <v>69</v>
      </c>
      <c r="BC2" s="32" t="s">
        <v>70</v>
      </c>
    </row>
    <row r="3" spans="1:57" x14ac:dyDescent="0.2">
      <c r="A3" s="9" t="s">
        <v>10</v>
      </c>
      <c r="B3" s="18" t="s">
        <v>100</v>
      </c>
      <c r="C3" s="18" t="s">
        <v>101</v>
      </c>
      <c r="D3" s="1">
        <v>105</v>
      </c>
      <c r="E3" s="1">
        <v>126</v>
      </c>
      <c r="F3" s="18">
        <v>65.739999999999995</v>
      </c>
      <c r="G3" s="18">
        <v>132</v>
      </c>
      <c r="H3" s="18">
        <v>8.86</v>
      </c>
      <c r="I3" s="18">
        <v>0.54</v>
      </c>
      <c r="J3" s="18">
        <v>1.1499999999999999</v>
      </c>
      <c r="K3" s="18">
        <v>23.71</v>
      </c>
      <c r="L3" s="18">
        <v>8.6999999999999993</v>
      </c>
      <c r="M3" s="19"/>
      <c r="N3" s="18">
        <v>27</v>
      </c>
      <c r="O3" s="18">
        <v>2.1</v>
      </c>
      <c r="P3" s="18">
        <v>70</v>
      </c>
      <c r="Q3" s="18">
        <v>140</v>
      </c>
      <c r="R3" s="18">
        <v>355</v>
      </c>
      <c r="S3" s="18">
        <v>1</v>
      </c>
      <c r="T3" s="18">
        <v>1.1200000000000001</v>
      </c>
      <c r="U3" s="18">
        <v>0.20899999999999999</v>
      </c>
      <c r="V3" s="18">
        <v>0.44400000000000001</v>
      </c>
      <c r="W3" s="18">
        <v>1.2</v>
      </c>
      <c r="X3" s="18">
        <v>0</v>
      </c>
      <c r="Y3" s="18">
        <v>0.24399999999999999</v>
      </c>
      <c r="Z3" s="18">
        <v>5.8999999999999997E-2</v>
      </c>
      <c r="AA3" s="18">
        <v>0.505</v>
      </c>
      <c r="AB3" s="18">
        <v>0.24199999999999999</v>
      </c>
      <c r="AC3" s="18">
        <v>6.9000000000000006E-2</v>
      </c>
      <c r="AD3" s="18">
        <v>149</v>
      </c>
      <c r="AE3" s="18">
        <v>0</v>
      </c>
      <c r="AF3" s="18">
        <v>149</v>
      </c>
      <c r="AG3" s="18">
        <v>149</v>
      </c>
      <c r="AH3" s="19"/>
      <c r="AI3" s="18">
        <v>0</v>
      </c>
      <c r="AJ3" s="18">
        <v>6</v>
      </c>
      <c r="AK3" s="18">
        <v>0</v>
      </c>
      <c r="AL3" s="18">
        <v>0</v>
      </c>
      <c r="AM3" s="19"/>
      <c r="AN3" s="19"/>
      <c r="AO3" s="19"/>
      <c r="AP3" s="19"/>
      <c r="AQ3" s="19"/>
      <c r="AR3" s="19"/>
      <c r="AS3" s="18">
        <v>0</v>
      </c>
      <c r="AT3" s="18">
        <v>0</v>
      </c>
      <c r="AU3" s="19"/>
      <c r="AV3" s="18">
        <v>0.13900000000000001</v>
      </c>
      <c r="AW3" s="18">
        <v>4.7E-2</v>
      </c>
      <c r="AX3" s="18">
        <v>0.23100000000000001</v>
      </c>
      <c r="AY3" s="18">
        <v>0</v>
      </c>
      <c r="AZ3" s="18">
        <v>172</v>
      </c>
      <c r="BA3" s="18" t="s">
        <v>73</v>
      </c>
      <c r="BB3" s="19"/>
      <c r="BC3" s="33"/>
    </row>
    <row r="4" spans="1:57" x14ac:dyDescent="0.2">
      <c r="A4" s="9" t="s">
        <v>188</v>
      </c>
      <c r="B4" s="18" t="s">
        <v>184</v>
      </c>
      <c r="C4" s="18" t="s">
        <v>185</v>
      </c>
      <c r="D4" s="18"/>
      <c r="E4" s="18"/>
      <c r="F4" s="18">
        <v>94.5</v>
      </c>
      <c r="G4" s="18">
        <v>18</v>
      </c>
      <c r="H4" s="18">
        <v>0.88</v>
      </c>
      <c r="I4" s="18">
        <v>0.2</v>
      </c>
      <c r="J4" s="18">
        <v>0.5</v>
      </c>
      <c r="K4" s="18">
        <v>3.92</v>
      </c>
      <c r="L4" s="18">
        <v>1.2</v>
      </c>
      <c r="M4" s="18">
        <v>2.63</v>
      </c>
      <c r="N4" s="18">
        <v>10</v>
      </c>
      <c r="O4" s="18">
        <v>0.27</v>
      </c>
      <c r="P4" s="18">
        <v>11</v>
      </c>
      <c r="Q4" s="18">
        <v>24</v>
      </c>
      <c r="R4" s="18">
        <v>237</v>
      </c>
      <c r="S4" s="18">
        <v>5</v>
      </c>
      <c r="T4" s="18">
        <v>0.17</v>
      </c>
      <c r="U4" s="18">
        <v>5.8999999999999997E-2</v>
      </c>
      <c r="V4" s="18">
        <v>0.114</v>
      </c>
      <c r="W4" s="18">
        <v>0</v>
      </c>
      <c r="X4" s="18">
        <v>12.7</v>
      </c>
      <c r="Y4" s="18">
        <v>3.6999999999999998E-2</v>
      </c>
      <c r="Z4" s="18">
        <v>1.9E-2</v>
      </c>
      <c r="AA4" s="18">
        <v>0.59399999999999997</v>
      </c>
      <c r="AB4" s="18">
        <v>8.8999999999999996E-2</v>
      </c>
      <c r="AC4" s="18">
        <v>0.08</v>
      </c>
      <c r="AD4" s="18">
        <v>15</v>
      </c>
      <c r="AE4" s="18">
        <v>0</v>
      </c>
      <c r="AF4" s="18">
        <v>15</v>
      </c>
      <c r="AG4" s="18">
        <v>15</v>
      </c>
      <c r="AH4" s="18">
        <v>6.7</v>
      </c>
      <c r="AI4" s="18">
        <v>0</v>
      </c>
      <c r="AJ4" s="18">
        <v>833</v>
      </c>
      <c r="AK4" s="18">
        <v>42</v>
      </c>
      <c r="AL4" s="18">
        <v>0</v>
      </c>
      <c r="AM4" s="18">
        <v>101</v>
      </c>
      <c r="AN4" s="18">
        <v>449</v>
      </c>
      <c r="AO4" s="18">
        <v>0</v>
      </c>
      <c r="AP4" s="18">
        <v>2573</v>
      </c>
      <c r="AQ4" s="18">
        <v>123</v>
      </c>
      <c r="AR4" s="18">
        <v>0.54</v>
      </c>
      <c r="AS4" s="18">
        <v>0</v>
      </c>
      <c r="AT4" s="18">
        <v>0</v>
      </c>
      <c r="AU4" s="18">
        <v>7.9</v>
      </c>
      <c r="AV4" s="18">
        <v>2.8000000000000001E-2</v>
      </c>
      <c r="AW4" s="18">
        <v>3.1E-2</v>
      </c>
      <c r="AX4" s="18">
        <v>8.3000000000000004E-2</v>
      </c>
      <c r="AY4" s="18">
        <v>0</v>
      </c>
      <c r="AZ4" s="18">
        <v>149</v>
      </c>
      <c r="BA4" s="18" t="s">
        <v>186</v>
      </c>
      <c r="BB4" s="18">
        <v>180</v>
      </c>
      <c r="BC4" s="34" t="s">
        <v>187</v>
      </c>
      <c r="BD4" s="18"/>
      <c r="BE4" s="19"/>
    </row>
    <row r="5" spans="1:57" x14ac:dyDescent="0.2">
      <c r="A5" s="9" t="s">
        <v>160</v>
      </c>
      <c r="B5" s="18" t="s">
        <v>157</v>
      </c>
      <c r="C5" s="18" t="s">
        <v>158</v>
      </c>
      <c r="D5" s="18">
        <v>190</v>
      </c>
      <c r="E5" s="18">
        <v>10535</v>
      </c>
      <c r="F5" s="18">
        <v>1.95</v>
      </c>
      <c r="G5" s="18">
        <v>581</v>
      </c>
      <c r="H5" s="18">
        <v>26.35</v>
      </c>
      <c r="I5" s="18">
        <v>49.3</v>
      </c>
      <c r="J5" s="18">
        <v>3.48</v>
      </c>
      <c r="K5" s="18">
        <v>18.920000000000002</v>
      </c>
      <c r="L5" s="18">
        <v>6.9</v>
      </c>
      <c r="M5" s="18">
        <v>4.16</v>
      </c>
      <c r="N5" s="18">
        <v>88</v>
      </c>
      <c r="O5" s="18">
        <v>1.83</v>
      </c>
      <c r="P5" s="18">
        <v>185</v>
      </c>
      <c r="Q5" s="18">
        <v>517</v>
      </c>
      <c r="R5" s="18">
        <v>682</v>
      </c>
      <c r="S5" s="18">
        <v>6</v>
      </c>
      <c r="T5" s="18">
        <v>6.63</v>
      </c>
      <c r="U5" s="18">
        <v>1.3</v>
      </c>
      <c r="V5" s="18">
        <v>2.0619999999999998</v>
      </c>
      <c r="W5" s="18">
        <v>7.5</v>
      </c>
      <c r="X5" s="18">
        <v>0</v>
      </c>
      <c r="Y5" s="18">
        <v>0.253</v>
      </c>
      <c r="Z5" s="18">
        <v>0.108</v>
      </c>
      <c r="AA5" s="18">
        <v>14.276999999999999</v>
      </c>
      <c r="AB5" s="18">
        <v>1.39</v>
      </c>
      <c r="AC5" s="18">
        <v>0.255</v>
      </c>
      <c r="AD5" s="18">
        <v>126</v>
      </c>
      <c r="AE5" s="18">
        <v>0</v>
      </c>
      <c r="AF5" s="18">
        <v>126</v>
      </c>
      <c r="AG5" s="18">
        <v>126</v>
      </c>
      <c r="AH5" s="18">
        <v>55</v>
      </c>
      <c r="AI5" s="18">
        <v>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18">
        <v>6.91</v>
      </c>
      <c r="AS5" s="18">
        <v>0</v>
      </c>
      <c r="AT5" s="18">
        <v>0</v>
      </c>
      <c r="AU5" s="18">
        <v>0</v>
      </c>
      <c r="AV5" s="18">
        <v>6.843</v>
      </c>
      <c r="AW5" s="18">
        <v>24.462</v>
      </c>
      <c r="AX5" s="18">
        <v>15.58</v>
      </c>
      <c r="AY5" s="18">
        <v>0</v>
      </c>
      <c r="AZ5" s="18">
        <v>133</v>
      </c>
      <c r="BA5" s="18" t="s">
        <v>77</v>
      </c>
      <c r="BB5" s="18">
        <v>28.35</v>
      </c>
      <c r="BC5" s="34" t="s">
        <v>159</v>
      </c>
    </row>
    <row r="6" spans="1:57" x14ac:dyDescent="0.2">
      <c r="A6" s="9" t="s">
        <v>156</v>
      </c>
      <c r="B6" s="18" t="s">
        <v>153</v>
      </c>
      <c r="C6" s="18" t="s">
        <v>154</v>
      </c>
      <c r="D6" s="18">
        <v>761</v>
      </c>
      <c r="E6" s="18">
        <v>9763</v>
      </c>
      <c r="F6" s="18">
        <v>0</v>
      </c>
      <c r="G6" s="18">
        <v>884</v>
      </c>
      <c r="H6" s="18">
        <v>0</v>
      </c>
      <c r="I6" s="18">
        <v>100</v>
      </c>
      <c r="J6" s="18">
        <v>0</v>
      </c>
      <c r="K6" s="18">
        <v>0</v>
      </c>
      <c r="L6" s="18">
        <v>0</v>
      </c>
      <c r="M6" s="18">
        <v>0</v>
      </c>
      <c r="N6" s="18">
        <v>1</v>
      </c>
      <c r="O6" s="18">
        <v>0.56000000000000005</v>
      </c>
      <c r="P6" s="18">
        <v>0</v>
      </c>
      <c r="Q6" s="18">
        <v>0</v>
      </c>
      <c r="R6" s="18">
        <v>1</v>
      </c>
      <c r="S6" s="18">
        <v>2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0.3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14.35</v>
      </c>
      <c r="AS6" s="18">
        <v>0</v>
      </c>
      <c r="AT6" s="18">
        <v>0</v>
      </c>
      <c r="AU6" s="18">
        <v>60.2</v>
      </c>
      <c r="AV6" s="18">
        <v>13.808</v>
      </c>
      <c r="AW6" s="18">
        <v>72.960999999999999</v>
      </c>
      <c r="AX6" s="18">
        <v>10.523</v>
      </c>
      <c r="AY6" s="18">
        <v>0</v>
      </c>
      <c r="AZ6" s="18">
        <v>13.5</v>
      </c>
      <c r="BA6" s="18" t="s">
        <v>155</v>
      </c>
      <c r="BB6" s="18">
        <v>216</v>
      </c>
      <c r="BC6" s="34" t="s">
        <v>73</v>
      </c>
    </row>
    <row r="7" spans="1:57" x14ac:dyDescent="0.2">
      <c r="A7" s="9" t="s">
        <v>11</v>
      </c>
      <c r="B7" s="18" t="s">
        <v>79</v>
      </c>
      <c r="C7" s="18" t="s">
        <v>80</v>
      </c>
      <c r="D7" s="18">
        <v>82</v>
      </c>
      <c r="E7" s="18">
        <v>0</v>
      </c>
      <c r="F7" s="18">
        <v>90.17</v>
      </c>
      <c r="G7" s="18">
        <v>29</v>
      </c>
      <c r="H7" s="18">
        <v>3.63</v>
      </c>
      <c r="I7" s="18">
        <v>0.56999999999999995</v>
      </c>
      <c r="J7" s="18">
        <v>1.43</v>
      </c>
      <c r="K7" s="18">
        <v>4.21</v>
      </c>
      <c r="L7" s="18">
        <v>2.9</v>
      </c>
      <c r="M7" s="18">
        <v>0.65</v>
      </c>
      <c r="N7" s="18">
        <v>129</v>
      </c>
      <c r="O7" s="18">
        <v>1.89</v>
      </c>
      <c r="P7" s="18">
        <v>75</v>
      </c>
      <c r="Q7" s="18">
        <v>49</v>
      </c>
      <c r="R7" s="18">
        <v>346</v>
      </c>
      <c r="S7" s="18">
        <v>74</v>
      </c>
      <c r="T7" s="18">
        <v>0.56000000000000005</v>
      </c>
      <c r="U7" s="18">
        <v>0.14399999999999999</v>
      </c>
      <c r="V7" s="18">
        <v>0.70399999999999996</v>
      </c>
      <c r="W7" s="18">
        <v>6</v>
      </c>
      <c r="X7" s="18">
        <v>5.5</v>
      </c>
      <c r="Y7" s="18">
        <v>9.4E-2</v>
      </c>
      <c r="Z7" s="18">
        <v>0.224</v>
      </c>
      <c r="AA7" s="18">
        <v>0.50700000000000001</v>
      </c>
      <c r="AB7" s="18">
        <v>9.4E-2</v>
      </c>
      <c r="AC7" s="18">
        <v>0.17199999999999999</v>
      </c>
      <c r="AD7" s="18">
        <v>145</v>
      </c>
      <c r="AE7" s="18">
        <v>0</v>
      </c>
      <c r="AF7" s="18">
        <v>145</v>
      </c>
      <c r="AG7" s="18">
        <v>145</v>
      </c>
      <c r="AH7" s="18">
        <v>22.1</v>
      </c>
      <c r="AI7" s="18">
        <v>0</v>
      </c>
      <c r="AJ7" s="18">
        <v>11726</v>
      </c>
      <c r="AK7" s="18">
        <v>586</v>
      </c>
      <c r="AL7" s="18">
        <v>0</v>
      </c>
      <c r="AM7" s="18">
        <v>0</v>
      </c>
      <c r="AN7" s="18">
        <v>7035</v>
      </c>
      <c r="AO7" s="18">
        <v>0</v>
      </c>
      <c r="AP7" s="18">
        <v>0</v>
      </c>
      <c r="AQ7" s="18">
        <v>12651</v>
      </c>
      <c r="AR7" s="18">
        <v>2.9</v>
      </c>
      <c r="AS7" s="18">
        <v>0</v>
      </c>
      <c r="AT7" s="18">
        <v>0</v>
      </c>
      <c r="AU7" s="18">
        <v>372</v>
      </c>
      <c r="AV7" s="18">
        <v>4.1000000000000002E-2</v>
      </c>
      <c r="AW7" s="18">
        <v>0</v>
      </c>
      <c r="AX7" s="18">
        <v>8.2000000000000003E-2</v>
      </c>
      <c r="AY7" s="18">
        <v>0</v>
      </c>
      <c r="AZ7" s="18">
        <v>156</v>
      </c>
      <c r="BA7" s="18" t="s">
        <v>73</v>
      </c>
      <c r="BB7" s="18">
        <v>284</v>
      </c>
      <c r="BC7" s="34" t="s">
        <v>74</v>
      </c>
    </row>
    <row r="8" spans="1:57" x14ac:dyDescent="0.2">
      <c r="A8" s="9" t="s">
        <v>12</v>
      </c>
      <c r="B8" s="18" t="s">
        <v>81</v>
      </c>
      <c r="C8" s="18" t="s">
        <v>82</v>
      </c>
      <c r="D8" s="1">
        <v>180</v>
      </c>
      <c r="E8" s="1">
        <v>138</v>
      </c>
      <c r="F8" s="18">
        <v>84.46</v>
      </c>
      <c r="G8" s="18">
        <v>50</v>
      </c>
      <c r="H8" s="18">
        <v>3.3</v>
      </c>
      <c r="I8" s="18">
        <v>0.7</v>
      </c>
      <c r="J8" s="18">
        <v>1.53</v>
      </c>
      <c r="K8" s="18">
        <v>10.01</v>
      </c>
      <c r="L8" s="18">
        <v>2</v>
      </c>
      <c r="M8" s="19"/>
      <c r="N8" s="18">
        <v>135</v>
      </c>
      <c r="O8" s="18">
        <v>1.7</v>
      </c>
      <c r="P8" s="18">
        <v>34</v>
      </c>
      <c r="Q8" s="18">
        <v>56</v>
      </c>
      <c r="R8" s="18">
        <v>447</v>
      </c>
      <c r="S8" s="18">
        <v>43</v>
      </c>
      <c r="T8" s="18">
        <v>0.44</v>
      </c>
      <c r="U8" s="18">
        <v>0.28999999999999998</v>
      </c>
      <c r="V8" s="18">
        <v>0.77400000000000002</v>
      </c>
      <c r="W8" s="18">
        <v>0.9</v>
      </c>
      <c r="X8" s="18">
        <v>120</v>
      </c>
      <c r="Y8" s="18">
        <v>0.11</v>
      </c>
      <c r="Z8" s="18">
        <v>0.13</v>
      </c>
      <c r="AA8" s="18">
        <v>1</v>
      </c>
      <c r="AB8" s="18">
        <v>9.0999999999999998E-2</v>
      </c>
      <c r="AC8" s="18">
        <v>0.27100000000000002</v>
      </c>
      <c r="AD8" s="18">
        <v>29</v>
      </c>
      <c r="AE8" s="18">
        <v>0</v>
      </c>
      <c r="AF8" s="18">
        <v>29</v>
      </c>
      <c r="AG8" s="18">
        <v>29</v>
      </c>
      <c r="AH8" s="19"/>
      <c r="AI8" s="18">
        <v>0</v>
      </c>
      <c r="AJ8" s="18">
        <v>15376</v>
      </c>
      <c r="AK8" s="18">
        <v>769</v>
      </c>
      <c r="AL8" s="18">
        <v>0</v>
      </c>
      <c r="AM8" s="18">
        <v>0</v>
      </c>
      <c r="AN8" s="18">
        <v>9226</v>
      </c>
      <c r="AO8" s="18">
        <v>0</v>
      </c>
      <c r="AP8" s="18">
        <v>0</v>
      </c>
      <c r="AQ8" s="18">
        <v>39550</v>
      </c>
      <c r="AR8" s="19"/>
      <c r="AS8" s="18">
        <v>0</v>
      </c>
      <c r="AT8" s="18">
        <v>0</v>
      </c>
      <c r="AU8" s="18">
        <v>817</v>
      </c>
      <c r="AV8" s="18">
        <v>9.0999999999999998E-2</v>
      </c>
      <c r="AW8" s="18">
        <v>5.1999999999999998E-2</v>
      </c>
      <c r="AX8" s="18">
        <v>0.33800000000000002</v>
      </c>
      <c r="AY8" s="18">
        <v>0</v>
      </c>
      <c r="AZ8" s="18">
        <v>67</v>
      </c>
      <c r="BA8" s="18" t="s">
        <v>77</v>
      </c>
      <c r="BB8" s="19"/>
      <c r="BC8" s="33"/>
    </row>
    <row r="9" spans="1:57" x14ac:dyDescent="0.2">
      <c r="A9" s="9" t="s">
        <v>13</v>
      </c>
      <c r="B9" s="18" t="s">
        <v>71</v>
      </c>
      <c r="C9" s="18" t="s">
        <v>72</v>
      </c>
      <c r="D9" s="18">
        <v>20</v>
      </c>
      <c r="E9" s="18">
        <v>113</v>
      </c>
      <c r="F9" s="18">
        <v>89.93</v>
      </c>
      <c r="G9" s="18">
        <v>39</v>
      </c>
      <c r="H9" s="18">
        <v>1.79</v>
      </c>
      <c r="I9" s="18">
        <v>0.21</v>
      </c>
      <c r="J9" s="18">
        <v>0.53</v>
      </c>
      <c r="K9" s="18">
        <v>7.54</v>
      </c>
      <c r="L9" s="18">
        <v>2.6</v>
      </c>
      <c r="M9" s="18">
        <v>2.21</v>
      </c>
      <c r="N9" s="18">
        <v>42</v>
      </c>
      <c r="O9" s="18">
        <v>0.85</v>
      </c>
      <c r="P9" s="18">
        <v>22</v>
      </c>
      <c r="Q9" s="18">
        <v>32</v>
      </c>
      <c r="R9" s="18">
        <v>186</v>
      </c>
      <c r="S9" s="18">
        <v>3</v>
      </c>
      <c r="T9" s="18">
        <v>0.26</v>
      </c>
      <c r="U9" s="18">
        <v>4.9000000000000002E-2</v>
      </c>
      <c r="V9" s="18">
        <v>0.36899999999999999</v>
      </c>
      <c r="W9" s="18">
        <v>0.6</v>
      </c>
      <c r="X9" s="18">
        <v>12.9</v>
      </c>
      <c r="Y9" s="18">
        <v>9.8000000000000004E-2</v>
      </c>
      <c r="Z9" s="18">
        <v>9.0999999999999998E-2</v>
      </c>
      <c r="AA9" s="18">
        <v>0.496</v>
      </c>
      <c r="AB9" s="18">
        <v>0.104</v>
      </c>
      <c r="AC9" s="18">
        <v>4.3999999999999997E-2</v>
      </c>
      <c r="AD9" s="18">
        <v>15</v>
      </c>
      <c r="AE9" s="18">
        <v>0</v>
      </c>
      <c r="AF9" s="18">
        <v>15</v>
      </c>
      <c r="AG9" s="18">
        <v>15</v>
      </c>
      <c r="AH9" s="19"/>
      <c r="AI9" s="18">
        <v>0</v>
      </c>
      <c r="AJ9" s="18">
        <v>547</v>
      </c>
      <c r="AK9" s="18">
        <v>27</v>
      </c>
      <c r="AL9" s="18">
        <v>0</v>
      </c>
      <c r="AM9" s="18">
        <v>72</v>
      </c>
      <c r="AN9" s="18">
        <v>292</v>
      </c>
      <c r="AO9" s="18">
        <v>0</v>
      </c>
      <c r="AP9" s="18">
        <v>0</v>
      </c>
      <c r="AQ9" s="18">
        <v>663</v>
      </c>
      <c r="AR9" s="18">
        <v>0.42</v>
      </c>
      <c r="AS9" s="18">
        <v>0</v>
      </c>
      <c r="AT9" s="18">
        <v>0</v>
      </c>
      <c r="AU9" s="18">
        <v>44.8</v>
      </c>
      <c r="AV9" s="18">
        <v>4.7E-2</v>
      </c>
      <c r="AW9" s="18">
        <v>8.0000000000000002E-3</v>
      </c>
      <c r="AX9" s="18">
        <v>0.108</v>
      </c>
      <c r="AY9" s="18">
        <v>0</v>
      </c>
      <c r="AZ9" s="18">
        <v>121.02</v>
      </c>
      <c r="BA9" s="18" t="s">
        <v>73</v>
      </c>
      <c r="BB9" s="18">
        <v>284</v>
      </c>
      <c r="BC9" s="34" t="s">
        <v>74</v>
      </c>
    </row>
    <row r="10" spans="1:57" x14ac:dyDescent="0.2">
      <c r="A10" s="9" t="s">
        <v>14</v>
      </c>
      <c r="B10" s="18" t="s">
        <v>75</v>
      </c>
      <c r="C10" s="18" t="s">
        <v>76</v>
      </c>
      <c r="D10" s="18">
        <v>2</v>
      </c>
      <c r="E10" s="18">
        <v>115</v>
      </c>
      <c r="F10" s="18">
        <v>88.29</v>
      </c>
      <c r="G10" s="18">
        <v>41</v>
      </c>
      <c r="H10" s="18">
        <v>0.93</v>
      </c>
      <c r="I10" s="18">
        <v>0.24</v>
      </c>
      <c r="J10" s="18">
        <v>0.97</v>
      </c>
      <c r="K10" s="18">
        <v>9.58</v>
      </c>
      <c r="L10" s="18">
        <v>2.8</v>
      </c>
      <c r="M10" s="18">
        <v>4.74</v>
      </c>
      <c r="N10" s="18">
        <v>33</v>
      </c>
      <c r="O10" s="18">
        <v>0.3</v>
      </c>
      <c r="P10" s="18">
        <v>12</v>
      </c>
      <c r="Q10" s="18">
        <v>35</v>
      </c>
      <c r="R10" s="18">
        <v>320</v>
      </c>
      <c r="S10" s="18">
        <v>69</v>
      </c>
      <c r="T10" s="18">
        <v>0.24</v>
      </c>
      <c r="U10" s="18">
        <v>4.4999999999999998E-2</v>
      </c>
      <c r="V10" s="18">
        <v>0.14299999999999999</v>
      </c>
      <c r="W10" s="18">
        <v>0.1</v>
      </c>
      <c r="X10" s="18">
        <v>5.9</v>
      </c>
      <c r="Y10" s="18">
        <v>6.6000000000000003E-2</v>
      </c>
      <c r="Z10" s="18">
        <v>5.8000000000000003E-2</v>
      </c>
      <c r="AA10" s="18">
        <v>0.98299999999999998</v>
      </c>
      <c r="AB10" s="18">
        <v>0.27300000000000002</v>
      </c>
      <c r="AC10" s="18">
        <v>0.13800000000000001</v>
      </c>
      <c r="AD10" s="18">
        <v>19</v>
      </c>
      <c r="AE10" s="18">
        <v>0</v>
      </c>
      <c r="AF10" s="18">
        <v>19</v>
      </c>
      <c r="AG10" s="18">
        <v>19</v>
      </c>
      <c r="AH10" s="18">
        <v>8.8000000000000007</v>
      </c>
      <c r="AI10" s="18">
        <v>0</v>
      </c>
      <c r="AJ10" s="18">
        <v>16706</v>
      </c>
      <c r="AK10" s="18">
        <v>835</v>
      </c>
      <c r="AL10" s="18">
        <v>0</v>
      </c>
      <c r="AM10" s="18">
        <v>3477</v>
      </c>
      <c r="AN10" s="18">
        <v>8285</v>
      </c>
      <c r="AO10" s="18">
        <v>0</v>
      </c>
      <c r="AP10" s="18">
        <v>1</v>
      </c>
      <c r="AQ10" s="18">
        <v>256</v>
      </c>
      <c r="AR10" s="18">
        <v>0.66</v>
      </c>
      <c r="AS10" s="18">
        <v>0</v>
      </c>
      <c r="AT10" s="18">
        <v>0</v>
      </c>
      <c r="AU10" s="18">
        <v>13.2</v>
      </c>
      <c r="AV10" s="18">
        <v>3.6999999999999998E-2</v>
      </c>
      <c r="AW10" s="18">
        <v>1.4E-2</v>
      </c>
      <c r="AX10" s="18">
        <v>0.11700000000000001</v>
      </c>
      <c r="AY10" s="18">
        <v>0</v>
      </c>
      <c r="AZ10" s="18">
        <v>128</v>
      </c>
      <c r="BA10" s="18" t="s">
        <v>77</v>
      </c>
      <c r="BB10" s="18">
        <v>110</v>
      </c>
      <c r="BC10" s="34" t="s">
        <v>78</v>
      </c>
    </row>
    <row r="11" spans="1:57" x14ac:dyDescent="0.2">
      <c r="A11" s="9" t="s">
        <v>15</v>
      </c>
      <c r="B11" s="18" t="s">
        <v>83</v>
      </c>
      <c r="C11" s="18" t="s">
        <v>84</v>
      </c>
      <c r="D11" s="18"/>
      <c r="E11" s="18"/>
      <c r="F11" s="18">
        <v>91.81</v>
      </c>
      <c r="G11" s="18">
        <v>27</v>
      </c>
      <c r="H11" s="18">
        <v>1.66</v>
      </c>
      <c r="I11" s="18">
        <v>0.45</v>
      </c>
      <c r="J11" s="18">
        <v>0.73</v>
      </c>
      <c r="K11" s="18">
        <v>5.35</v>
      </c>
      <c r="L11" s="18">
        <v>3.4</v>
      </c>
      <c r="M11" s="18">
        <v>1.95</v>
      </c>
      <c r="N11" s="18">
        <v>14</v>
      </c>
      <c r="O11" s="18">
        <v>0.46</v>
      </c>
      <c r="P11" s="18">
        <v>17</v>
      </c>
      <c r="Q11" s="18">
        <v>32</v>
      </c>
      <c r="R11" s="18">
        <v>256</v>
      </c>
      <c r="S11" s="18">
        <v>13</v>
      </c>
      <c r="T11" s="18">
        <v>0.25</v>
      </c>
      <c r="U11" s="18">
        <v>9.4E-2</v>
      </c>
      <c r="V11" s="18">
        <v>0.1</v>
      </c>
      <c r="W11" s="18">
        <v>0.3</v>
      </c>
      <c r="X11" s="18">
        <v>82.7</v>
      </c>
      <c r="Y11" s="18">
        <v>8.1000000000000003E-2</v>
      </c>
      <c r="Z11" s="18">
        <v>5.3999999999999999E-2</v>
      </c>
      <c r="AA11" s="18">
        <v>1.242</v>
      </c>
      <c r="AB11" s="18">
        <v>0.26500000000000001</v>
      </c>
      <c r="AC11" s="18">
        <v>0.35699999999999998</v>
      </c>
      <c r="AD11" s="18">
        <v>29</v>
      </c>
      <c r="AE11" s="18">
        <v>0</v>
      </c>
      <c r="AF11" s="18">
        <v>29</v>
      </c>
      <c r="AG11" s="18">
        <v>29</v>
      </c>
      <c r="AH11" s="18">
        <v>7.4</v>
      </c>
      <c r="AI11" s="18">
        <v>0</v>
      </c>
      <c r="AJ11" s="18">
        <v>340</v>
      </c>
      <c r="AK11" s="18">
        <v>17</v>
      </c>
      <c r="AL11" s="18">
        <v>0</v>
      </c>
      <c r="AM11" s="18">
        <v>39</v>
      </c>
      <c r="AN11" s="18">
        <v>184</v>
      </c>
      <c r="AO11" s="18">
        <v>0</v>
      </c>
      <c r="AP11" s="18">
        <v>0</v>
      </c>
      <c r="AQ11" s="18">
        <v>0</v>
      </c>
      <c r="AR11" s="18">
        <v>0.69</v>
      </c>
      <c r="AS11" s="18">
        <v>0</v>
      </c>
      <c r="AT11" s="18">
        <v>0</v>
      </c>
      <c r="AU11" s="18">
        <v>9.5</v>
      </c>
      <c r="AV11" s="18">
        <v>4.8000000000000001E-2</v>
      </c>
      <c r="AW11" s="18">
        <v>2.7E-2</v>
      </c>
      <c r="AX11" s="18">
        <v>0.24299999999999999</v>
      </c>
      <c r="AY11" s="18">
        <v>0</v>
      </c>
      <c r="AZ11" s="18">
        <v>124</v>
      </c>
      <c r="BA11" s="18" t="s">
        <v>73</v>
      </c>
      <c r="BB11" s="18">
        <v>33</v>
      </c>
      <c r="BC11" s="34" t="s">
        <v>85</v>
      </c>
    </row>
    <row r="12" spans="1:57" x14ac:dyDescent="0.2">
      <c r="A12" s="9" t="s">
        <v>16</v>
      </c>
      <c r="B12" s="18" t="s">
        <v>86</v>
      </c>
      <c r="C12" s="18" t="s">
        <v>87</v>
      </c>
      <c r="D12" s="18"/>
      <c r="E12" s="18"/>
      <c r="F12" s="18">
        <v>77.28</v>
      </c>
      <c r="G12" s="18">
        <v>86</v>
      </c>
      <c r="H12" s="18">
        <v>1.57</v>
      </c>
      <c r="I12" s="18">
        <v>0.05</v>
      </c>
      <c r="J12" s="18">
        <v>0.99</v>
      </c>
      <c r="K12" s="18">
        <v>20.12</v>
      </c>
      <c r="L12" s="18">
        <v>3</v>
      </c>
      <c r="M12" s="18">
        <v>4.18</v>
      </c>
      <c r="N12" s="18">
        <v>30</v>
      </c>
      <c r="O12" s="18">
        <v>0.61</v>
      </c>
      <c r="P12" s="18">
        <v>25</v>
      </c>
      <c r="Q12" s="18">
        <v>47</v>
      </c>
      <c r="R12" s="18">
        <v>337</v>
      </c>
      <c r="S12" s="18">
        <v>55</v>
      </c>
      <c r="T12" s="18">
        <v>0.3</v>
      </c>
      <c r="U12" s="18">
        <v>0.151</v>
      </c>
      <c r="V12" s="18">
        <v>0.25800000000000001</v>
      </c>
      <c r="W12" s="18">
        <v>0.6</v>
      </c>
      <c r="X12" s="18">
        <v>2.4</v>
      </c>
      <c r="Y12" s="18">
        <v>7.8E-2</v>
      </c>
      <c r="Z12" s="18">
        <v>6.0999999999999999E-2</v>
      </c>
      <c r="AA12" s="18">
        <v>0.55700000000000005</v>
      </c>
      <c r="AB12" s="18">
        <v>0.8</v>
      </c>
      <c r="AC12" s="18">
        <v>0.20899999999999999</v>
      </c>
      <c r="AD12" s="18">
        <v>11</v>
      </c>
      <c r="AE12" s="18">
        <v>0</v>
      </c>
      <c r="AF12" s="18">
        <v>11</v>
      </c>
      <c r="AG12" s="18">
        <v>11</v>
      </c>
      <c r="AH12" s="18">
        <v>12.3</v>
      </c>
      <c r="AI12" s="18">
        <v>0</v>
      </c>
      <c r="AJ12" s="18">
        <v>14187</v>
      </c>
      <c r="AK12" s="18">
        <v>709</v>
      </c>
      <c r="AL12" s="18">
        <v>0</v>
      </c>
      <c r="AM12" s="18">
        <v>7</v>
      </c>
      <c r="AN12" s="18">
        <v>8509</v>
      </c>
      <c r="AO12" s="18">
        <v>0</v>
      </c>
      <c r="AP12" s="18">
        <v>0</v>
      </c>
      <c r="AQ12" s="18">
        <v>0</v>
      </c>
      <c r="AR12" s="18">
        <v>0.26</v>
      </c>
      <c r="AS12" s="18">
        <v>0</v>
      </c>
      <c r="AT12" s="18">
        <v>0</v>
      </c>
      <c r="AU12" s="18">
        <v>1.8</v>
      </c>
      <c r="AV12" s="18">
        <v>1.7999999999999999E-2</v>
      </c>
      <c r="AW12" s="18">
        <v>1E-3</v>
      </c>
      <c r="AX12" s="18">
        <v>1.4E-2</v>
      </c>
      <c r="AY12" s="18">
        <v>0</v>
      </c>
      <c r="AZ12" s="18">
        <v>133</v>
      </c>
      <c r="BA12" s="18" t="s">
        <v>88</v>
      </c>
      <c r="BB12" s="18">
        <v>130</v>
      </c>
      <c r="BC12" s="34" t="s">
        <v>89</v>
      </c>
    </row>
    <row r="13" spans="1:57" x14ac:dyDescent="0.2">
      <c r="A13" s="9" t="s">
        <v>17</v>
      </c>
      <c r="B13" s="18" t="s">
        <v>164</v>
      </c>
      <c r="C13" s="18" t="s">
        <v>165</v>
      </c>
      <c r="D13" s="18">
        <v>74</v>
      </c>
      <c r="E13" s="18">
        <v>1148</v>
      </c>
      <c r="F13" s="18">
        <v>75.87</v>
      </c>
      <c r="G13" s="18">
        <v>157</v>
      </c>
      <c r="H13" s="18">
        <v>10.57</v>
      </c>
      <c r="I13" s="18">
        <v>12.03</v>
      </c>
      <c r="J13" s="18">
        <v>0.84</v>
      </c>
      <c r="K13" s="18">
        <v>0.69</v>
      </c>
      <c r="L13" s="18">
        <v>0</v>
      </c>
      <c r="M13" s="18">
        <v>0.65</v>
      </c>
      <c r="N13" s="18">
        <v>46</v>
      </c>
      <c r="O13" s="18">
        <v>1.55</v>
      </c>
      <c r="P13" s="18">
        <v>10</v>
      </c>
      <c r="Q13" s="18">
        <v>161</v>
      </c>
      <c r="R13" s="18">
        <v>113</v>
      </c>
      <c r="S13" s="18">
        <v>161</v>
      </c>
      <c r="T13" s="18">
        <v>0.93</v>
      </c>
      <c r="U13" s="18">
        <v>8.7999999999999995E-2</v>
      </c>
      <c r="V13" s="18">
        <v>3.2000000000000001E-2</v>
      </c>
      <c r="W13" s="18">
        <v>26.7</v>
      </c>
      <c r="X13" s="18">
        <v>0</v>
      </c>
      <c r="Y13" s="18">
        <v>5.8000000000000003E-2</v>
      </c>
      <c r="Z13" s="18">
        <v>0.40400000000000003</v>
      </c>
      <c r="AA13" s="18">
        <v>0.06</v>
      </c>
      <c r="AB13" s="18">
        <v>1.21</v>
      </c>
      <c r="AC13" s="18">
        <v>0.121</v>
      </c>
      <c r="AD13" s="18">
        <v>39</v>
      </c>
      <c r="AE13" s="18">
        <v>0</v>
      </c>
      <c r="AF13" s="18">
        <v>39</v>
      </c>
      <c r="AG13" s="18">
        <v>39</v>
      </c>
      <c r="AH13" s="18">
        <v>211.7</v>
      </c>
      <c r="AI13" s="18">
        <v>1.0900000000000001</v>
      </c>
      <c r="AJ13" s="18">
        <v>572</v>
      </c>
      <c r="AK13" s="18">
        <v>155</v>
      </c>
      <c r="AL13" s="18">
        <v>152</v>
      </c>
      <c r="AM13" s="18">
        <v>0</v>
      </c>
      <c r="AN13" s="18">
        <v>36</v>
      </c>
      <c r="AO13" s="18">
        <v>8</v>
      </c>
      <c r="AP13" s="18">
        <v>0</v>
      </c>
      <c r="AQ13" s="18">
        <v>279</v>
      </c>
      <c r="AR13" s="18">
        <v>1.22</v>
      </c>
      <c r="AS13" s="18">
        <v>1</v>
      </c>
      <c r="AT13" s="18">
        <v>42</v>
      </c>
      <c r="AU13" s="18">
        <v>4.5</v>
      </c>
      <c r="AV13" s="18">
        <v>3.2959999999999998</v>
      </c>
      <c r="AW13" s="18">
        <v>4.9710000000000001</v>
      </c>
      <c r="AX13" s="18">
        <v>2.2519999999999998</v>
      </c>
      <c r="AY13" s="18">
        <v>356</v>
      </c>
      <c r="AZ13" s="18">
        <v>15.2</v>
      </c>
      <c r="BA13" s="18" t="s">
        <v>92</v>
      </c>
      <c r="BB13" s="18">
        <v>61</v>
      </c>
      <c r="BC13" s="34" t="s">
        <v>102</v>
      </c>
      <c r="BD13" s="19"/>
    </row>
    <row r="14" spans="1:57" x14ac:dyDescent="0.2">
      <c r="A14" s="9" t="s">
        <v>152</v>
      </c>
      <c r="B14" s="18" t="s">
        <v>90</v>
      </c>
      <c r="C14" s="18" t="s">
        <v>91</v>
      </c>
      <c r="D14" s="18"/>
      <c r="E14" s="18"/>
      <c r="F14" s="18">
        <v>88.13</v>
      </c>
      <c r="G14" s="18">
        <v>61</v>
      </c>
      <c r="H14" s="18">
        <v>3.15</v>
      </c>
      <c r="I14" s="18">
        <v>3.25</v>
      </c>
      <c r="J14" s="18">
        <v>0.67</v>
      </c>
      <c r="K14" s="18">
        <v>4.8</v>
      </c>
      <c r="L14" s="18">
        <v>0</v>
      </c>
      <c r="M14" s="18">
        <v>5.26</v>
      </c>
      <c r="N14" s="18">
        <v>113</v>
      </c>
      <c r="O14" s="18">
        <v>0.03</v>
      </c>
      <c r="P14" s="18">
        <v>10</v>
      </c>
      <c r="Q14" s="18">
        <v>84</v>
      </c>
      <c r="R14" s="18">
        <v>132</v>
      </c>
      <c r="S14" s="18">
        <v>43</v>
      </c>
      <c r="T14" s="18">
        <v>0.37</v>
      </c>
      <c r="U14" s="18">
        <v>2.5000000000000001E-2</v>
      </c>
      <c r="V14" s="18">
        <v>4.0000000000000001E-3</v>
      </c>
      <c r="W14" s="18">
        <v>3.7</v>
      </c>
      <c r="X14" s="18">
        <v>0</v>
      </c>
      <c r="Y14" s="18">
        <v>4.5999999999999999E-2</v>
      </c>
      <c r="Z14" s="18">
        <v>0.16900000000000001</v>
      </c>
      <c r="AA14" s="18">
        <v>8.8999999999999996E-2</v>
      </c>
      <c r="AB14" s="18">
        <v>0.373</v>
      </c>
      <c r="AC14" s="18">
        <v>3.5999999999999997E-2</v>
      </c>
      <c r="AD14" s="18">
        <v>5</v>
      </c>
      <c r="AE14" s="18">
        <v>0</v>
      </c>
      <c r="AF14" s="18">
        <v>5</v>
      </c>
      <c r="AG14" s="18">
        <v>5</v>
      </c>
      <c r="AH14" s="18">
        <v>14.3</v>
      </c>
      <c r="AI14" s="18">
        <v>0.45</v>
      </c>
      <c r="AJ14" s="18">
        <v>162</v>
      </c>
      <c r="AK14" s="18">
        <v>46</v>
      </c>
      <c r="AL14" s="18">
        <v>45</v>
      </c>
      <c r="AM14" s="18">
        <v>0</v>
      </c>
      <c r="AN14" s="18">
        <v>7</v>
      </c>
      <c r="AO14" s="18">
        <v>0</v>
      </c>
      <c r="AP14" s="18">
        <v>0</v>
      </c>
      <c r="AQ14" s="18">
        <v>0</v>
      </c>
      <c r="AR14" s="18">
        <v>7.0000000000000007E-2</v>
      </c>
      <c r="AS14" s="18">
        <v>1.3</v>
      </c>
      <c r="AT14" s="18">
        <v>51</v>
      </c>
      <c r="AU14" s="18">
        <v>0.3</v>
      </c>
      <c r="AV14" s="18">
        <v>1.865</v>
      </c>
      <c r="AW14" s="18">
        <v>0.81200000000000006</v>
      </c>
      <c r="AX14" s="18">
        <v>0.19500000000000001</v>
      </c>
      <c r="AY14" s="18">
        <v>10</v>
      </c>
      <c r="AZ14" s="18">
        <v>244</v>
      </c>
      <c r="BA14" s="18" t="s">
        <v>73</v>
      </c>
      <c r="BB14" s="18">
        <v>15.2</v>
      </c>
      <c r="BC14" s="34" t="s">
        <v>92</v>
      </c>
    </row>
    <row r="15" spans="1:57" x14ac:dyDescent="0.2">
      <c r="A15" s="9" t="s">
        <v>151</v>
      </c>
      <c r="B15" s="18" t="s">
        <v>148</v>
      </c>
      <c r="C15" s="18" t="s">
        <v>149</v>
      </c>
      <c r="D15" s="18"/>
      <c r="E15" s="18"/>
      <c r="F15" s="18">
        <v>90.84</v>
      </c>
      <c r="G15" s="18">
        <v>34</v>
      </c>
      <c r="H15" s="18">
        <v>3.37</v>
      </c>
      <c r="I15" s="18">
        <v>0.08</v>
      </c>
      <c r="J15" s="18">
        <v>0.75</v>
      </c>
      <c r="K15" s="18">
        <v>4.96</v>
      </c>
      <c r="L15" s="18">
        <v>0</v>
      </c>
      <c r="M15" s="18">
        <v>5.09</v>
      </c>
      <c r="N15" s="18">
        <v>122</v>
      </c>
      <c r="O15" s="18">
        <v>0.03</v>
      </c>
      <c r="P15" s="18">
        <v>11</v>
      </c>
      <c r="Q15" s="18">
        <v>101</v>
      </c>
      <c r="R15" s="18">
        <v>156</v>
      </c>
      <c r="S15" s="18">
        <v>42</v>
      </c>
      <c r="T15" s="18">
        <v>0.42</v>
      </c>
      <c r="U15" s="18">
        <v>1.2999999999999999E-2</v>
      </c>
      <c r="V15" s="18">
        <v>3.0000000000000001E-3</v>
      </c>
      <c r="W15" s="18">
        <v>3.1</v>
      </c>
      <c r="X15" s="18">
        <v>0</v>
      </c>
      <c r="Y15" s="18">
        <v>4.4999999999999998E-2</v>
      </c>
      <c r="Z15" s="18">
        <v>0.182</v>
      </c>
      <c r="AA15" s="18">
        <v>9.4E-2</v>
      </c>
      <c r="AB15" s="18">
        <v>0.35699999999999998</v>
      </c>
      <c r="AC15" s="18">
        <v>3.6999999999999998E-2</v>
      </c>
      <c r="AD15" s="18">
        <v>5</v>
      </c>
      <c r="AE15" s="18">
        <v>0</v>
      </c>
      <c r="AF15" s="18">
        <v>5</v>
      </c>
      <c r="AG15" s="18">
        <v>5</v>
      </c>
      <c r="AH15" s="18">
        <v>15.6</v>
      </c>
      <c r="AI15" s="18">
        <v>0.5</v>
      </c>
      <c r="AJ15" s="18">
        <v>204</v>
      </c>
      <c r="AK15" s="18">
        <v>61</v>
      </c>
      <c r="AL15" s="18">
        <v>61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0.01</v>
      </c>
      <c r="AS15" s="18">
        <v>1.2</v>
      </c>
      <c r="AT15" s="18">
        <v>47</v>
      </c>
      <c r="AU15" s="18">
        <v>0</v>
      </c>
      <c r="AV15" s="18">
        <v>5.6000000000000001E-2</v>
      </c>
      <c r="AW15" s="18">
        <v>2.1999999999999999E-2</v>
      </c>
      <c r="AX15" s="18">
        <v>3.0000000000000001E-3</v>
      </c>
      <c r="AY15" s="18">
        <v>2</v>
      </c>
      <c r="AZ15" s="18">
        <v>245</v>
      </c>
      <c r="BA15" s="18" t="s">
        <v>73</v>
      </c>
      <c r="BB15" s="18">
        <v>30.6</v>
      </c>
      <c r="BC15" s="34" t="s">
        <v>150</v>
      </c>
    </row>
    <row r="16" spans="1:57" x14ac:dyDescent="0.2">
      <c r="A16" s="9" t="s">
        <v>19</v>
      </c>
      <c r="B16" s="18" t="s">
        <v>93</v>
      </c>
      <c r="C16" s="18" t="s">
        <v>94</v>
      </c>
      <c r="D16" s="1">
        <v>125</v>
      </c>
      <c r="E16" s="1">
        <v>37</v>
      </c>
      <c r="F16" s="18">
        <v>91.46</v>
      </c>
      <c r="G16" s="18">
        <v>26</v>
      </c>
      <c r="H16" s="18">
        <v>2.81</v>
      </c>
      <c r="I16" s="18">
        <v>0.28999999999999998</v>
      </c>
      <c r="J16" s="18">
        <v>0.66</v>
      </c>
      <c r="K16" s="18">
        <v>4.78</v>
      </c>
      <c r="L16" s="18">
        <v>3</v>
      </c>
      <c r="M16" s="18">
        <v>1.35</v>
      </c>
      <c r="N16" s="18">
        <v>56</v>
      </c>
      <c r="O16" s="18">
        <v>0.81</v>
      </c>
      <c r="P16" s="18">
        <v>18</v>
      </c>
      <c r="Q16" s="18">
        <v>50</v>
      </c>
      <c r="R16" s="18">
        <v>212</v>
      </c>
      <c r="S16" s="18">
        <v>24</v>
      </c>
      <c r="T16" s="18">
        <v>0.48</v>
      </c>
      <c r="U16" s="18">
        <v>3.7999999999999999E-2</v>
      </c>
      <c r="V16" s="18">
        <v>0.29399999999999998</v>
      </c>
      <c r="W16" s="18">
        <v>2.8</v>
      </c>
      <c r="X16" s="18">
        <v>56.4</v>
      </c>
      <c r="Y16" s="18">
        <v>5.2999999999999999E-2</v>
      </c>
      <c r="Z16" s="18">
        <v>9.6000000000000002E-2</v>
      </c>
      <c r="AA16" s="18">
        <v>0.47</v>
      </c>
      <c r="AB16" s="18">
        <v>0.27900000000000003</v>
      </c>
      <c r="AC16" s="18">
        <v>0.13</v>
      </c>
      <c r="AD16" s="18">
        <v>67</v>
      </c>
      <c r="AE16" s="18">
        <v>0</v>
      </c>
      <c r="AF16" s="18">
        <v>67</v>
      </c>
      <c r="AG16" s="18">
        <v>67</v>
      </c>
      <c r="AH16" s="18">
        <v>14.9</v>
      </c>
      <c r="AI16" s="18">
        <v>0</v>
      </c>
      <c r="AJ16" s="18">
        <v>1034</v>
      </c>
      <c r="AK16" s="18">
        <v>52</v>
      </c>
      <c r="AL16" s="18">
        <v>0</v>
      </c>
      <c r="AM16" s="18">
        <v>20</v>
      </c>
      <c r="AN16" s="18">
        <v>610</v>
      </c>
      <c r="AO16" s="18">
        <v>1</v>
      </c>
      <c r="AP16" s="18">
        <v>0</v>
      </c>
      <c r="AQ16" s="18">
        <v>1120</v>
      </c>
      <c r="AR16" s="18">
        <v>1.22</v>
      </c>
      <c r="AS16" s="18">
        <v>0</v>
      </c>
      <c r="AT16" s="18">
        <v>0</v>
      </c>
      <c r="AU16" s="18">
        <v>81.099999999999994</v>
      </c>
      <c r="AV16" s="18">
        <v>4.3999999999999997E-2</v>
      </c>
      <c r="AW16" s="18">
        <v>0.02</v>
      </c>
      <c r="AX16" s="18">
        <v>0.13600000000000001</v>
      </c>
      <c r="AY16" s="18">
        <v>0</v>
      </c>
      <c r="AZ16" s="18">
        <v>156</v>
      </c>
      <c r="BA16" s="18" t="s">
        <v>73</v>
      </c>
      <c r="BB16" s="18">
        <v>284</v>
      </c>
      <c r="BC16" s="34" t="s">
        <v>74</v>
      </c>
    </row>
    <row r="17" spans="1:57" x14ac:dyDescent="0.2">
      <c r="A17" s="9" t="s">
        <v>20</v>
      </c>
      <c r="B17" s="18" t="s">
        <v>161</v>
      </c>
      <c r="C17" s="18" t="s">
        <v>162</v>
      </c>
      <c r="D17" s="1">
        <v>2018</v>
      </c>
      <c r="E17" s="1">
        <v>172</v>
      </c>
      <c r="F17" s="18">
        <v>68.81</v>
      </c>
      <c r="G17" s="18">
        <v>139</v>
      </c>
      <c r="H17" s="18">
        <v>19.78</v>
      </c>
      <c r="I17" s="18">
        <v>6.05</v>
      </c>
      <c r="J17" s="18">
        <v>2.6</v>
      </c>
      <c r="K17" s="18">
        <v>0</v>
      </c>
      <c r="L17" s="18">
        <v>0</v>
      </c>
      <c r="M17" s="18">
        <v>0</v>
      </c>
      <c r="N17" s="18">
        <v>213</v>
      </c>
      <c r="O17" s="18">
        <v>0.84</v>
      </c>
      <c r="P17" s="18">
        <v>34</v>
      </c>
      <c r="Q17" s="18">
        <v>329</v>
      </c>
      <c r="R17" s="18">
        <v>326</v>
      </c>
      <c r="S17" s="18">
        <v>554</v>
      </c>
      <c r="T17" s="18">
        <v>0.92</v>
      </c>
      <c r="U17" s="18">
        <v>0.10199999999999999</v>
      </c>
      <c r="V17" s="18">
        <v>0.02</v>
      </c>
      <c r="W17" s="18">
        <v>33.200000000000003</v>
      </c>
      <c r="X17" s="18">
        <v>0</v>
      </c>
      <c r="Y17" s="18">
        <v>2.3E-2</v>
      </c>
      <c r="Z17" s="18">
        <v>0.186</v>
      </c>
      <c r="AA17" s="18">
        <v>6.5359999999999996</v>
      </c>
      <c r="AB17" s="18">
        <v>0.55000000000000004</v>
      </c>
      <c r="AC17" s="18">
        <v>0.3</v>
      </c>
      <c r="AD17" s="18">
        <v>15</v>
      </c>
      <c r="AE17" s="18">
        <v>0</v>
      </c>
      <c r="AF17" s="18">
        <v>15</v>
      </c>
      <c r="AG17" s="18">
        <v>15</v>
      </c>
      <c r="AH17" s="18">
        <v>87.8</v>
      </c>
      <c r="AI17" s="18">
        <v>4.4000000000000004</v>
      </c>
      <c r="AJ17" s="18">
        <v>57</v>
      </c>
      <c r="AK17" s="18">
        <v>17</v>
      </c>
      <c r="AL17" s="18">
        <v>17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0.64</v>
      </c>
      <c r="AS17" s="18">
        <v>13.7</v>
      </c>
      <c r="AT17" s="18">
        <v>547</v>
      </c>
      <c r="AU17" s="18">
        <v>0.5</v>
      </c>
      <c r="AV17" s="18">
        <v>1.5349999999999999</v>
      </c>
      <c r="AW17" s="18">
        <v>1.8069999999999999</v>
      </c>
      <c r="AX17" s="18">
        <v>2.0489999999999999</v>
      </c>
      <c r="AY17" s="18">
        <v>55</v>
      </c>
      <c r="AZ17" s="18">
        <v>453.6</v>
      </c>
      <c r="BA17" s="18" t="s">
        <v>95</v>
      </c>
      <c r="BB17" s="18">
        <v>85</v>
      </c>
      <c r="BC17" s="34" t="s">
        <v>96</v>
      </c>
      <c r="BE17" s="4"/>
    </row>
    <row r="18" spans="1:57" x14ac:dyDescent="0.2">
      <c r="A18" s="9" t="s">
        <v>23</v>
      </c>
      <c r="B18" s="18" t="s">
        <v>103</v>
      </c>
      <c r="C18" s="18" t="s">
        <v>104</v>
      </c>
      <c r="D18" s="18">
        <v>27</v>
      </c>
      <c r="E18" s="18">
        <v>46</v>
      </c>
      <c r="F18" s="18">
        <v>74.91</v>
      </c>
      <c r="G18" s="18">
        <v>89</v>
      </c>
      <c r="H18" s="18">
        <v>1.0900000000000001</v>
      </c>
      <c r="I18" s="18">
        <v>0.33</v>
      </c>
      <c r="J18" s="18">
        <v>0.82</v>
      </c>
      <c r="K18" s="18">
        <v>22.84</v>
      </c>
      <c r="L18" s="18">
        <v>2.6</v>
      </c>
      <c r="M18" s="18">
        <v>12.23</v>
      </c>
      <c r="N18" s="18">
        <v>5</v>
      </c>
      <c r="O18" s="18">
        <v>0.26</v>
      </c>
      <c r="P18" s="18">
        <v>27</v>
      </c>
      <c r="Q18" s="18">
        <v>22</v>
      </c>
      <c r="R18" s="18">
        <v>358</v>
      </c>
      <c r="S18" s="18">
        <v>1</v>
      </c>
      <c r="T18" s="18">
        <v>0.15</v>
      </c>
      <c r="U18" s="18">
        <v>7.8E-2</v>
      </c>
      <c r="V18" s="18">
        <v>0.27</v>
      </c>
      <c r="W18" s="18">
        <v>1</v>
      </c>
      <c r="X18" s="18">
        <v>8.6999999999999993</v>
      </c>
      <c r="Y18" s="18">
        <v>3.1E-2</v>
      </c>
      <c r="Z18" s="18">
        <v>7.2999999999999995E-2</v>
      </c>
      <c r="AA18" s="18">
        <v>0.66500000000000004</v>
      </c>
      <c r="AB18" s="18">
        <v>0.33400000000000002</v>
      </c>
      <c r="AC18" s="18">
        <v>0.36699999999999999</v>
      </c>
      <c r="AD18" s="18">
        <v>20</v>
      </c>
      <c r="AE18" s="18">
        <v>0</v>
      </c>
      <c r="AF18" s="18">
        <v>20</v>
      </c>
      <c r="AG18" s="18">
        <v>20</v>
      </c>
      <c r="AH18" s="18">
        <v>9.8000000000000007</v>
      </c>
      <c r="AI18" s="18">
        <v>0</v>
      </c>
      <c r="AJ18" s="18">
        <v>64</v>
      </c>
      <c r="AK18" s="18">
        <v>3</v>
      </c>
      <c r="AL18" s="18">
        <v>0</v>
      </c>
      <c r="AM18" s="18">
        <v>25</v>
      </c>
      <c r="AN18" s="18">
        <v>26</v>
      </c>
      <c r="AO18" s="18">
        <v>0</v>
      </c>
      <c r="AP18" s="18">
        <v>0</v>
      </c>
      <c r="AQ18" s="18">
        <v>22</v>
      </c>
      <c r="AR18" s="18">
        <v>0.1</v>
      </c>
      <c r="AS18" s="18">
        <v>0</v>
      </c>
      <c r="AT18" s="18">
        <v>0</v>
      </c>
      <c r="AU18" s="18">
        <v>0.5</v>
      </c>
      <c r="AV18" s="18">
        <v>0.112</v>
      </c>
      <c r="AW18" s="18">
        <v>3.2000000000000001E-2</v>
      </c>
      <c r="AX18" s="18">
        <v>7.2999999999999995E-2</v>
      </c>
      <c r="AY18" s="18">
        <v>0</v>
      </c>
      <c r="AZ18" s="18">
        <v>225</v>
      </c>
      <c r="BA18" s="18" t="s">
        <v>105</v>
      </c>
      <c r="BB18" s="18">
        <v>150</v>
      </c>
      <c r="BC18" s="34" t="s">
        <v>106</v>
      </c>
    </row>
    <row r="19" spans="1:57" x14ac:dyDescent="0.2">
      <c r="A19" s="9" t="s">
        <v>111</v>
      </c>
      <c r="B19" s="18" t="s">
        <v>107</v>
      </c>
      <c r="C19" s="18" t="s">
        <v>108</v>
      </c>
      <c r="D19" s="18"/>
      <c r="E19" s="18"/>
      <c r="F19" s="18">
        <v>36.94</v>
      </c>
      <c r="G19" s="18">
        <v>265</v>
      </c>
      <c r="H19" s="18">
        <v>13.36</v>
      </c>
      <c r="I19" s="18">
        <v>4.2300000000000004</v>
      </c>
      <c r="J19" s="18">
        <v>2.13</v>
      </c>
      <c r="K19" s="18">
        <v>43.34</v>
      </c>
      <c r="L19" s="18">
        <v>7.4</v>
      </c>
      <c r="M19" s="18">
        <v>6.39</v>
      </c>
      <c r="N19" s="18">
        <v>103</v>
      </c>
      <c r="O19" s="18">
        <v>2.5</v>
      </c>
      <c r="P19" s="18">
        <v>78</v>
      </c>
      <c r="Q19" s="18">
        <v>228</v>
      </c>
      <c r="R19" s="18">
        <v>230</v>
      </c>
      <c r="S19" s="18">
        <v>420</v>
      </c>
      <c r="T19" s="18">
        <v>1.7</v>
      </c>
      <c r="U19" s="18">
        <v>0.28199999999999997</v>
      </c>
      <c r="V19" s="18">
        <v>2.0249999999999999</v>
      </c>
      <c r="W19" s="18">
        <v>32.9</v>
      </c>
      <c r="X19" s="18">
        <v>0.1</v>
      </c>
      <c r="Y19" s="18">
        <v>0.27900000000000003</v>
      </c>
      <c r="Z19" s="18">
        <v>0.13100000000000001</v>
      </c>
      <c r="AA19" s="18">
        <v>4.0419999999999998</v>
      </c>
      <c r="AB19" s="18">
        <v>0.33600000000000002</v>
      </c>
      <c r="AC19" s="18">
        <v>0.26300000000000001</v>
      </c>
      <c r="AD19" s="18">
        <v>75</v>
      </c>
      <c r="AE19" s="18">
        <v>0</v>
      </c>
      <c r="AF19" s="18">
        <v>75</v>
      </c>
      <c r="AG19" s="18">
        <v>75</v>
      </c>
      <c r="AH19" s="18">
        <v>26.5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94</v>
      </c>
      <c r="AR19" s="18">
        <v>0.37</v>
      </c>
      <c r="AS19" s="18">
        <v>0</v>
      </c>
      <c r="AT19" s="18">
        <v>0</v>
      </c>
      <c r="AU19" s="18">
        <v>1.4</v>
      </c>
      <c r="AV19" s="18">
        <v>0.872</v>
      </c>
      <c r="AW19" s="18">
        <v>0.76</v>
      </c>
      <c r="AX19" s="18">
        <v>1.8720000000000001</v>
      </c>
      <c r="AY19" s="18">
        <v>0</v>
      </c>
      <c r="AZ19" s="18">
        <v>28.35</v>
      </c>
      <c r="BA19" s="18" t="s">
        <v>109</v>
      </c>
      <c r="BB19" s="18">
        <v>26.35</v>
      </c>
      <c r="BC19" s="34" t="s">
        <v>110</v>
      </c>
    </row>
    <row r="20" spans="1:57" x14ac:dyDescent="0.2">
      <c r="A20" s="29" t="s">
        <v>140</v>
      </c>
      <c r="B20" s="18" t="s">
        <v>136</v>
      </c>
      <c r="C20" s="18" t="s">
        <v>137</v>
      </c>
      <c r="D20" s="1">
        <v>0</v>
      </c>
      <c r="E20" s="1">
        <v>12648</v>
      </c>
      <c r="F20" s="18">
        <v>2.6</v>
      </c>
      <c r="G20" s="18">
        <v>597</v>
      </c>
      <c r="H20" s="18">
        <v>22.09</v>
      </c>
      <c r="I20" s="18">
        <v>52.83</v>
      </c>
      <c r="J20" s="18">
        <v>3.2</v>
      </c>
      <c r="K20" s="18">
        <v>19.29</v>
      </c>
      <c r="L20" s="18">
        <v>11.8</v>
      </c>
      <c r="M20" s="18">
        <v>4.9000000000000004</v>
      </c>
      <c r="N20" s="18">
        <v>266</v>
      </c>
      <c r="O20" s="18">
        <v>4.51</v>
      </c>
      <c r="P20" s="18">
        <v>286</v>
      </c>
      <c r="Q20" s="18">
        <v>489</v>
      </c>
      <c r="R20" s="18">
        <v>746</v>
      </c>
      <c r="S20" s="18">
        <v>1</v>
      </c>
      <c r="T20" s="18">
        <v>3.54</v>
      </c>
      <c r="U20" s="18">
        <v>1.17</v>
      </c>
      <c r="V20" s="18">
        <v>2.62</v>
      </c>
      <c r="W20" s="18">
        <v>2.8</v>
      </c>
      <c r="X20" s="18">
        <v>0</v>
      </c>
      <c r="Y20" s="18">
        <v>7.3999999999999996E-2</v>
      </c>
      <c r="Z20" s="18">
        <v>0.85899999999999999</v>
      </c>
      <c r="AA20" s="18">
        <v>3.85</v>
      </c>
      <c r="AB20" s="18">
        <v>0.22900000000000001</v>
      </c>
      <c r="AC20" s="18">
        <v>0.126</v>
      </c>
      <c r="AD20" s="18">
        <v>33</v>
      </c>
      <c r="AE20" s="18">
        <v>0</v>
      </c>
      <c r="AF20" s="18">
        <v>33</v>
      </c>
      <c r="AG20" s="18">
        <v>33</v>
      </c>
      <c r="AH20" s="18">
        <v>52.1</v>
      </c>
      <c r="AI20" s="18">
        <v>0</v>
      </c>
      <c r="AJ20" s="18">
        <v>1</v>
      </c>
      <c r="AK20" s="18">
        <v>0</v>
      </c>
      <c r="AL20" s="18">
        <v>0</v>
      </c>
      <c r="AM20" s="18">
        <v>0</v>
      </c>
      <c r="AN20" s="18">
        <v>1</v>
      </c>
      <c r="AO20" s="18">
        <v>0</v>
      </c>
      <c r="AP20" s="18">
        <v>0</v>
      </c>
      <c r="AQ20" s="18">
        <v>1</v>
      </c>
      <c r="AR20" s="18">
        <v>26</v>
      </c>
      <c r="AS20" s="18">
        <v>0</v>
      </c>
      <c r="AT20" s="18">
        <v>0</v>
      </c>
      <c r="AU20" s="18">
        <v>0</v>
      </c>
      <c r="AV20" s="18">
        <v>4.0469999999999997</v>
      </c>
      <c r="AW20" s="18">
        <v>33.658000000000001</v>
      </c>
      <c r="AX20" s="18">
        <v>12.648999999999999</v>
      </c>
      <c r="AY20" s="18">
        <v>0</v>
      </c>
      <c r="AZ20" s="18">
        <v>138</v>
      </c>
      <c r="BA20" s="18" t="s">
        <v>138</v>
      </c>
      <c r="BB20" s="18">
        <v>28.35</v>
      </c>
      <c r="BC20" s="34" t="s">
        <v>139</v>
      </c>
    </row>
    <row r="21" spans="1:57" ht="16" thickBot="1" x14ac:dyDescent="0.25">
      <c r="A21" s="13" t="s">
        <v>114</v>
      </c>
      <c r="B21" s="30" t="s">
        <v>112</v>
      </c>
      <c r="C21" s="30" t="s">
        <v>113</v>
      </c>
      <c r="D21" s="10">
        <v>111</v>
      </c>
      <c r="E21" s="10">
        <v>2424</v>
      </c>
      <c r="F21" s="30">
        <v>8.2200000000000006</v>
      </c>
      <c r="G21" s="30">
        <v>389</v>
      </c>
      <c r="H21" s="30">
        <v>16.89</v>
      </c>
      <c r="I21" s="30">
        <v>6.9</v>
      </c>
      <c r="J21" s="30">
        <v>1.72</v>
      </c>
      <c r="K21" s="30">
        <v>66.27</v>
      </c>
      <c r="L21" s="30">
        <v>10.6</v>
      </c>
      <c r="M21" s="35"/>
      <c r="N21" s="30">
        <v>54</v>
      </c>
      <c r="O21" s="30">
        <v>4.72</v>
      </c>
      <c r="P21" s="30">
        <v>177</v>
      </c>
      <c r="Q21" s="30">
        <v>523</v>
      </c>
      <c r="R21" s="30">
        <v>429</v>
      </c>
      <c r="S21" s="30">
        <v>2</v>
      </c>
      <c r="T21" s="30">
        <v>3.97</v>
      </c>
      <c r="U21" s="30">
        <v>0.626</v>
      </c>
      <c r="V21" s="30">
        <v>4.9160000000000004</v>
      </c>
      <c r="W21" s="35"/>
      <c r="X21" s="30">
        <v>0</v>
      </c>
      <c r="Y21" s="30">
        <v>0.76300000000000001</v>
      </c>
      <c r="Z21" s="30">
        <v>0.13900000000000001</v>
      </c>
      <c r="AA21" s="30">
        <v>0.96099999999999997</v>
      </c>
      <c r="AB21" s="30">
        <v>1.349</v>
      </c>
      <c r="AC21" s="30">
        <v>0.11899999999999999</v>
      </c>
      <c r="AD21" s="30">
        <v>56</v>
      </c>
      <c r="AE21" s="30">
        <v>0</v>
      </c>
      <c r="AF21" s="30">
        <v>56</v>
      </c>
      <c r="AG21" s="30">
        <v>56</v>
      </c>
      <c r="AH21" s="35"/>
      <c r="AI21" s="30">
        <v>0</v>
      </c>
      <c r="AJ21" s="30">
        <v>0</v>
      </c>
      <c r="AK21" s="30">
        <v>0</v>
      </c>
      <c r="AL21" s="30">
        <v>0</v>
      </c>
      <c r="AM21" s="35"/>
      <c r="AN21" s="35"/>
      <c r="AO21" s="35"/>
      <c r="AP21" s="35"/>
      <c r="AQ21" s="35"/>
      <c r="AR21" s="30">
        <v>1.0900000000000001</v>
      </c>
      <c r="AS21" s="30">
        <v>0</v>
      </c>
      <c r="AT21" s="30">
        <v>0</v>
      </c>
      <c r="AU21" s="35"/>
      <c r="AV21" s="30">
        <v>1.2170000000000001</v>
      </c>
      <c r="AW21" s="30">
        <v>2.1779999999999999</v>
      </c>
      <c r="AX21" s="30">
        <v>2.5350000000000001</v>
      </c>
      <c r="AY21" s="30">
        <v>0</v>
      </c>
      <c r="AZ21" s="30">
        <v>156</v>
      </c>
      <c r="BA21" s="30" t="s">
        <v>73</v>
      </c>
      <c r="BB21" s="35"/>
      <c r="BC21" s="36"/>
    </row>
    <row r="22" spans="1:57" ht="16" thickBot="1" x14ac:dyDescent="0.25">
      <c r="B22" s="18"/>
      <c r="C22" s="38" t="s">
        <v>123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1" t="s">
        <v>116</v>
      </c>
    </row>
    <row r="23" spans="1:57" x14ac:dyDescent="0.2">
      <c r="A23" s="25" t="s">
        <v>120</v>
      </c>
      <c r="B23" s="28" t="s">
        <v>168</v>
      </c>
      <c r="C23" s="12"/>
      <c r="D23" s="12" t="s">
        <v>28</v>
      </c>
      <c r="E23" s="12" t="s">
        <v>28</v>
      </c>
      <c r="F23" s="12" t="s">
        <v>97</v>
      </c>
      <c r="G23" s="12" t="s">
        <v>98</v>
      </c>
      <c r="H23" s="12" t="s">
        <v>97</v>
      </c>
      <c r="I23" s="12" t="s">
        <v>97</v>
      </c>
      <c r="J23" s="12" t="s">
        <v>97</v>
      </c>
      <c r="K23" s="12" t="s">
        <v>97</v>
      </c>
      <c r="L23" s="12" t="s">
        <v>97</v>
      </c>
      <c r="M23" s="12" t="s">
        <v>97</v>
      </c>
      <c r="N23" s="12" t="s">
        <v>28</v>
      </c>
      <c r="O23" s="12" t="s">
        <v>28</v>
      </c>
      <c r="P23" s="12" t="s">
        <v>28</v>
      </c>
      <c r="Q23" s="12" t="s">
        <v>28</v>
      </c>
      <c r="R23" s="12" t="s">
        <v>28</v>
      </c>
      <c r="S23" s="12" t="s">
        <v>28</v>
      </c>
      <c r="T23" s="12" t="s">
        <v>28</v>
      </c>
      <c r="U23" s="12" t="s">
        <v>28</v>
      </c>
      <c r="V23" s="12" t="s">
        <v>28</v>
      </c>
      <c r="W23" s="12" t="s">
        <v>99</v>
      </c>
      <c r="X23" s="12" t="s">
        <v>28</v>
      </c>
      <c r="Y23" s="12" t="s">
        <v>28</v>
      </c>
      <c r="Z23" s="12" t="s">
        <v>28</v>
      </c>
      <c r="AA23" s="12" t="s">
        <v>28</v>
      </c>
      <c r="AB23" s="12" t="s">
        <v>28</v>
      </c>
      <c r="AC23" s="12" t="s">
        <v>28</v>
      </c>
      <c r="AD23" s="12" t="s">
        <v>99</v>
      </c>
      <c r="AE23" s="12" t="s">
        <v>99</v>
      </c>
      <c r="AF23" s="12" t="s">
        <v>99</v>
      </c>
      <c r="AG23" s="12" t="s">
        <v>99</v>
      </c>
      <c r="AH23" s="12" t="s">
        <v>28</v>
      </c>
      <c r="AI23" s="12" t="s">
        <v>99</v>
      </c>
      <c r="AJ23" s="12" t="s">
        <v>27</v>
      </c>
      <c r="AK23" s="12" t="s">
        <v>99</v>
      </c>
      <c r="AL23" s="12" t="s">
        <v>99</v>
      </c>
      <c r="AM23" s="12" t="s">
        <v>99</v>
      </c>
      <c r="AN23" s="12" t="s">
        <v>99</v>
      </c>
      <c r="AO23" s="12" t="s">
        <v>99</v>
      </c>
      <c r="AP23" s="12" t="s">
        <v>99</v>
      </c>
      <c r="AQ23" s="12" t="s">
        <v>99</v>
      </c>
      <c r="AR23" s="12" t="s">
        <v>28</v>
      </c>
      <c r="AS23" s="12" t="s">
        <v>99</v>
      </c>
      <c r="AT23" s="12" t="s">
        <v>27</v>
      </c>
      <c r="AU23" s="12" t="s">
        <v>99</v>
      </c>
      <c r="AV23" s="12" t="s">
        <v>97</v>
      </c>
      <c r="AW23" s="12" t="s">
        <v>97</v>
      </c>
      <c r="AX23" s="12" t="s">
        <v>97</v>
      </c>
      <c r="AY23" s="12" t="s">
        <v>28</v>
      </c>
      <c r="AZ23" s="12"/>
      <c r="BA23" s="26"/>
    </row>
    <row r="24" spans="1:57" x14ac:dyDescent="0.2">
      <c r="A24" s="9" t="s">
        <v>10</v>
      </c>
      <c r="B24" s="18" t="s">
        <v>100</v>
      </c>
      <c r="C24" s="18" t="s">
        <v>101</v>
      </c>
      <c r="D24" s="1">
        <f t="shared" ref="D24:AY24" si="0">D3*$B50</f>
        <v>209.62586532743362</v>
      </c>
      <c r="E24" s="1">
        <f t="shared" si="0"/>
        <v>251.55103839292033</v>
      </c>
      <c r="F24" s="1">
        <f t="shared" si="0"/>
        <v>131.24575606309986</v>
      </c>
      <c r="G24" s="1">
        <f t="shared" si="0"/>
        <v>263.52965926877368</v>
      </c>
      <c r="H24" s="1">
        <f t="shared" si="0"/>
        <v>17.68843016001011</v>
      </c>
      <c r="I24" s="1">
        <f t="shared" si="0"/>
        <v>1.0780758788268014</v>
      </c>
      <c r="J24" s="1">
        <f t="shared" si="0"/>
        <v>2.2959023345385585</v>
      </c>
      <c r="K24" s="1">
        <f t="shared" si="0"/>
        <v>47.335516827747156</v>
      </c>
      <c r="L24" s="1">
        <f t="shared" si="0"/>
        <v>17.369000269987357</v>
      </c>
      <c r="M24" s="1">
        <f t="shared" si="0"/>
        <v>0</v>
      </c>
      <c r="N24" s="1">
        <f t="shared" si="0"/>
        <v>53.903793941340076</v>
      </c>
      <c r="O24" s="1">
        <f t="shared" si="0"/>
        <v>4.1925173065486723</v>
      </c>
      <c r="P24" s="1">
        <f t="shared" si="0"/>
        <v>139.75057688495573</v>
      </c>
      <c r="Q24" s="1">
        <f t="shared" si="0"/>
        <v>279.50115376991147</v>
      </c>
      <c r="R24" s="1">
        <f t="shared" si="0"/>
        <v>708.73506848798991</v>
      </c>
      <c r="S24" s="1">
        <f t="shared" si="0"/>
        <v>1.9964368126422249</v>
      </c>
      <c r="T24" s="1">
        <f t="shared" si="0"/>
        <v>2.2360092301592922</v>
      </c>
      <c r="U24" s="1">
        <f t="shared" si="0"/>
        <v>0.41725529384222498</v>
      </c>
      <c r="V24" s="1">
        <f t="shared" si="0"/>
        <v>0.88641794481314784</v>
      </c>
      <c r="W24" s="1">
        <f t="shared" si="0"/>
        <v>2.3957241751706699</v>
      </c>
      <c r="X24" s="1">
        <f t="shared" si="0"/>
        <v>0</v>
      </c>
      <c r="Y24" s="1">
        <f t="shared" si="0"/>
        <v>0.48713058228470285</v>
      </c>
      <c r="Z24" s="1">
        <f t="shared" si="0"/>
        <v>0.11778977194589127</v>
      </c>
      <c r="AA24" s="1">
        <f t="shared" si="0"/>
        <v>1.0082005903843236</v>
      </c>
      <c r="AB24" s="1">
        <f t="shared" si="0"/>
        <v>0.48313770865941841</v>
      </c>
      <c r="AC24" s="1">
        <f t="shared" si="0"/>
        <v>0.13775414007231354</v>
      </c>
      <c r="AD24" s="1">
        <f t="shared" si="0"/>
        <v>297.46908508369154</v>
      </c>
      <c r="AE24" s="1">
        <f t="shared" si="0"/>
        <v>0</v>
      </c>
      <c r="AF24" s="1">
        <f t="shared" si="0"/>
        <v>297.46908508369154</v>
      </c>
      <c r="AG24" s="1">
        <f t="shared" si="0"/>
        <v>297.46908508369154</v>
      </c>
      <c r="AH24" s="1">
        <f t="shared" si="0"/>
        <v>0</v>
      </c>
      <c r="AI24" s="1">
        <f t="shared" si="0"/>
        <v>0</v>
      </c>
      <c r="AJ24" s="1">
        <f t="shared" si="0"/>
        <v>11.97862087585335</v>
      </c>
      <c r="AK24" s="1">
        <f t="shared" si="0"/>
        <v>0</v>
      </c>
      <c r="AL24" s="1">
        <f t="shared" si="0"/>
        <v>0</v>
      </c>
      <c r="AM24" s="1">
        <f t="shared" si="0"/>
        <v>0</v>
      </c>
      <c r="AN24" s="1">
        <f t="shared" si="0"/>
        <v>0</v>
      </c>
      <c r="AO24" s="1">
        <f t="shared" si="0"/>
        <v>0</v>
      </c>
      <c r="AP24" s="1">
        <f t="shared" si="0"/>
        <v>0</v>
      </c>
      <c r="AQ24" s="1">
        <f t="shared" si="0"/>
        <v>0</v>
      </c>
      <c r="AR24" s="1">
        <f t="shared" si="0"/>
        <v>0</v>
      </c>
      <c r="AS24" s="1">
        <f t="shared" si="0"/>
        <v>0</v>
      </c>
      <c r="AT24" s="1">
        <f t="shared" si="0"/>
        <v>0</v>
      </c>
      <c r="AU24" s="1">
        <f t="shared" si="0"/>
        <v>0</v>
      </c>
      <c r="AV24" s="1">
        <f t="shared" si="0"/>
        <v>0.2775047169572693</v>
      </c>
      <c r="AW24" s="1">
        <f t="shared" si="0"/>
        <v>9.3832530194184569E-2</v>
      </c>
      <c r="AX24" s="1">
        <f t="shared" si="0"/>
        <v>0.46117690372035397</v>
      </c>
      <c r="AY24" s="1">
        <f t="shared" si="0"/>
        <v>0</v>
      </c>
      <c r="AZ24" s="1">
        <f>0.75*D50</f>
        <v>0.3463390487548097</v>
      </c>
      <c r="BA24" s="27"/>
    </row>
    <row r="25" spans="1:57" x14ac:dyDescent="0.2">
      <c r="A25" s="9" t="s">
        <v>188</v>
      </c>
      <c r="B25" s="18" t="s">
        <v>184</v>
      </c>
      <c r="C25" s="18" t="s">
        <v>185</v>
      </c>
      <c r="D25" s="1">
        <f t="shared" ref="D25:D33" si="1">D4*$B51</f>
        <v>0</v>
      </c>
      <c r="E25" s="1">
        <f t="shared" ref="E25:AY25" si="2">E4*$B51</f>
        <v>0</v>
      </c>
      <c r="F25" s="1">
        <f t="shared" si="2"/>
        <v>0.3672755536605678</v>
      </c>
      <c r="G25" s="1">
        <f t="shared" si="2"/>
        <v>6.9957248316298626E-2</v>
      </c>
      <c r="H25" s="1">
        <f t="shared" si="2"/>
        <v>3.4201321399079331E-3</v>
      </c>
      <c r="I25" s="1">
        <f t="shared" si="2"/>
        <v>7.7730275906998483E-4</v>
      </c>
      <c r="J25" s="1">
        <f t="shared" si="2"/>
        <v>1.9432568976749619E-3</v>
      </c>
      <c r="K25" s="1">
        <f t="shared" si="2"/>
        <v>1.5235134077771701E-2</v>
      </c>
      <c r="L25" s="1">
        <f t="shared" si="2"/>
        <v>4.6638165544199087E-3</v>
      </c>
      <c r="M25" s="1">
        <f t="shared" si="2"/>
        <v>1.0221531281770299E-2</v>
      </c>
      <c r="N25" s="1">
        <f t="shared" si="2"/>
        <v>3.8865137953499239E-2</v>
      </c>
      <c r="O25" s="1">
        <f t="shared" si="2"/>
        <v>1.0493587247444795E-3</v>
      </c>
      <c r="P25" s="1">
        <f t="shared" si="2"/>
        <v>4.2751651748849165E-2</v>
      </c>
      <c r="Q25" s="1">
        <f t="shared" si="2"/>
        <v>9.3276331088398168E-2</v>
      </c>
      <c r="R25" s="1">
        <f t="shared" si="2"/>
        <v>0.92110376949793193</v>
      </c>
      <c r="S25" s="1">
        <f t="shared" si="2"/>
        <v>1.9432568976749619E-2</v>
      </c>
      <c r="T25" s="1">
        <f t="shared" si="2"/>
        <v>6.6070734520948704E-4</v>
      </c>
      <c r="U25" s="1">
        <f t="shared" si="2"/>
        <v>2.2930431392564549E-4</v>
      </c>
      <c r="V25" s="1">
        <f t="shared" si="2"/>
        <v>4.4306257266989131E-4</v>
      </c>
      <c r="W25" s="1">
        <f t="shared" si="2"/>
        <v>0</v>
      </c>
      <c r="X25" s="1">
        <f t="shared" si="2"/>
        <v>4.9358725200944031E-2</v>
      </c>
      <c r="Y25" s="1">
        <f t="shared" si="2"/>
        <v>1.4380101042794718E-4</v>
      </c>
      <c r="Z25" s="1">
        <f t="shared" si="2"/>
        <v>7.3843762111648546E-5</v>
      </c>
      <c r="AA25" s="1">
        <f t="shared" si="2"/>
        <v>2.3085891944378545E-3</v>
      </c>
      <c r="AB25" s="1">
        <f t="shared" si="2"/>
        <v>3.4589972778614319E-4</v>
      </c>
      <c r="AC25" s="1">
        <f t="shared" si="2"/>
        <v>3.1092110362799391E-4</v>
      </c>
      <c r="AD25" s="1">
        <f t="shared" si="2"/>
        <v>5.8297706930248855E-2</v>
      </c>
      <c r="AE25" s="1">
        <f t="shared" si="2"/>
        <v>0</v>
      </c>
      <c r="AF25" s="1">
        <f t="shared" si="2"/>
        <v>5.8297706930248855E-2</v>
      </c>
      <c r="AG25" s="1">
        <f t="shared" si="2"/>
        <v>5.8297706930248855E-2</v>
      </c>
      <c r="AH25" s="1">
        <f t="shared" si="2"/>
        <v>2.6039642428844489E-2</v>
      </c>
      <c r="AI25" s="1">
        <f t="shared" si="2"/>
        <v>0</v>
      </c>
      <c r="AJ25" s="1">
        <f t="shared" si="2"/>
        <v>3.2374659915264865</v>
      </c>
      <c r="AK25" s="1">
        <f t="shared" si="2"/>
        <v>0.16323357940469679</v>
      </c>
      <c r="AL25" s="1">
        <f t="shared" si="2"/>
        <v>0</v>
      </c>
      <c r="AM25" s="1">
        <f t="shared" si="2"/>
        <v>0.39253789333034228</v>
      </c>
      <c r="AN25" s="1">
        <f t="shared" si="2"/>
        <v>1.7450446941121158</v>
      </c>
      <c r="AO25" s="1">
        <f t="shared" si="2"/>
        <v>0</v>
      </c>
      <c r="AP25" s="1">
        <f t="shared" si="2"/>
        <v>9.9999999954353544</v>
      </c>
      <c r="AQ25" s="1">
        <f t="shared" si="2"/>
        <v>0.47804119682804064</v>
      </c>
      <c r="AR25" s="1">
        <f t="shared" si="2"/>
        <v>2.098717449488959E-3</v>
      </c>
      <c r="AS25" s="1">
        <f t="shared" si="2"/>
        <v>0</v>
      </c>
      <c r="AT25" s="1">
        <f t="shared" si="2"/>
        <v>0</v>
      </c>
      <c r="AU25" s="1">
        <f t="shared" si="2"/>
        <v>3.07034589832644E-2</v>
      </c>
      <c r="AV25" s="1">
        <f t="shared" si="2"/>
        <v>1.0882238626979787E-4</v>
      </c>
      <c r="AW25" s="1">
        <f t="shared" si="2"/>
        <v>1.2048192765584763E-4</v>
      </c>
      <c r="AX25" s="1">
        <f t="shared" si="2"/>
        <v>3.2258064501404369E-4</v>
      </c>
      <c r="AY25" s="1">
        <f t="shared" si="2"/>
        <v>0</v>
      </c>
      <c r="AZ25" s="1">
        <f>1.39*100/453.592*B51</f>
        <v>1.1909941479427313E-3</v>
      </c>
      <c r="BA25" s="27"/>
    </row>
    <row r="26" spans="1:57" x14ac:dyDescent="0.2">
      <c r="A26" s="9" t="s">
        <v>160</v>
      </c>
      <c r="B26" s="18" t="s">
        <v>157</v>
      </c>
      <c r="C26" s="18" t="s">
        <v>158</v>
      </c>
      <c r="D26" s="1">
        <f t="shared" si="1"/>
        <v>0</v>
      </c>
      <c r="E26" s="1">
        <f t="shared" ref="E26:AY26" si="3">E5*$B52</f>
        <v>0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  <c r="L26" s="1">
        <f t="shared" si="3"/>
        <v>0</v>
      </c>
      <c r="M26" s="1">
        <f t="shared" si="3"/>
        <v>0</v>
      </c>
      <c r="N26" s="1">
        <f t="shared" si="3"/>
        <v>0</v>
      </c>
      <c r="O26" s="1">
        <f t="shared" si="3"/>
        <v>0</v>
      </c>
      <c r="P26" s="1">
        <f t="shared" si="3"/>
        <v>0</v>
      </c>
      <c r="Q26" s="1">
        <f t="shared" si="3"/>
        <v>0</v>
      </c>
      <c r="R26" s="1">
        <f t="shared" si="3"/>
        <v>0</v>
      </c>
      <c r="S26" s="1">
        <f t="shared" si="3"/>
        <v>0</v>
      </c>
      <c r="T26" s="1">
        <f t="shared" si="3"/>
        <v>0</v>
      </c>
      <c r="U26" s="1">
        <f t="shared" si="3"/>
        <v>0</v>
      </c>
      <c r="V26" s="1">
        <f t="shared" si="3"/>
        <v>0</v>
      </c>
      <c r="W26" s="1">
        <f t="shared" si="3"/>
        <v>0</v>
      </c>
      <c r="X26" s="1">
        <f t="shared" si="3"/>
        <v>0</v>
      </c>
      <c r="Y26" s="1">
        <f t="shared" si="3"/>
        <v>0</v>
      </c>
      <c r="Z26" s="1">
        <f t="shared" si="3"/>
        <v>0</v>
      </c>
      <c r="AA26" s="1">
        <f t="shared" si="3"/>
        <v>0</v>
      </c>
      <c r="AB26" s="1">
        <f t="shared" si="3"/>
        <v>0</v>
      </c>
      <c r="AC26" s="1">
        <f t="shared" si="3"/>
        <v>0</v>
      </c>
      <c r="AD26" s="1">
        <f t="shared" si="3"/>
        <v>0</v>
      </c>
      <c r="AE26" s="1">
        <f t="shared" si="3"/>
        <v>0</v>
      </c>
      <c r="AF26" s="1">
        <f t="shared" si="3"/>
        <v>0</v>
      </c>
      <c r="AG26" s="1">
        <f t="shared" si="3"/>
        <v>0</v>
      </c>
      <c r="AH26" s="1">
        <f t="shared" si="3"/>
        <v>0</v>
      </c>
      <c r="AI26" s="1">
        <f t="shared" si="3"/>
        <v>0</v>
      </c>
      <c r="AJ26" s="1">
        <f t="shared" si="3"/>
        <v>0</v>
      </c>
      <c r="AK26" s="1">
        <f t="shared" si="3"/>
        <v>0</v>
      </c>
      <c r="AL26" s="1">
        <f t="shared" si="3"/>
        <v>0</v>
      </c>
      <c r="AM26" s="1">
        <f t="shared" si="3"/>
        <v>0</v>
      </c>
      <c r="AN26" s="1">
        <f t="shared" si="3"/>
        <v>0</v>
      </c>
      <c r="AO26" s="1">
        <f t="shared" si="3"/>
        <v>0</v>
      </c>
      <c r="AP26" s="1">
        <f t="shared" si="3"/>
        <v>0</v>
      </c>
      <c r="AQ26" s="1">
        <f t="shared" si="3"/>
        <v>0</v>
      </c>
      <c r="AR26" s="1">
        <f t="shared" si="3"/>
        <v>0</v>
      </c>
      <c r="AS26" s="1">
        <f t="shared" si="3"/>
        <v>0</v>
      </c>
      <c r="AT26" s="1">
        <f t="shared" si="3"/>
        <v>0</v>
      </c>
      <c r="AU26" s="1">
        <f t="shared" si="3"/>
        <v>0</v>
      </c>
      <c r="AV26" s="1">
        <f t="shared" si="3"/>
        <v>0</v>
      </c>
      <c r="AW26" s="1">
        <f t="shared" si="3"/>
        <v>0</v>
      </c>
      <c r="AX26" s="1">
        <f t="shared" si="3"/>
        <v>0</v>
      </c>
      <c r="AY26" s="1">
        <f t="shared" si="3"/>
        <v>0</v>
      </c>
      <c r="AZ26" s="1">
        <f>2.98*100/454*B52</f>
        <v>0</v>
      </c>
      <c r="BA26" s="27"/>
    </row>
    <row r="27" spans="1:57" x14ac:dyDescent="0.2">
      <c r="A27" s="9" t="s">
        <v>156</v>
      </c>
      <c r="B27" s="18" t="s">
        <v>153</v>
      </c>
      <c r="C27" s="18" t="s">
        <v>154</v>
      </c>
      <c r="D27" s="1">
        <f t="shared" si="1"/>
        <v>0</v>
      </c>
      <c r="E27" s="1">
        <f t="shared" ref="E27:AY27" si="4">E6*$B53</f>
        <v>0</v>
      </c>
      <c r="F27" s="1">
        <f t="shared" si="4"/>
        <v>0</v>
      </c>
      <c r="G27" s="1">
        <f t="shared" si="4"/>
        <v>0</v>
      </c>
      <c r="H27" s="1">
        <f t="shared" si="4"/>
        <v>0</v>
      </c>
      <c r="I27" s="1">
        <f t="shared" si="4"/>
        <v>0</v>
      </c>
      <c r="J27" s="1">
        <f t="shared" si="4"/>
        <v>0</v>
      </c>
      <c r="K27" s="1">
        <f t="shared" si="4"/>
        <v>0</v>
      </c>
      <c r="L27" s="1">
        <f t="shared" si="4"/>
        <v>0</v>
      </c>
      <c r="M27" s="1">
        <f t="shared" si="4"/>
        <v>0</v>
      </c>
      <c r="N27" s="1">
        <f t="shared" si="4"/>
        <v>0</v>
      </c>
      <c r="O27" s="1">
        <f t="shared" si="4"/>
        <v>0</v>
      </c>
      <c r="P27" s="1">
        <f t="shared" si="4"/>
        <v>0</v>
      </c>
      <c r="Q27" s="1">
        <f t="shared" si="4"/>
        <v>0</v>
      </c>
      <c r="R27" s="1">
        <f t="shared" si="4"/>
        <v>0</v>
      </c>
      <c r="S27" s="1">
        <f t="shared" si="4"/>
        <v>0</v>
      </c>
      <c r="T27" s="1">
        <f t="shared" si="4"/>
        <v>0</v>
      </c>
      <c r="U27" s="1">
        <f t="shared" si="4"/>
        <v>0</v>
      </c>
      <c r="V27" s="1">
        <f t="shared" si="4"/>
        <v>0</v>
      </c>
      <c r="W27" s="1">
        <f t="shared" si="4"/>
        <v>0</v>
      </c>
      <c r="X27" s="1">
        <f t="shared" si="4"/>
        <v>0</v>
      </c>
      <c r="Y27" s="1">
        <f t="shared" si="4"/>
        <v>0</v>
      </c>
      <c r="Z27" s="1">
        <f t="shared" si="4"/>
        <v>0</v>
      </c>
      <c r="AA27" s="1">
        <f t="shared" si="4"/>
        <v>0</v>
      </c>
      <c r="AB27" s="1">
        <f t="shared" si="4"/>
        <v>0</v>
      </c>
      <c r="AC27" s="1">
        <f t="shared" si="4"/>
        <v>0</v>
      </c>
      <c r="AD27" s="1">
        <f t="shared" si="4"/>
        <v>0</v>
      </c>
      <c r="AE27" s="1">
        <f t="shared" si="4"/>
        <v>0</v>
      </c>
      <c r="AF27" s="1">
        <f t="shared" si="4"/>
        <v>0</v>
      </c>
      <c r="AG27" s="1">
        <f t="shared" si="4"/>
        <v>0</v>
      </c>
      <c r="AH27" s="1">
        <f t="shared" si="4"/>
        <v>0</v>
      </c>
      <c r="AI27" s="1">
        <f t="shared" si="4"/>
        <v>0</v>
      </c>
      <c r="AJ27" s="1">
        <f t="shared" si="4"/>
        <v>0</v>
      </c>
      <c r="AK27" s="1">
        <f t="shared" si="4"/>
        <v>0</v>
      </c>
      <c r="AL27" s="1">
        <f t="shared" si="4"/>
        <v>0</v>
      </c>
      <c r="AM27" s="1">
        <f t="shared" si="4"/>
        <v>0</v>
      </c>
      <c r="AN27" s="1">
        <f t="shared" si="4"/>
        <v>0</v>
      </c>
      <c r="AO27" s="1">
        <f t="shared" si="4"/>
        <v>0</v>
      </c>
      <c r="AP27" s="1">
        <f t="shared" si="4"/>
        <v>0</v>
      </c>
      <c r="AQ27" s="1">
        <f t="shared" si="4"/>
        <v>0</v>
      </c>
      <c r="AR27" s="1">
        <f t="shared" si="4"/>
        <v>0</v>
      </c>
      <c r="AS27" s="1">
        <f t="shared" si="4"/>
        <v>0</v>
      </c>
      <c r="AT27" s="1">
        <f t="shared" si="4"/>
        <v>0</v>
      </c>
      <c r="AU27" s="1">
        <f t="shared" si="4"/>
        <v>0</v>
      </c>
      <c r="AV27" s="1">
        <f t="shared" si="4"/>
        <v>0</v>
      </c>
      <c r="AW27" s="1">
        <f t="shared" si="4"/>
        <v>0</v>
      </c>
      <c r="AX27" s="1">
        <f t="shared" si="4"/>
        <v>0</v>
      </c>
      <c r="AY27" s="1">
        <f t="shared" si="4"/>
        <v>0</v>
      </c>
      <c r="AZ27" s="1">
        <f>1.48*D53</f>
        <v>0</v>
      </c>
      <c r="BA27" s="27"/>
    </row>
    <row r="28" spans="1:57" x14ac:dyDescent="0.2">
      <c r="A28" s="9" t="s">
        <v>11</v>
      </c>
      <c r="B28" s="18" t="s">
        <v>79</v>
      </c>
      <c r="C28" s="18" t="s">
        <v>80</v>
      </c>
      <c r="D28" s="1">
        <f t="shared" si="1"/>
        <v>2.7801077246266553E-11</v>
      </c>
      <c r="E28" s="1">
        <f t="shared" ref="E28:AY28" si="5">E7*$B54</f>
        <v>0</v>
      </c>
      <c r="F28" s="1">
        <f t="shared" si="5"/>
        <v>3.0571013845071405E-11</v>
      </c>
      <c r="G28" s="1">
        <f t="shared" si="5"/>
        <v>9.8320882944113418E-12</v>
      </c>
      <c r="H28" s="1">
        <f t="shared" si="5"/>
        <v>1.2307062244383851E-12</v>
      </c>
      <c r="I28" s="1">
        <f t="shared" si="5"/>
        <v>1.9325139061429187E-13</v>
      </c>
      <c r="J28" s="1">
        <f t="shared" si="5"/>
        <v>4.8482366417269717E-13</v>
      </c>
      <c r="K28" s="1">
        <f t="shared" si="5"/>
        <v>1.4273479903266119E-12</v>
      </c>
      <c r="L28" s="1">
        <f t="shared" si="5"/>
        <v>9.8320882944113406E-13</v>
      </c>
      <c r="M28" s="1">
        <f t="shared" si="5"/>
        <v>2.2037439280577145E-13</v>
      </c>
      <c r="N28" s="1">
        <f t="shared" si="5"/>
        <v>4.3735841033760794E-11</v>
      </c>
      <c r="O28" s="1">
        <f t="shared" si="5"/>
        <v>6.407809267737046E-13</v>
      </c>
      <c r="P28" s="1">
        <f t="shared" si="5"/>
        <v>2.5427814554512089E-11</v>
      </c>
      <c r="Q28" s="1">
        <f t="shared" si="5"/>
        <v>1.6612838842281232E-11</v>
      </c>
      <c r="R28" s="1">
        <f t="shared" si="5"/>
        <v>1.1730698447814911E-10</v>
      </c>
      <c r="S28" s="1">
        <f t="shared" si="5"/>
        <v>2.5088777027118595E-11</v>
      </c>
      <c r="T28" s="1">
        <f t="shared" si="5"/>
        <v>1.8986101534035696E-13</v>
      </c>
      <c r="U28" s="1">
        <f t="shared" si="5"/>
        <v>4.8821403944663206E-14</v>
      </c>
      <c r="V28" s="1">
        <f t="shared" si="5"/>
        <v>2.3868241928502014E-13</v>
      </c>
      <c r="W28" s="1">
        <f t="shared" si="5"/>
        <v>2.0342251643609673E-12</v>
      </c>
      <c r="X28" s="1">
        <f t="shared" si="5"/>
        <v>1.86470640066422E-12</v>
      </c>
      <c r="Y28" s="1">
        <f t="shared" si="5"/>
        <v>3.1869527574988487E-14</v>
      </c>
      <c r="Z28" s="1">
        <f t="shared" si="5"/>
        <v>7.5944406136142781E-14</v>
      </c>
      <c r="AA28" s="1">
        <f t="shared" si="5"/>
        <v>1.7189202638850174E-13</v>
      </c>
      <c r="AB28" s="1">
        <f t="shared" si="5"/>
        <v>3.1869527574988487E-14</v>
      </c>
      <c r="AC28" s="1">
        <f t="shared" si="5"/>
        <v>5.8314454711681051E-14</v>
      </c>
      <c r="AD28" s="1">
        <f t="shared" si="5"/>
        <v>4.9160441472056709E-11</v>
      </c>
      <c r="AE28" s="1">
        <f t="shared" si="5"/>
        <v>0</v>
      </c>
      <c r="AF28" s="1">
        <f t="shared" si="5"/>
        <v>4.9160441472056709E-11</v>
      </c>
      <c r="AG28" s="1">
        <f t="shared" si="5"/>
        <v>4.9160441472056709E-11</v>
      </c>
      <c r="AH28" s="1">
        <f t="shared" si="5"/>
        <v>7.4927293553962292E-12</v>
      </c>
      <c r="AI28" s="1">
        <f t="shared" si="5"/>
        <v>0</v>
      </c>
      <c r="AJ28" s="1">
        <f t="shared" si="5"/>
        <v>3.9755540462161165E-9</v>
      </c>
      <c r="AK28" s="1">
        <f t="shared" si="5"/>
        <v>1.986759910525878E-10</v>
      </c>
      <c r="AL28" s="1">
        <f t="shared" si="5"/>
        <v>0</v>
      </c>
      <c r="AM28" s="1">
        <f t="shared" si="5"/>
        <v>0</v>
      </c>
      <c r="AN28" s="1">
        <f t="shared" si="5"/>
        <v>2.385129005213234E-9</v>
      </c>
      <c r="AO28" s="1">
        <f t="shared" si="5"/>
        <v>0</v>
      </c>
      <c r="AP28" s="1">
        <f t="shared" si="5"/>
        <v>0</v>
      </c>
      <c r="AQ28" s="1">
        <f t="shared" si="5"/>
        <v>4.2891637590550995E-9</v>
      </c>
      <c r="AR28" s="1">
        <f t="shared" si="5"/>
        <v>9.8320882944113406E-13</v>
      </c>
      <c r="AS28" s="1">
        <f t="shared" si="5"/>
        <v>0</v>
      </c>
      <c r="AT28" s="1">
        <f t="shared" si="5"/>
        <v>0</v>
      </c>
      <c r="AU28" s="1">
        <f t="shared" si="5"/>
        <v>1.2612196019037995E-10</v>
      </c>
      <c r="AV28" s="1">
        <f t="shared" si="5"/>
        <v>1.3900538623133277E-14</v>
      </c>
      <c r="AW28" s="1">
        <f t="shared" si="5"/>
        <v>0</v>
      </c>
      <c r="AX28" s="1">
        <f t="shared" si="5"/>
        <v>2.7801077246266554E-14</v>
      </c>
      <c r="AY28" s="1">
        <f t="shared" si="5"/>
        <v>0</v>
      </c>
      <c r="AZ28" s="1">
        <f>1.29*D54</f>
        <v>0</v>
      </c>
      <c r="BA28" s="27" t="s">
        <v>193</v>
      </c>
    </row>
    <row r="29" spans="1:57" x14ac:dyDescent="0.2">
      <c r="A29" s="9" t="s">
        <v>12</v>
      </c>
      <c r="B29" s="18" t="s">
        <v>81</v>
      </c>
      <c r="C29" s="18" t="s">
        <v>82</v>
      </c>
      <c r="D29" s="1">
        <f t="shared" si="1"/>
        <v>37.330111064487518</v>
      </c>
      <c r="E29" s="1">
        <f t="shared" ref="E29:AY29" si="6">E8*$B55</f>
        <v>28.619751816107097</v>
      </c>
      <c r="F29" s="1">
        <f t="shared" si="6"/>
        <v>17.516117669481197</v>
      </c>
      <c r="G29" s="1">
        <f t="shared" si="6"/>
        <v>10.369475295690977</v>
      </c>
      <c r="H29" s="1">
        <f t="shared" si="6"/>
        <v>0.68438536951560447</v>
      </c>
      <c r="I29" s="1">
        <f t="shared" si="6"/>
        <v>0.14517265413967367</v>
      </c>
      <c r="J29" s="1">
        <f t="shared" si="6"/>
        <v>0.31730594404814394</v>
      </c>
      <c r="K29" s="1">
        <f t="shared" si="6"/>
        <v>2.0759689541973336</v>
      </c>
      <c r="L29" s="1">
        <f t="shared" si="6"/>
        <v>0.4147790118276391</v>
      </c>
      <c r="M29" s="1">
        <f t="shared" si="6"/>
        <v>0</v>
      </c>
      <c r="N29" s="1">
        <f t="shared" si="6"/>
        <v>27.99758329836564</v>
      </c>
      <c r="O29" s="1">
        <f t="shared" si="6"/>
        <v>0.35256216005349322</v>
      </c>
      <c r="P29" s="1">
        <f t="shared" si="6"/>
        <v>7.0512432010698642</v>
      </c>
      <c r="Q29" s="1">
        <f t="shared" si="6"/>
        <v>11.613812331173895</v>
      </c>
      <c r="R29" s="1">
        <f t="shared" si="6"/>
        <v>92.703109143477334</v>
      </c>
      <c r="S29" s="1">
        <f t="shared" si="6"/>
        <v>8.9177487542942409</v>
      </c>
      <c r="T29" s="1">
        <f t="shared" si="6"/>
        <v>9.12513826020806E-2</v>
      </c>
      <c r="U29" s="1">
        <f t="shared" si="6"/>
        <v>6.0142956715007669E-2</v>
      </c>
      <c r="V29" s="1">
        <f t="shared" si="6"/>
        <v>0.16051947757729634</v>
      </c>
      <c r="W29" s="1">
        <f t="shared" si="6"/>
        <v>0.1866505553224376</v>
      </c>
      <c r="X29" s="1">
        <f t="shared" si="6"/>
        <v>24.886740709658348</v>
      </c>
      <c r="Y29" s="1">
        <f t="shared" si="6"/>
        <v>2.281284565052015E-2</v>
      </c>
      <c r="Z29" s="1">
        <f t="shared" si="6"/>
        <v>2.6960635768796544E-2</v>
      </c>
      <c r="AA29" s="1">
        <f t="shared" si="6"/>
        <v>0.20738950591381955</v>
      </c>
      <c r="AB29" s="1">
        <f t="shared" si="6"/>
        <v>1.8872445038157579E-2</v>
      </c>
      <c r="AC29" s="1">
        <f t="shared" si="6"/>
        <v>5.6202556102645101E-2</v>
      </c>
      <c r="AD29" s="1">
        <f t="shared" si="6"/>
        <v>6.0142956715007667</v>
      </c>
      <c r="AE29" s="1">
        <f t="shared" si="6"/>
        <v>0</v>
      </c>
      <c r="AF29" s="1">
        <f t="shared" si="6"/>
        <v>6.0142956715007667</v>
      </c>
      <c r="AG29" s="1">
        <f t="shared" si="6"/>
        <v>6.0142956715007667</v>
      </c>
      <c r="AH29" s="1">
        <f t="shared" si="6"/>
        <v>0</v>
      </c>
      <c r="AI29" s="1">
        <f t="shared" si="6"/>
        <v>0</v>
      </c>
      <c r="AJ29" s="1">
        <f t="shared" si="6"/>
        <v>3188.8210429308892</v>
      </c>
      <c r="AK29" s="1">
        <f t="shared" si="6"/>
        <v>159.48253004772724</v>
      </c>
      <c r="AL29" s="1">
        <f t="shared" si="6"/>
        <v>0</v>
      </c>
      <c r="AM29" s="1">
        <f t="shared" si="6"/>
        <v>0</v>
      </c>
      <c r="AN29" s="1">
        <f t="shared" si="6"/>
        <v>1913.3755815608993</v>
      </c>
      <c r="AO29" s="1">
        <f t="shared" si="6"/>
        <v>0</v>
      </c>
      <c r="AP29" s="1">
        <f t="shared" si="6"/>
        <v>0</v>
      </c>
      <c r="AQ29" s="1">
        <f t="shared" si="6"/>
        <v>8202.2549588915626</v>
      </c>
      <c r="AR29" s="1">
        <f t="shared" si="6"/>
        <v>0</v>
      </c>
      <c r="AS29" s="1">
        <f t="shared" si="6"/>
        <v>0</v>
      </c>
      <c r="AT29" s="1">
        <f t="shared" si="6"/>
        <v>0</v>
      </c>
      <c r="AU29" s="1">
        <f t="shared" si="6"/>
        <v>169.43722633159058</v>
      </c>
      <c r="AV29" s="1">
        <f t="shared" si="6"/>
        <v>1.8872445038157579E-2</v>
      </c>
      <c r="AW29" s="1">
        <f t="shared" si="6"/>
        <v>1.0784254307518617E-2</v>
      </c>
      <c r="AX29" s="1">
        <f t="shared" si="6"/>
        <v>7.009765299887101E-2</v>
      </c>
      <c r="AY29" s="1">
        <f t="shared" si="6"/>
        <v>0</v>
      </c>
      <c r="AZ29" s="1">
        <f>0.48*D55</f>
        <v>0.14857755647557222</v>
      </c>
      <c r="BA29" s="27"/>
    </row>
    <row r="30" spans="1:57" x14ac:dyDescent="0.2">
      <c r="A30" s="9" t="s">
        <v>13</v>
      </c>
      <c r="B30" s="18" t="s">
        <v>71</v>
      </c>
      <c r="C30" s="18" t="s">
        <v>72</v>
      </c>
      <c r="D30" s="1">
        <f t="shared" si="1"/>
        <v>-5.0729338706791192E-13</v>
      </c>
      <c r="E30" s="1">
        <f t="shared" ref="E30:AY30" si="7">E9*$B56</f>
        <v>-2.8662076369337024E-12</v>
      </c>
      <c r="F30" s="1">
        <f t="shared" si="7"/>
        <v>-2.2810447149508663E-12</v>
      </c>
      <c r="G30" s="1">
        <f t="shared" si="7"/>
        <v>-9.8922210478242822E-13</v>
      </c>
      <c r="H30" s="1">
        <f t="shared" si="7"/>
        <v>-4.5402758142578117E-14</v>
      </c>
      <c r="I30" s="1">
        <f t="shared" si="7"/>
        <v>-5.3265805642130755E-15</v>
      </c>
      <c r="J30" s="1">
        <f t="shared" si="7"/>
        <v>-1.3443274757299667E-14</v>
      </c>
      <c r="K30" s="1">
        <f t="shared" si="7"/>
        <v>-1.9124960692460281E-13</v>
      </c>
      <c r="L30" s="1">
        <f t="shared" si="7"/>
        <v>-6.5948140318828554E-14</v>
      </c>
      <c r="M30" s="1">
        <f t="shared" si="7"/>
        <v>-5.6055919271004271E-14</v>
      </c>
      <c r="N30" s="1">
        <f t="shared" si="7"/>
        <v>-1.0653161128426151E-12</v>
      </c>
      <c r="O30" s="1">
        <f t="shared" si="7"/>
        <v>-2.1559968950386257E-14</v>
      </c>
      <c r="P30" s="1">
        <f t="shared" si="7"/>
        <v>-5.5802272577470315E-13</v>
      </c>
      <c r="Q30" s="1">
        <f t="shared" si="7"/>
        <v>-8.1166941930865911E-13</v>
      </c>
      <c r="R30" s="1">
        <f t="shared" si="7"/>
        <v>-4.7178284997315809E-12</v>
      </c>
      <c r="S30" s="1">
        <f t="shared" si="7"/>
        <v>-7.6094008060186798E-14</v>
      </c>
      <c r="T30" s="1">
        <f t="shared" si="7"/>
        <v>-6.5948140318828552E-15</v>
      </c>
      <c r="U30" s="1">
        <f t="shared" si="7"/>
        <v>-1.2428687983163843E-15</v>
      </c>
      <c r="V30" s="1">
        <f t="shared" si="7"/>
        <v>-9.3595629914029753E-15</v>
      </c>
      <c r="W30" s="1">
        <f t="shared" si="7"/>
        <v>-1.5218801612037356E-14</v>
      </c>
      <c r="X30" s="1">
        <f t="shared" si="7"/>
        <v>-3.272042346588032E-13</v>
      </c>
      <c r="Y30" s="1">
        <f t="shared" si="7"/>
        <v>-2.4857375966327686E-15</v>
      </c>
      <c r="Z30" s="1">
        <f t="shared" si="7"/>
        <v>-2.3081849111589994E-15</v>
      </c>
      <c r="AA30" s="1">
        <f t="shared" si="7"/>
        <v>-1.2580875999284216E-14</v>
      </c>
      <c r="AB30" s="1">
        <f t="shared" si="7"/>
        <v>-2.6379256127531422E-15</v>
      </c>
      <c r="AC30" s="1">
        <f t="shared" si="7"/>
        <v>-1.1160454515494061E-15</v>
      </c>
      <c r="AD30" s="1">
        <f t="shared" si="7"/>
        <v>-3.8047004030093394E-13</v>
      </c>
      <c r="AE30" s="1">
        <f t="shared" si="7"/>
        <v>0</v>
      </c>
      <c r="AF30" s="1">
        <f t="shared" si="7"/>
        <v>-3.8047004030093394E-13</v>
      </c>
      <c r="AG30" s="1">
        <f t="shared" si="7"/>
        <v>-3.8047004030093394E-13</v>
      </c>
      <c r="AH30" s="1">
        <f t="shared" si="7"/>
        <v>0</v>
      </c>
      <c r="AI30" s="1">
        <f t="shared" si="7"/>
        <v>0</v>
      </c>
      <c r="AJ30" s="1">
        <f t="shared" si="7"/>
        <v>-1.3874474136307391E-11</v>
      </c>
      <c r="AK30" s="1">
        <f t="shared" si="7"/>
        <v>-6.8484607254168113E-13</v>
      </c>
      <c r="AL30" s="1">
        <f t="shared" si="7"/>
        <v>0</v>
      </c>
      <c r="AM30" s="1">
        <f t="shared" si="7"/>
        <v>-1.8262561934444831E-12</v>
      </c>
      <c r="AN30" s="1">
        <f t="shared" si="7"/>
        <v>-7.4064834511915142E-12</v>
      </c>
      <c r="AO30" s="1">
        <f t="shared" si="7"/>
        <v>0</v>
      </c>
      <c r="AP30" s="1">
        <f t="shared" si="7"/>
        <v>0</v>
      </c>
      <c r="AQ30" s="1">
        <f t="shared" si="7"/>
        <v>-1.6816775781301282E-11</v>
      </c>
      <c r="AR30" s="1">
        <f t="shared" si="7"/>
        <v>-1.0653161128426151E-14</v>
      </c>
      <c r="AS30" s="1">
        <f t="shared" si="7"/>
        <v>0</v>
      </c>
      <c r="AT30" s="1">
        <f t="shared" si="7"/>
        <v>0</v>
      </c>
      <c r="AU30" s="1">
        <f t="shared" si="7"/>
        <v>-1.1363371870321227E-12</v>
      </c>
      <c r="AV30" s="1">
        <f t="shared" si="7"/>
        <v>-1.1921394596095931E-15</v>
      </c>
      <c r="AW30" s="1">
        <f t="shared" si="7"/>
        <v>-2.0291735482716478E-16</v>
      </c>
      <c r="AX30" s="1">
        <f t="shared" si="7"/>
        <v>-2.7393842901667245E-15</v>
      </c>
      <c r="AY30" s="1">
        <f t="shared" si="7"/>
        <v>0</v>
      </c>
      <c r="AZ30" s="1">
        <f>0.52*D56</f>
        <v>0</v>
      </c>
      <c r="BA30" s="27" t="s">
        <v>192</v>
      </c>
    </row>
    <row r="31" spans="1:57" x14ac:dyDescent="0.2">
      <c r="A31" s="9" t="s">
        <v>14</v>
      </c>
      <c r="B31" s="18" t="s">
        <v>75</v>
      </c>
      <c r="C31" s="18" t="s">
        <v>76</v>
      </c>
      <c r="D31" s="1">
        <f t="shared" si="1"/>
        <v>6.9619200658890318E-14</v>
      </c>
      <c r="E31" s="1">
        <f t="shared" ref="E31:AY31" si="8">E10*$B57</f>
        <v>4.0031040378861937E-12</v>
      </c>
      <c r="F31" s="1">
        <f t="shared" si="8"/>
        <v>3.0733396130867135E-12</v>
      </c>
      <c r="G31" s="1">
        <f t="shared" si="8"/>
        <v>1.4271936135072515E-12</v>
      </c>
      <c r="H31" s="1">
        <f t="shared" si="8"/>
        <v>3.2372928306383997E-14</v>
      </c>
      <c r="I31" s="1">
        <f t="shared" si="8"/>
        <v>8.3543040790668376E-15</v>
      </c>
      <c r="J31" s="1">
        <f t="shared" si="8"/>
        <v>3.3765312319561806E-14</v>
      </c>
      <c r="K31" s="1">
        <f t="shared" si="8"/>
        <v>3.3347597115608463E-13</v>
      </c>
      <c r="L31" s="1">
        <f t="shared" si="8"/>
        <v>9.7466880922446441E-14</v>
      </c>
      <c r="M31" s="1">
        <f t="shared" si="8"/>
        <v>1.6499750556157005E-13</v>
      </c>
      <c r="N31" s="1">
        <f t="shared" si="8"/>
        <v>1.1487168108716903E-12</v>
      </c>
      <c r="O31" s="1">
        <f t="shared" si="8"/>
        <v>1.0442880098833547E-14</v>
      </c>
      <c r="P31" s="1">
        <f t="shared" si="8"/>
        <v>4.1771520395334194E-13</v>
      </c>
      <c r="Q31" s="1">
        <f t="shared" si="8"/>
        <v>1.2183360115305806E-12</v>
      </c>
      <c r="R31" s="1">
        <f t="shared" si="8"/>
        <v>1.1139072105422451E-11</v>
      </c>
      <c r="S31" s="1">
        <f t="shared" si="8"/>
        <v>2.4018624227317159E-12</v>
      </c>
      <c r="T31" s="1">
        <f t="shared" si="8"/>
        <v>8.3543040790668376E-15</v>
      </c>
      <c r="U31" s="1">
        <f t="shared" si="8"/>
        <v>1.5664320148250322E-15</v>
      </c>
      <c r="V31" s="1">
        <f t="shared" si="8"/>
        <v>4.9777728471106572E-15</v>
      </c>
      <c r="W31" s="1">
        <f t="shared" si="8"/>
        <v>3.4809600329445161E-15</v>
      </c>
      <c r="X31" s="1">
        <f t="shared" si="8"/>
        <v>2.0537664194372644E-13</v>
      </c>
      <c r="Y31" s="1">
        <f t="shared" si="8"/>
        <v>2.2974336217433807E-15</v>
      </c>
      <c r="Z31" s="1">
        <f t="shared" si="8"/>
        <v>2.0189568191078194E-15</v>
      </c>
      <c r="AA31" s="1">
        <f t="shared" si="8"/>
        <v>3.4217837123844589E-14</v>
      </c>
      <c r="AB31" s="1">
        <f t="shared" si="8"/>
        <v>9.5030208899385298E-15</v>
      </c>
      <c r="AC31" s="1">
        <f t="shared" si="8"/>
        <v>4.8037248454634327E-15</v>
      </c>
      <c r="AD31" s="1">
        <f t="shared" si="8"/>
        <v>6.6138240625945798E-13</v>
      </c>
      <c r="AE31" s="1">
        <f t="shared" si="8"/>
        <v>0</v>
      </c>
      <c r="AF31" s="1">
        <f t="shared" si="8"/>
        <v>6.6138240625945798E-13</v>
      </c>
      <c r="AG31" s="1">
        <f t="shared" si="8"/>
        <v>6.6138240625945798E-13</v>
      </c>
      <c r="AH31" s="1">
        <f t="shared" si="8"/>
        <v>3.0632448289911745E-13</v>
      </c>
      <c r="AI31" s="1">
        <f t="shared" si="8"/>
        <v>0</v>
      </c>
      <c r="AJ31" s="1">
        <f t="shared" si="8"/>
        <v>5.8152918310371083E-10</v>
      </c>
      <c r="AK31" s="1">
        <f t="shared" si="8"/>
        <v>2.9066016275086707E-11</v>
      </c>
      <c r="AL31" s="1">
        <f t="shared" si="8"/>
        <v>0</v>
      </c>
      <c r="AM31" s="1">
        <f t="shared" si="8"/>
        <v>1.2103298034548081E-10</v>
      </c>
      <c r="AN31" s="1">
        <f t="shared" si="8"/>
        <v>2.8839753872945312E-10</v>
      </c>
      <c r="AO31" s="1">
        <f t="shared" si="8"/>
        <v>0</v>
      </c>
      <c r="AP31" s="1">
        <f t="shared" si="8"/>
        <v>3.4809600329445159E-14</v>
      </c>
      <c r="AQ31" s="1">
        <f t="shared" si="8"/>
        <v>8.9112576843379608E-12</v>
      </c>
      <c r="AR31" s="1">
        <f t="shared" si="8"/>
        <v>2.2974336217433805E-14</v>
      </c>
      <c r="AS31" s="1">
        <f t="shared" si="8"/>
        <v>0</v>
      </c>
      <c r="AT31" s="1">
        <f t="shared" si="8"/>
        <v>0</v>
      </c>
      <c r="AU31" s="1">
        <f t="shared" si="8"/>
        <v>4.5948672434867607E-13</v>
      </c>
      <c r="AV31" s="1">
        <f t="shared" si="8"/>
        <v>1.2879552121894708E-15</v>
      </c>
      <c r="AW31" s="1">
        <f t="shared" si="8"/>
        <v>4.8733440461223224E-16</v>
      </c>
      <c r="AX31" s="1">
        <f t="shared" si="8"/>
        <v>4.072723238545084E-15</v>
      </c>
      <c r="AY31" s="1">
        <f t="shared" si="8"/>
        <v>0</v>
      </c>
      <c r="AZ31" s="1">
        <f>0.52*D57</f>
        <v>0</v>
      </c>
      <c r="BA31" s="27" t="s">
        <v>191</v>
      </c>
    </row>
    <row r="32" spans="1:57" x14ac:dyDescent="0.2">
      <c r="A32" s="9" t="s">
        <v>15</v>
      </c>
      <c r="B32" s="18" t="s">
        <v>83</v>
      </c>
      <c r="C32" s="18" t="s">
        <v>84</v>
      </c>
      <c r="D32" s="1">
        <f t="shared" si="1"/>
        <v>0</v>
      </c>
      <c r="E32" s="1">
        <f t="shared" ref="E32:AY32" si="9">E11*$B58</f>
        <v>0</v>
      </c>
      <c r="F32" s="1">
        <f t="shared" si="9"/>
        <v>0</v>
      </c>
      <c r="G32" s="1">
        <f t="shared" si="9"/>
        <v>0</v>
      </c>
      <c r="H32" s="1">
        <f t="shared" si="9"/>
        <v>0</v>
      </c>
      <c r="I32" s="1">
        <f t="shared" si="9"/>
        <v>0</v>
      </c>
      <c r="J32" s="1">
        <f t="shared" si="9"/>
        <v>0</v>
      </c>
      <c r="K32" s="1">
        <f t="shared" si="9"/>
        <v>0</v>
      </c>
      <c r="L32" s="1">
        <f t="shared" si="9"/>
        <v>0</v>
      </c>
      <c r="M32" s="1">
        <f t="shared" si="9"/>
        <v>0</v>
      </c>
      <c r="N32" s="1">
        <f t="shared" si="9"/>
        <v>0</v>
      </c>
      <c r="O32" s="1">
        <f t="shared" si="9"/>
        <v>0</v>
      </c>
      <c r="P32" s="1">
        <f t="shared" si="9"/>
        <v>0</v>
      </c>
      <c r="Q32" s="1">
        <f t="shared" si="9"/>
        <v>0</v>
      </c>
      <c r="R32" s="1">
        <f t="shared" si="9"/>
        <v>0</v>
      </c>
      <c r="S32" s="1">
        <f t="shared" si="9"/>
        <v>0</v>
      </c>
      <c r="T32" s="1">
        <f t="shared" si="9"/>
        <v>0</v>
      </c>
      <c r="U32" s="1">
        <f t="shared" si="9"/>
        <v>0</v>
      </c>
      <c r="V32" s="1">
        <f t="shared" si="9"/>
        <v>0</v>
      </c>
      <c r="W32" s="1">
        <f t="shared" si="9"/>
        <v>0</v>
      </c>
      <c r="X32" s="1">
        <f t="shared" si="9"/>
        <v>0</v>
      </c>
      <c r="Y32" s="1">
        <f t="shared" si="9"/>
        <v>0</v>
      </c>
      <c r="Z32" s="1">
        <f t="shared" si="9"/>
        <v>0</v>
      </c>
      <c r="AA32" s="1">
        <f t="shared" si="9"/>
        <v>0</v>
      </c>
      <c r="AB32" s="1">
        <f t="shared" si="9"/>
        <v>0</v>
      </c>
      <c r="AC32" s="1">
        <f t="shared" si="9"/>
        <v>0</v>
      </c>
      <c r="AD32" s="1">
        <f t="shared" si="9"/>
        <v>0</v>
      </c>
      <c r="AE32" s="1">
        <f t="shared" si="9"/>
        <v>0</v>
      </c>
      <c r="AF32" s="1">
        <f t="shared" si="9"/>
        <v>0</v>
      </c>
      <c r="AG32" s="1">
        <f t="shared" si="9"/>
        <v>0</v>
      </c>
      <c r="AH32" s="1">
        <f t="shared" si="9"/>
        <v>0</v>
      </c>
      <c r="AI32" s="1">
        <f t="shared" si="9"/>
        <v>0</v>
      </c>
      <c r="AJ32" s="1">
        <f t="shared" si="9"/>
        <v>0</v>
      </c>
      <c r="AK32" s="1">
        <f t="shared" si="9"/>
        <v>0</v>
      </c>
      <c r="AL32" s="1">
        <f t="shared" si="9"/>
        <v>0</v>
      </c>
      <c r="AM32" s="1">
        <f t="shared" si="9"/>
        <v>0</v>
      </c>
      <c r="AN32" s="1">
        <f t="shared" si="9"/>
        <v>0</v>
      </c>
      <c r="AO32" s="1">
        <f t="shared" si="9"/>
        <v>0</v>
      </c>
      <c r="AP32" s="1">
        <f t="shared" si="9"/>
        <v>0</v>
      </c>
      <c r="AQ32" s="1">
        <f t="shared" si="9"/>
        <v>0</v>
      </c>
      <c r="AR32" s="1">
        <f t="shared" si="9"/>
        <v>0</v>
      </c>
      <c r="AS32" s="1">
        <f t="shared" si="9"/>
        <v>0</v>
      </c>
      <c r="AT32" s="1">
        <f t="shared" si="9"/>
        <v>0</v>
      </c>
      <c r="AU32" s="1">
        <f t="shared" si="9"/>
        <v>0</v>
      </c>
      <c r="AV32" s="1">
        <f t="shared" si="9"/>
        <v>0</v>
      </c>
      <c r="AW32" s="1">
        <f t="shared" si="9"/>
        <v>0</v>
      </c>
      <c r="AX32" s="1">
        <f t="shared" si="9"/>
        <v>0</v>
      </c>
      <c r="AY32" s="1">
        <f t="shared" si="9"/>
        <v>0</v>
      </c>
      <c r="AZ32" s="1">
        <f>1.38*B58</f>
        <v>0</v>
      </c>
      <c r="BA32" s="27"/>
    </row>
    <row r="33" spans="1:53" x14ac:dyDescent="0.2">
      <c r="A33" s="9" t="s">
        <v>16</v>
      </c>
      <c r="B33" s="18" t="s">
        <v>86</v>
      </c>
      <c r="C33" s="18" t="s">
        <v>87</v>
      </c>
      <c r="D33" s="1">
        <f t="shared" si="1"/>
        <v>0</v>
      </c>
      <c r="E33" s="1">
        <f t="shared" ref="E33:AY33" si="10">E12*$B59</f>
        <v>0</v>
      </c>
      <c r="F33" s="1">
        <f t="shared" si="10"/>
        <v>33.633255243682527</v>
      </c>
      <c r="G33" s="1">
        <f t="shared" si="10"/>
        <v>37.428311994781282</v>
      </c>
      <c r="H33" s="1">
        <f t="shared" si="10"/>
        <v>0.68328430036984433</v>
      </c>
      <c r="I33" s="1">
        <f t="shared" si="10"/>
        <v>2.1760646508593769E-2</v>
      </c>
      <c r="J33" s="1">
        <f t="shared" si="10"/>
        <v>0.4308608008701566</v>
      </c>
      <c r="K33" s="1">
        <f t="shared" si="10"/>
        <v>8.756484155058132</v>
      </c>
      <c r="L33" s="1">
        <f t="shared" si="10"/>
        <v>1.3056387905156259</v>
      </c>
      <c r="M33" s="1">
        <f t="shared" si="10"/>
        <v>1.8191900481184389</v>
      </c>
      <c r="N33" s="1">
        <f t="shared" si="10"/>
        <v>13.05638790515626</v>
      </c>
      <c r="O33" s="1">
        <f t="shared" si="10"/>
        <v>0.26547988740484396</v>
      </c>
      <c r="P33" s="1">
        <f t="shared" si="10"/>
        <v>10.880323254296883</v>
      </c>
      <c r="Q33" s="1">
        <f t="shared" si="10"/>
        <v>20.455007718078143</v>
      </c>
      <c r="R33" s="1">
        <f t="shared" si="10"/>
        <v>146.666757467922</v>
      </c>
      <c r="S33" s="1">
        <f t="shared" si="10"/>
        <v>23.936711159453143</v>
      </c>
      <c r="T33" s="1">
        <f t="shared" si="10"/>
        <v>0.13056387905156261</v>
      </c>
      <c r="U33" s="1">
        <f t="shared" si="10"/>
        <v>6.5717152455953179E-2</v>
      </c>
      <c r="V33" s="1">
        <f t="shared" si="10"/>
        <v>0.11228493598434384</v>
      </c>
      <c r="W33" s="1">
        <f t="shared" si="10"/>
        <v>0.26112775810312522</v>
      </c>
      <c r="X33" s="1">
        <f t="shared" si="10"/>
        <v>1.0445110324125009</v>
      </c>
      <c r="Y33" s="1">
        <f t="shared" si="10"/>
        <v>3.3946608553406275E-2</v>
      </c>
      <c r="Z33" s="1">
        <f t="shared" si="10"/>
        <v>2.6547988740484394E-2</v>
      </c>
      <c r="AA33" s="1">
        <f t="shared" si="10"/>
        <v>0.24241360210573459</v>
      </c>
      <c r="AB33" s="1">
        <f t="shared" si="10"/>
        <v>0.34817034413750031</v>
      </c>
      <c r="AC33" s="1">
        <f t="shared" si="10"/>
        <v>9.0959502405921946E-2</v>
      </c>
      <c r="AD33" s="1">
        <f t="shared" si="10"/>
        <v>4.7873422318906291</v>
      </c>
      <c r="AE33" s="1">
        <f t="shared" si="10"/>
        <v>0</v>
      </c>
      <c r="AF33" s="1">
        <f t="shared" si="10"/>
        <v>4.7873422318906291</v>
      </c>
      <c r="AG33" s="1">
        <f t="shared" si="10"/>
        <v>4.7873422318906291</v>
      </c>
      <c r="AH33" s="1">
        <f t="shared" si="10"/>
        <v>5.3531190411140672</v>
      </c>
      <c r="AI33" s="1">
        <f t="shared" si="10"/>
        <v>0</v>
      </c>
      <c r="AJ33" s="1">
        <f t="shared" si="10"/>
        <v>6174.3658403483951</v>
      </c>
      <c r="AK33" s="1">
        <f t="shared" si="10"/>
        <v>308.56596749185962</v>
      </c>
      <c r="AL33" s="1">
        <f t="shared" si="10"/>
        <v>0</v>
      </c>
      <c r="AM33" s="1">
        <f t="shared" si="10"/>
        <v>3.0464905112031273</v>
      </c>
      <c r="AN33" s="1">
        <f t="shared" si="10"/>
        <v>3703.2268228324874</v>
      </c>
      <c r="AO33" s="1">
        <f t="shared" si="10"/>
        <v>0</v>
      </c>
      <c r="AP33" s="1">
        <f t="shared" si="10"/>
        <v>0</v>
      </c>
      <c r="AQ33" s="1">
        <f t="shared" si="10"/>
        <v>0</v>
      </c>
      <c r="AR33" s="1">
        <f t="shared" si="10"/>
        <v>0.11315536184468759</v>
      </c>
      <c r="AS33" s="1">
        <f t="shared" si="10"/>
        <v>0</v>
      </c>
      <c r="AT33" s="1">
        <f t="shared" si="10"/>
        <v>0</v>
      </c>
      <c r="AU33" s="1">
        <f t="shared" si="10"/>
        <v>0.7833832743093756</v>
      </c>
      <c r="AV33" s="1">
        <f t="shared" si="10"/>
        <v>7.8338327430937556E-3</v>
      </c>
      <c r="AW33" s="1">
        <f t="shared" si="10"/>
        <v>4.3521293017187538E-4</v>
      </c>
      <c r="AX33" s="1">
        <f t="shared" si="10"/>
        <v>6.0929810224062547E-3</v>
      </c>
      <c r="AY33" s="1">
        <f t="shared" si="10"/>
        <v>0</v>
      </c>
      <c r="AZ33" s="1">
        <f>0.43*D59</f>
        <v>0.14070793983000479</v>
      </c>
      <c r="BA33" s="27"/>
    </row>
    <row r="34" spans="1:53" x14ac:dyDescent="0.2">
      <c r="A34" s="9" t="s">
        <v>17</v>
      </c>
      <c r="B34" s="18" t="s">
        <v>164</v>
      </c>
      <c r="C34" s="18" t="s">
        <v>165</v>
      </c>
      <c r="D34" s="1">
        <f t="shared" ref="D34:AX34" si="11">F13*$B60</f>
        <v>0</v>
      </c>
      <c r="E34" s="1">
        <f t="shared" si="11"/>
        <v>0</v>
      </c>
      <c r="F34" s="1">
        <f t="shared" si="11"/>
        <v>0</v>
      </c>
      <c r="G34" s="1">
        <f t="shared" si="11"/>
        <v>0</v>
      </c>
      <c r="H34" s="1">
        <f t="shared" si="11"/>
        <v>0</v>
      </c>
      <c r="I34" s="1">
        <f t="shared" si="11"/>
        <v>0</v>
      </c>
      <c r="J34" s="1">
        <f t="shared" si="11"/>
        <v>0</v>
      </c>
      <c r="K34" s="1">
        <f t="shared" si="11"/>
        <v>0</v>
      </c>
      <c r="L34" s="1">
        <f t="shared" si="11"/>
        <v>0</v>
      </c>
      <c r="M34" s="1">
        <f t="shared" si="11"/>
        <v>0</v>
      </c>
      <c r="N34" s="1">
        <f t="shared" si="11"/>
        <v>0</v>
      </c>
      <c r="O34" s="1">
        <f t="shared" si="11"/>
        <v>0</v>
      </c>
      <c r="P34" s="1">
        <f t="shared" si="11"/>
        <v>0</v>
      </c>
      <c r="Q34" s="1">
        <f t="shared" si="11"/>
        <v>0</v>
      </c>
      <c r="R34" s="1">
        <f t="shared" si="11"/>
        <v>0</v>
      </c>
      <c r="S34" s="1">
        <f t="shared" si="11"/>
        <v>0</v>
      </c>
      <c r="T34" s="1">
        <f t="shared" si="11"/>
        <v>0</v>
      </c>
      <c r="U34" s="1">
        <f t="shared" si="11"/>
        <v>0</v>
      </c>
      <c r="V34" s="1">
        <f t="shared" si="11"/>
        <v>0</v>
      </c>
      <c r="W34" s="1">
        <f t="shared" si="11"/>
        <v>0</v>
      </c>
      <c r="X34" s="1">
        <f t="shared" si="11"/>
        <v>0</v>
      </c>
      <c r="Y34" s="1">
        <f t="shared" si="11"/>
        <v>0</v>
      </c>
      <c r="Z34" s="1">
        <f t="shared" si="11"/>
        <v>0</v>
      </c>
      <c r="AA34" s="1">
        <f t="shared" si="11"/>
        <v>0</v>
      </c>
      <c r="AB34" s="1">
        <f t="shared" si="11"/>
        <v>0</v>
      </c>
      <c r="AC34" s="1">
        <f t="shared" si="11"/>
        <v>0</v>
      </c>
      <c r="AD34" s="1">
        <f t="shared" si="11"/>
        <v>0</v>
      </c>
      <c r="AE34" s="1">
        <f t="shared" si="11"/>
        <v>0</v>
      </c>
      <c r="AF34" s="1">
        <f t="shared" si="11"/>
        <v>0</v>
      </c>
      <c r="AG34" s="1">
        <f t="shared" si="11"/>
        <v>0</v>
      </c>
      <c r="AH34" s="1">
        <f t="shared" si="11"/>
        <v>0</v>
      </c>
      <c r="AI34" s="1">
        <f t="shared" si="11"/>
        <v>0</v>
      </c>
      <c r="AJ34" s="1">
        <f t="shared" si="11"/>
        <v>0</v>
      </c>
      <c r="AK34" s="1">
        <f t="shared" si="11"/>
        <v>0</v>
      </c>
      <c r="AL34" s="1">
        <f t="shared" si="11"/>
        <v>0</v>
      </c>
      <c r="AM34" s="1">
        <f t="shared" si="11"/>
        <v>0</v>
      </c>
      <c r="AN34" s="1">
        <f t="shared" si="11"/>
        <v>0</v>
      </c>
      <c r="AO34" s="1">
        <f t="shared" si="11"/>
        <v>0</v>
      </c>
      <c r="AP34" s="1">
        <f t="shared" si="11"/>
        <v>0</v>
      </c>
      <c r="AQ34" s="1">
        <f t="shared" si="11"/>
        <v>0</v>
      </c>
      <c r="AR34" s="1">
        <f t="shared" si="11"/>
        <v>0</v>
      </c>
      <c r="AS34" s="1">
        <f t="shared" si="11"/>
        <v>0</v>
      </c>
      <c r="AT34" s="1">
        <f t="shared" si="11"/>
        <v>0</v>
      </c>
      <c r="AU34" s="1">
        <f t="shared" si="11"/>
        <v>0</v>
      </c>
      <c r="AV34" s="1">
        <f t="shared" si="11"/>
        <v>0</v>
      </c>
      <c r="AW34" s="1">
        <f t="shared" si="11"/>
        <v>0</v>
      </c>
      <c r="AX34" s="1">
        <f t="shared" si="11"/>
        <v>0</v>
      </c>
      <c r="AY34" s="1">
        <f t="shared" ref="AY34:AY42" si="12">AY13*$B60</f>
        <v>0</v>
      </c>
      <c r="AZ34" s="1">
        <f>1.9/12*D60</f>
        <v>0</v>
      </c>
      <c r="BA34" s="27"/>
    </row>
    <row r="35" spans="1:53" x14ac:dyDescent="0.2">
      <c r="A35" s="9" t="s">
        <v>152</v>
      </c>
      <c r="B35" s="18" t="s">
        <v>90</v>
      </c>
      <c r="C35" s="18" t="s">
        <v>91</v>
      </c>
      <c r="D35" s="1">
        <f t="shared" ref="D35:AX35" si="13">D14*$B61</f>
        <v>0</v>
      </c>
      <c r="E35" s="1">
        <f t="shared" si="13"/>
        <v>0</v>
      </c>
      <c r="F35" s="1">
        <f t="shared" si="13"/>
        <v>591.90734032647924</v>
      </c>
      <c r="G35" s="1">
        <f t="shared" si="13"/>
        <v>409.69417632945914</v>
      </c>
      <c r="H35" s="1">
        <f t="shared" si="13"/>
        <v>21.156338613734366</v>
      </c>
      <c r="I35" s="1">
        <f t="shared" si="13"/>
        <v>21.827968410995773</v>
      </c>
      <c r="J35" s="1">
        <f t="shared" si="13"/>
        <v>4.4999196416514371</v>
      </c>
      <c r="K35" s="1">
        <f t="shared" si="13"/>
        <v>32.238230268547603</v>
      </c>
      <c r="L35" s="1">
        <f t="shared" si="13"/>
        <v>0</v>
      </c>
      <c r="M35" s="1">
        <f t="shared" si="13"/>
        <v>35.32772733595008</v>
      </c>
      <c r="N35" s="1">
        <f t="shared" si="13"/>
        <v>758.94167090539156</v>
      </c>
      <c r="O35" s="1">
        <f t="shared" si="13"/>
        <v>0.20148893917842253</v>
      </c>
      <c r="P35" s="1">
        <f t="shared" si="13"/>
        <v>67.162979726140847</v>
      </c>
      <c r="Q35" s="1">
        <f t="shared" si="13"/>
        <v>564.16902969958312</v>
      </c>
      <c r="R35" s="1">
        <f t="shared" si="13"/>
        <v>886.55133238505914</v>
      </c>
      <c r="S35" s="1">
        <f t="shared" si="13"/>
        <v>288.80081282240565</v>
      </c>
      <c r="T35" s="1">
        <f t="shared" si="13"/>
        <v>2.485030249867211</v>
      </c>
      <c r="U35" s="1">
        <f t="shared" si="13"/>
        <v>0.16790744931535212</v>
      </c>
      <c r="V35" s="1">
        <f t="shared" si="13"/>
        <v>2.6865191890456337E-2</v>
      </c>
      <c r="W35" s="1">
        <f t="shared" si="13"/>
        <v>24.850302498672114</v>
      </c>
      <c r="X35" s="1">
        <f t="shared" si="13"/>
        <v>0</v>
      </c>
      <c r="Y35" s="1">
        <f t="shared" si="13"/>
        <v>0.30894970674024785</v>
      </c>
      <c r="Z35" s="1">
        <f t="shared" si="13"/>
        <v>1.1350543573717804</v>
      </c>
      <c r="AA35" s="1">
        <f t="shared" si="13"/>
        <v>0.59775051956265346</v>
      </c>
      <c r="AB35" s="1">
        <f t="shared" si="13"/>
        <v>2.5051791437850532</v>
      </c>
      <c r="AC35" s="1">
        <f t="shared" si="13"/>
        <v>0.24178672701410703</v>
      </c>
      <c r="AD35" s="1">
        <f t="shared" si="13"/>
        <v>33.581489863070423</v>
      </c>
      <c r="AE35" s="1">
        <f t="shared" si="13"/>
        <v>0</v>
      </c>
      <c r="AF35" s="1">
        <f t="shared" si="13"/>
        <v>33.581489863070423</v>
      </c>
      <c r="AG35" s="1">
        <f t="shared" si="13"/>
        <v>33.581489863070423</v>
      </c>
      <c r="AH35" s="1">
        <f t="shared" si="13"/>
        <v>96.043061008381414</v>
      </c>
      <c r="AI35" s="1">
        <f t="shared" si="13"/>
        <v>3.022334087676338</v>
      </c>
      <c r="AJ35" s="1">
        <f t="shared" si="13"/>
        <v>1088.0402715634816</v>
      </c>
      <c r="AK35" s="1">
        <f t="shared" si="13"/>
        <v>308.9497067402479</v>
      </c>
      <c r="AL35" s="1">
        <f t="shared" si="13"/>
        <v>302.23340876763382</v>
      </c>
      <c r="AM35" s="1">
        <f t="shared" si="13"/>
        <v>0</v>
      </c>
      <c r="AN35" s="1">
        <f t="shared" si="13"/>
        <v>47.014085808298589</v>
      </c>
      <c r="AO35" s="1">
        <f t="shared" si="13"/>
        <v>0</v>
      </c>
      <c r="AP35" s="1">
        <f t="shared" si="13"/>
        <v>0</v>
      </c>
      <c r="AQ35" s="1">
        <f t="shared" si="13"/>
        <v>0</v>
      </c>
      <c r="AR35" s="1">
        <f t="shared" si="13"/>
        <v>0.47014085808298595</v>
      </c>
      <c r="AS35" s="1">
        <f t="shared" si="13"/>
        <v>8.7311873643983091</v>
      </c>
      <c r="AT35" s="1">
        <f t="shared" si="13"/>
        <v>342.53119660331828</v>
      </c>
      <c r="AU35" s="1">
        <f t="shared" si="13"/>
        <v>2.0148893917842252</v>
      </c>
      <c r="AV35" s="1">
        <f t="shared" si="13"/>
        <v>12.525895718925268</v>
      </c>
      <c r="AW35" s="1">
        <f t="shared" si="13"/>
        <v>5.4536339537626368</v>
      </c>
      <c r="AX35" s="1">
        <f t="shared" si="13"/>
        <v>1.3096781046597465</v>
      </c>
      <c r="AY35" s="1">
        <f t="shared" si="12"/>
        <v>67.162979726140847</v>
      </c>
      <c r="AZ35" s="1">
        <f>2.5/16*D58</f>
        <v>0</v>
      </c>
      <c r="BA35" s="27" t="s">
        <v>178</v>
      </c>
    </row>
    <row r="36" spans="1:53" x14ac:dyDescent="0.2">
      <c r="A36" s="9" t="s">
        <v>151</v>
      </c>
      <c r="B36" s="18" t="s">
        <v>148</v>
      </c>
      <c r="C36" s="18" t="s">
        <v>149</v>
      </c>
      <c r="D36" s="1">
        <f t="shared" ref="D36:AX36" si="14">D15*$B62</f>
        <v>0</v>
      </c>
      <c r="E36" s="1">
        <f t="shared" si="14"/>
        <v>0</v>
      </c>
      <c r="F36" s="1">
        <f t="shared" si="14"/>
        <v>2.5499223033742299E-12</v>
      </c>
      <c r="G36" s="1">
        <f t="shared" si="14"/>
        <v>9.543962826367658E-13</v>
      </c>
      <c r="H36" s="1">
        <f t="shared" si="14"/>
        <v>9.459751389664414E-14</v>
      </c>
      <c r="I36" s="1">
        <f t="shared" si="14"/>
        <v>2.2456383120865078E-15</v>
      </c>
      <c r="J36" s="1">
        <f t="shared" si="14"/>
        <v>2.1052859175811012E-14</v>
      </c>
      <c r="K36" s="1">
        <f t="shared" si="14"/>
        <v>1.3922957534936348E-13</v>
      </c>
      <c r="L36" s="1">
        <f t="shared" si="14"/>
        <v>0</v>
      </c>
      <c r="M36" s="1">
        <f t="shared" si="14"/>
        <v>1.4287873760650407E-13</v>
      </c>
      <c r="N36" s="1">
        <f t="shared" si="14"/>
        <v>3.4245984259319244E-12</v>
      </c>
      <c r="O36" s="1">
        <f t="shared" si="14"/>
        <v>8.4211436703244036E-16</v>
      </c>
      <c r="P36" s="1">
        <f t="shared" si="14"/>
        <v>3.0877526791189481E-13</v>
      </c>
      <c r="Q36" s="1">
        <f t="shared" si="14"/>
        <v>2.8351183690092163E-12</v>
      </c>
      <c r="R36" s="1">
        <f t="shared" si="14"/>
        <v>4.3789947085686904E-12</v>
      </c>
      <c r="S36" s="1">
        <f t="shared" si="14"/>
        <v>1.1789601138454167E-12</v>
      </c>
      <c r="T36" s="1">
        <f t="shared" si="14"/>
        <v>1.1789601138454166E-14</v>
      </c>
      <c r="U36" s="1">
        <f t="shared" si="14"/>
        <v>3.6491622571405753E-16</v>
      </c>
      <c r="V36" s="1">
        <f t="shared" si="14"/>
        <v>8.4211436703244043E-17</v>
      </c>
      <c r="W36" s="1">
        <f t="shared" si="14"/>
        <v>8.701848459335218E-14</v>
      </c>
      <c r="X36" s="1">
        <f t="shared" si="14"/>
        <v>0</v>
      </c>
      <c r="Y36" s="1">
        <f t="shared" si="14"/>
        <v>1.2631715505486605E-15</v>
      </c>
      <c r="Z36" s="1">
        <f t="shared" si="14"/>
        <v>5.1088271599968055E-15</v>
      </c>
      <c r="AA36" s="1">
        <f t="shared" si="14"/>
        <v>2.6386250167016469E-15</v>
      </c>
      <c r="AB36" s="1">
        <f t="shared" si="14"/>
        <v>1.0021160967686041E-14</v>
      </c>
      <c r="AC36" s="1">
        <f t="shared" si="14"/>
        <v>1.0386077193400097E-15</v>
      </c>
      <c r="AD36" s="1">
        <f t="shared" si="14"/>
        <v>1.4035239450540674E-13</v>
      </c>
      <c r="AE36" s="1">
        <f t="shared" si="14"/>
        <v>0</v>
      </c>
      <c r="AF36" s="1">
        <f t="shared" si="14"/>
        <v>1.4035239450540674E-13</v>
      </c>
      <c r="AG36" s="1">
        <f t="shared" si="14"/>
        <v>1.4035239450540674E-13</v>
      </c>
      <c r="AH36" s="1">
        <f t="shared" si="14"/>
        <v>4.3789947085686903E-13</v>
      </c>
      <c r="AI36" s="1">
        <f t="shared" si="14"/>
        <v>1.4035239450540674E-14</v>
      </c>
      <c r="AJ36" s="1">
        <f t="shared" si="14"/>
        <v>5.7263776958205952E-12</v>
      </c>
      <c r="AK36" s="1">
        <f t="shared" si="14"/>
        <v>1.7122992129659622E-12</v>
      </c>
      <c r="AL36" s="1">
        <f t="shared" si="14"/>
        <v>1.7122992129659622E-12</v>
      </c>
      <c r="AM36" s="1">
        <f t="shared" si="14"/>
        <v>0</v>
      </c>
      <c r="AN36" s="1">
        <f t="shared" si="14"/>
        <v>0</v>
      </c>
      <c r="AO36" s="1">
        <f t="shared" si="14"/>
        <v>0</v>
      </c>
      <c r="AP36" s="1">
        <f t="shared" si="14"/>
        <v>0</v>
      </c>
      <c r="AQ36" s="1">
        <f t="shared" si="14"/>
        <v>0</v>
      </c>
      <c r="AR36" s="1">
        <f t="shared" si="14"/>
        <v>2.8070478901081347E-16</v>
      </c>
      <c r="AS36" s="1">
        <f t="shared" si="14"/>
        <v>3.3684574681297618E-14</v>
      </c>
      <c r="AT36" s="1">
        <f t="shared" si="14"/>
        <v>1.3193125083508233E-12</v>
      </c>
      <c r="AU36" s="1">
        <f t="shared" si="14"/>
        <v>0</v>
      </c>
      <c r="AV36" s="1">
        <f t="shared" si="14"/>
        <v>1.5719468184605555E-15</v>
      </c>
      <c r="AW36" s="1">
        <f t="shared" si="14"/>
        <v>6.1755053582378964E-16</v>
      </c>
      <c r="AX36" s="1">
        <f t="shared" si="14"/>
        <v>8.4211436703244043E-17</v>
      </c>
      <c r="AY36" s="1">
        <f t="shared" si="12"/>
        <v>5.6140957802162696E-14</v>
      </c>
      <c r="AZ36" s="1">
        <f>2.5/16*D62</f>
        <v>0</v>
      </c>
      <c r="BA36" s="27"/>
    </row>
    <row r="37" spans="1:53" x14ac:dyDescent="0.2">
      <c r="A37" s="9" t="s">
        <v>19</v>
      </c>
      <c r="B37" s="18" t="s">
        <v>93</v>
      </c>
      <c r="C37" s="18" t="s">
        <v>94</v>
      </c>
      <c r="D37" s="1">
        <f t="shared" ref="D37:AX37" si="15">D16*$B63</f>
        <v>195.00000000000838</v>
      </c>
      <c r="E37" s="1">
        <f t="shared" si="15"/>
        <v>57.720000000002486</v>
      </c>
      <c r="F37" s="1">
        <f t="shared" si="15"/>
        <v>142.67760000000612</v>
      </c>
      <c r="G37" s="1">
        <f t="shared" si="15"/>
        <v>40.560000000001743</v>
      </c>
      <c r="H37" s="1">
        <f t="shared" si="15"/>
        <v>4.3836000000001887</v>
      </c>
      <c r="I37" s="1">
        <f t="shared" si="15"/>
        <v>0.45240000000001945</v>
      </c>
      <c r="J37" s="1">
        <f t="shared" si="15"/>
        <v>1.0296000000000443</v>
      </c>
      <c r="K37" s="1">
        <f t="shared" si="15"/>
        <v>7.4568000000003209</v>
      </c>
      <c r="L37" s="1">
        <f t="shared" si="15"/>
        <v>4.6800000000002013</v>
      </c>
      <c r="M37" s="1">
        <f t="shared" si="15"/>
        <v>2.1060000000000909</v>
      </c>
      <c r="N37" s="1">
        <f t="shared" si="15"/>
        <v>87.360000000003765</v>
      </c>
      <c r="O37" s="1">
        <f t="shared" si="15"/>
        <v>1.2636000000000545</v>
      </c>
      <c r="P37" s="1">
        <f t="shared" si="15"/>
        <v>28.080000000001206</v>
      </c>
      <c r="Q37" s="1">
        <f t="shared" si="15"/>
        <v>78.000000000003354</v>
      </c>
      <c r="R37" s="1">
        <f t="shared" si="15"/>
        <v>330.72000000001424</v>
      </c>
      <c r="S37" s="1">
        <f t="shared" si="15"/>
        <v>37.440000000001611</v>
      </c>
      <c r="T37" s="1">
        <f t="shared" si="15"/>
        <v>0.74880000000003222</v>
      </c>
      <c r="U37" s="1">
        <f t="shared" si="15"/>
        <v>5.9280000000002546E-2</v>
      </c>
      <c r="V37" s="1">
        <f t="shared" si="15"/>
        <v>0.4586400000000197</v>
      </c>
      <c r="W37" s="1">
        <f t="shared" si="15"/>
        <v>4.3680000000001877</v>
      </c>
      <c r="X37" s="1">
        <f t="shared" si="15"/>
        <v>87.984000000003789</v>
      </c>
      <c r="Y37" s="1">
        <f t="shared" si="15"/>
        <v>8.2680000000003556E-2</v>
      </c>
      <c r="Z37" s="1">
        <f t="shared" si="15"/>
        <v>0.14976000000000644</v>
      </c>
      <c r="AA37" s="1">
        <f t="shared" si="15"/>
        <v>0.73320000000003149</v>
      </c>
      <c r="AB37" s="1">
        <f t="shared" si="15"/>
        <v>0.43524000000001878</v>
      </c>
      <c r="AC37" s="1">
        <f t="shared" si="15"/>
        <v>0.20280000000000872</v>
      </c>
      <c r="AD37" s="1">
        <f t="shared" si="15"/>
        <v>104.5200000000045</v>
      </c>
      <c r="AE37" s="1">
        <f t="shared" si="15"/>
        <v>0</v>
      </c>
      <c r="AF37" s="1">
        <f t="shared" si="15"/>
        <v>104.5200000000045</v>
      </c>
      <c r="AG37" s="1">
        <f t="shared" si="15"/>
        <v>104.5200000000045</v>
      </c>
      <c r="AH37" s="1">
        <f t="shared" si="15"/>
        <v>23.244000000001002</v>
      </c>
      <c r="AI37" s="1">
        <f t="shared" si="15"/>
        <v>0</v>
      </c>
      <c r="AJ37" s="1">
        <f t="shared" si="15"/>
        <v>1613.0400000000693</v>
      </c>
      <c r="AK37" s="1">
        <f t="shared" si="15"/>
        <v>81.120000000003486</v>
      </c>
      <c r="AL37" s="1">
        <f t="shared" si="15"/>
        <v>0</v>
      </c>
      <c r="AM37" s="1">
        <f t="shared" si="15"/>
        <v>31.200000000001342</v>
      </c>
      <c r="AN37" s="1">
        <f t="shared" si="15"/>
        <v>951.60000000004095</v>
      </c>
      <c r="AO37" s="1">
        <f t="shared" si="15"/>
        <v>1.5600000000000671</v>
      </c>
      <c r="AP37" s="1">
        <f t="shared" si="15"/>
        <v>0</v>
      </c>
      <c r="AQ37" s="1">
        <f t="shared" si="15"/>
        <v>1747.2000000000751</v>
      </c>
      <c r="AR37" s="1">
        <f t="shared" si="15"/>
        <v>1.9032000000000819</v>
      </c>
      <c r="AS37" s="1">
        <f t="shared" si="15"/>
        <v>0</v>
      </c>
      <c r="AT37" s="1">
        <f t="shared" si="15"/>
        <v>0</v>
      </c>
      <c r="AU37" s="1">
        <f t="shared" si="15"/>
        <v>126.51600000000543</v>
      </c>
      <c r="AV37" s="1">
        <f t="shared" si="15"/>
        <v>6.8640000000002949E-2</v>
      </c>
      <c r="AW37" s="1">
        <f t="shared" si="15"/>
        <v>3.1200000000001341E-2</v>
      </c>
      <c r="AX37" s="1">
        <f t="shared" si="15"/>
        <v>0.21216000000000915</v>
      </c>
      <c r="AY37" s="1">
        <f t="shared" si="12"/>
        <v>0</v>
      </c>
      <c r="AZ37" s="1">
        <f>0.62*D60</f>
        <v>0</v>
      </c>
      <c r="BA37" s="27" t="s">
        <v>179</v>
      </c>
    </row>
    <row r="38" spans="1:53" x14ac:dyDescent="0.2">
      <c r="A38" s="9" t="s">
        <v>20</v>
      </c>
      <c r="B38" s="18" t="s">
        <v>161</v>
      </c>
      <c r="C38" s="18" t="s">
        <v>162</v>
      </c>
      <c r="D38" s="1">
        <f t="shared" ref="D38:AX38" si="16">D17*$B64</f>
        <v>4150.9740236081552</v>
      </c>
      <c r="E38" s="1">
        <f t="shared" si="16"/>
        <v>353.79956990119064</v>
      </c>
      <c r="F38" s="1">
        <f t="shared" si="16"/>
        <v>141.54039770291237</v>
      </c>
      <c r="G38" s="1">
        <f t="shared" si="16"/>
        <v>285.91941986200868</v>
      </c>
      <c r="H38" s="1">
        <f t="shared" si="16"/>
        <v>40.686950538636928</v>
      </c>
      <c r="I38" s="1">
        <f t="shared" si="16"/>
        <v>12.444694173850019</v>
      </c>
      <c r="J38" s="1">
        <f t="shared" si="16"/>
        <v>5.3481330333900914</v>
      </c>
      <c r="K38" s="1">
        <f t="shared" si="16"/>
        <v>0</v>
      </c>
      <c r="L38" s="1">
        <f t="shared" si="16"/>
        <v>0</v>
      </c>
      <c r="M38" s="1">
        <f t="shared" si="16"/>
        <v>0</v>
      </c>
      <c r="N38" s="1">
        <f t="shared" si="16"/>
        <v>438.13551388926516</v>
      </c>
      <c r="O38" s="1">
        <f t="shared" si="16"/>
        <v>1.7278583646337216</v>
      </c>
      <c r="P38" s="1">
        <f t="shared" si="16"/>
        <v>69.937124282793491</v>
      </c>
      <c r="Q38" s="1">
        <f t="shared" si="16"/>
        <v>676.74452614820768</v>
      </c>
      <c r="R38" s="1">
        <f t="shared" si="16"/>
        <v>670.57360341737296</v>
      </c>
      <c r="S38" s="1">
        <f t="shared" si="16"/>
        <v>1139.5637309608117</v>
      </c>
      <c r="T38" s="1">
        <f t="shared" si="16"/>
        <v>1.8924163041226476</v>
      </c>
      <c r="U38" s="1">
        <f t="shared" si="16"/>
        <v>0.20981137284838047</v>
      </c>
      <c r="V38" s="1">
        <f t="shared" si="16"/>
        <v>4.1139484872231472E-2</v>
      </c>
      <c r="W38" s="1">
        <f t="shared" si="16"/>
        <v>68.291544887904237</v>
      </c>
      <c r="X38" s="1">
        <f t="shared" si="16"/>
        <v>0</v>
      </c>
      <c r="Y38" s="1">
        <f t="shared" si="16"/>
        <v>4.7310407603066186E-2</v>
      </c>
      <c r="Z38" s="1">
        <f t="shared" si="16"/>
        <v>0.38259720931175267</v>
      </c>
      <c r="AA38" s="1">
        <f t="shared" si="16"/>
        <v>13.444383656245243</v>
      </c>
      <c r="AB38" s="1">
        <f t="shared" si="16"/>
        <v>1.1313358339863655</v>
      </c>
      <c r="AC38" s="1">
        <f t="shared" si="16"/>
        <v>0.61709227308347203</v>
      </c>
      <c r="AD38" s="1">
        <f t="shared" si="16"/>
        <v>30.854613654173601</v>
      </c>
      <c r="AE38" s="1">
        <f t="shared" si="16"/>
        <v>0</v>
      </c>
      <c r="AF38" s="1">
        <f t="shared" si="16"/>
        <v>30.854613654173601</v>
      </c>
      <c r="AG38" s="1">
        <f t="shared" si="16"/>
        <v>30.854613654173601</v>
      </c>
      <c r="AH38" s="1">
        <f t="shared" si="16"/>
        <v>180.60233858909615</v>
      </c>
      <c r="AI38" s="1">
        <f t="shared" si="16"/>
        <v>9.050686671890924</v>
      </c>
      <c r="AJ38" s="1">
        <f t="shared" si="16"/>
        <v>117.24753188585969</v>
      </c>
      <c r="AK38" s="1">
        <f t="shared" si="16"/>
        <v>34.968562141396745</v>
      </c>
      <c r="AL38" s="1">
        <f t="shared" si="16"/>
        <v>34.968562141396745</v>
      </c>
      <c r="AM38" s="1">
        <f t="shared" si="16"/>
        <v>0</v>
      </c>
      <c r="AN38" s="1">
        <f t="shared" si="16"/>
        <v>0</v>
      </c>
      <c r="AO38" s="1">
        <f t="shared" si="16"/>
        <v>0</v>
      </c>
      <c r="AP38" s="1">
        <f t="shared" si="16"/>
        <v>0</v>
      </c>
      <c r="AQ38" s="1">
        <f t="shared" si="16"/>
        <v>0</v>
      </c>
      <c r="AR38" s="1">
        <f t="shared" si="16"/>
        <v>1.3164635159114071</v>
      </c>
      <c r="AS38" s="1">
        <f t="shared" si="16"/>
        <v>28.180547137478555</v>
      </c>
      <c r="AT38" s="1">
        <f t="shared" si="16"/>
        <v>1125.1649112555306</v>
      </c>
      <c r="AU38" s="1">
        <f t="shared" si="16"/>
        <v>1.0284871218057867</v>
      </c>
      <c r="AV38" s="1">
        <f t="shared" si="16"/>
        <v>3.1574554639437649</v>
      </c>
      <c r="AW38" s="1">
        <f t="shared" si="16"/>
        <v>3.7169524582061131</v>
      </c>
      <c r="AX38" s="1">
        <f t="shared" si="16"/>
        <v>4.2147402251601136</v>
      </c>
      <c r="AY38" s="1">
        <f t="shared" si="12"/>
        <v>113.13358339863655</v>
      </c>
      <c r="AZ38" s="1">
        <f>2.42*D64</f>
        <v>1.1904383947435777</v>
      </c>
      <c r="BA38" s="27"/>
    </row>
    <row r="39" spans="1:53" x14ac:dyDescent="0.2">
      <c r="A39" s="9" t="s">
        <v>23</v>
      </c>
      <c r="B39" s="18" t="s">
        <v>103</v>
      </c>
      <c r="C39" s="18" t="s">
        <v>104</v>
      </c>
      <c r="D39" s="1">
        <f t="shared" ref="D39:AX39" si="17">D18*$B65</f>
        <v>60.74999999999276</v>
      </c>
      <c r="E39" s="1">
        <f t="shared" si="17"/>
        <v>103.49999999998766</v>
      </c>
      <c r="F39" s="1">
        <f t="shared" si="17"/>
        <v>168.54749999997989</v>
      </c>
      <c r="G39" s="1">
        <f t="shared" si="17"/>
        <v>200.24999999997613</v>
      </c>
      <c r="H39" s="1">
        <f t="shared" si="17"/>
        <v>2.4524999999997079</v>
      </c>
      <c r="I39" s="1">
        <f t="shared" si="17"/>
        <v>0.74249999999991156</v>
      </c>
      <c r="J39" s="1">
        <f t="shared" si="17"/>
        <v>1.8449999999997799</v>
      </c>
      <c r="K39" s="1">
        <f t="shared" si="17"/>
        <v>51.389999999993876</v>
      </c>
      <c r="L39" s="1">
        <f t="shared" si="17"/>
        <v>5.8499999999993024</v>
      </c>
      <c r="M39" s="1">
        <f t="shared" si="17"/>
        <v>27.517499999996719</v>
      </c>
      <c r="N39" s="1">
        <f t="shared" si="17"/>
        <v>11.249999999998659</v>
      </c>
      <c r="O39" s="1">
        <f t="shared" si="17"/>
        <v>0.58499999999993024</v>
      </c>
      <c r="P39" s="1">
        <f t="shared" si="17"/>
        <v>60.74999999999276</v>
      </c>
      <c r="Q39" s="1">
        <f t="shared" si="17"/>
        <v>49.499999999994102</v>
      </c>
      <c r="R39" s="1">
        <f t="shared" si="17"/>
        <v>805.49999999990393</v>
      </c>
      <c r="S39" s="1">
        <f t="shared" si="17"/>
        <v>2.2499999999997318</v>
      </c>
      <c r="T39" s="1">
        <f t="shared" si="17"/>
        <v>0.33749999999995978</v>
      </c>
      <c r="U39" s="1">
        <f t="shared" si="17"/>
        <v>0.17549999999997909</v>
      </c>
      <c r="V39" s="1">
        <f t="shared" si="17"/>
        <v>0.60749999999992765</v>
      </c>
      <c r="W39" s="1">
        <f t="shared" si="17"/>
        <v>2.2499999999997318</v>
      </c>
      <c r="X39" s="1">
        <f t="shared" si="17"/>
        <v>19.574999999997665</v>
      </c>
      <c r="Y39" s="1">
        <f t="shared" si="17"/>
        <v>6.974999999999168E-2</v>
      </c>
      <c r="Z39" s="1">
        <f t="shared" si="17"/>
        <v>0.16424999999998041</v>
      </c>
      <c r="AA39" s="1">
        <f t="shared" si="17"/>
        <v>1.4962499999998218</v>
      </c>
      <c r="AB39" s="1">
        <f t="shared" si="17"/>
        <v>0.75149999999991046</v>
      </c>
      <c r="AC39" s="1">
        <f t="shared" si="17"/>
        <v>0.82574999999990151</v>
      </c>
      <c r="AD39" s="1">
        <f t="shared" si="17"/>
        <v>44.999999999994635</v>
      </c>
      <c r="AE39" s="1">
        <f t="shared" si="17"/>
        <v>0</v>
      </c>
      <c r="AF39" s="1">
        <f t="shared" si="17"/>
        <v>44.999999999994635</v>
      </c>
      <c r="AG39" s="1">
        <f t="shared" si="17"/>
        <v>44.999999999994635</v>
      </c>
      <c r="AH39" s="1">
        <f t="shared" si="17"/>
        <v>22.049999999997372</v>
      </c>
      <c r="AI39" s="1">
        <f t="shared" si="17"/>
        <v>0</v>
      </c>
      <c r="AJ39" s="1">
        <f t="shared" si="17"/>
        <v>143.99999999998283</v>
      </c>
      <c r="AK39" s="1">
        <f t="shared" si="17"/>
        <v>6.7499999999991953</v>
      </c>
      <c r="AL39" s="1">
        <f t="shared" si="17"/>
        <v>0</v>
      </c>
      <c r="AM39" s="1">
        <f t="shared" si="17"/>
        <v>56.249999999993292</v>
      </c>
      <c r="AN39" s="1">
        <f t="shared" si="17"/>
        <v>58.499999999993022</v>
      </c>
      <c r="AO39" s="1">
        <f t="shared" si="17"/>
        <v>0</v>
      </c>
      <c r="AP39" s="1">
        <f t="shared" si="17"/>
        <v>0</v>
      </c>
      <c r="AQ39" s="1">
        <f t="shared" si="17"/>
        <v>49.499999999994102</v>
      </c>
      <c r="AR39" s="1">
        <f t="shared" si="17"/>
        <v>0.22499999999997319</v>
      </c>
      <c r="AS39" s="1">
        <f t="shared" si="17"/>
        <v>0</v>
      </c>
      <c r="AT39" s="1">
        <f t="shared" si="17"/>
        <v>0</v>
      </c>
      <c r="AU39" s="1">
        <f t="shared" si="17"/>
        <v>1.1249999999998659</v>
      </c>
      <c r="AV39" s="1">
        <f t="shared" si="17"/>
        <v>0.25199999999996997</v>
      </c>
      <c r="AW39" s="1">
        <f t="shared" si="17"/>
        <v>7.1999999999991418E-2</v>
      </c>
      <c r="AX39" s="1">
        <f t="shared" si="17"/>
        <v>0.16424999999998041</v>
      </c>
      <c r="AY39" s="1">
        <f t="shared" si="12"/>
        <v>0</v>
      </c>
      <c r="AZ39" s="1">
        <f>0.21*D65</f>
        <v>0.20999999999997496</v>
      </c>
      <c r="BA39" s="27"/>
    </row>
    <row r="40" spans="1:53" x14ac:dyDescent="0.2">
      <c r="A40" s="9" t="s">
        <v>111</v>
      </c>
      <c r="B40" s="18" t="s">
        <v>107</v>
      </c>
      <c r="C40" s="18" t="s">
        <v>108</v>
      </c>
      <c r="D40" s="1">
        <f t="shared" ref="D40:AX40" si="18">D19*$B66</f>
        <v>0</v>
      </c>
      <c r="E40" s="1">
        <f t="shared" si="18"/>
        <v>0</v>
      </c>
      <c r="F40" s="1">
        <f t="shared" si="18"/>
        <v>0</v>
      </c>
      <c r="G40" s="1">
        <f t="shared" si="18"/>
        <v>0</v>
      </c>
      <c r="H40" s="1">
        <f t="shared" si="18"/>
        <v>0</v>
      </c>
      <c r="I40" s="1">
        <f t="shared" si="18"/>
        <v>0</v>
      </c>
      <c r="J40" s="1">
        <f t="shared" si="18"/>
        <v>0</v>
      </c>
      <c r="K40" s="1">
        <f t="shared" si="18"/>
        <v>0</v>
      </c>
      <c r="L40" s="1">
        <f t="shared" si="18"/>
        <v>0</v>
      </c>
      <c r="M40" s="1">
        <f t="shared" si="18"/>
        <v>0</v>
      </c>
      <c r="N40" s="1">
        <f t="shared" si="18"/>
        <v>0</v>
      </c>
      <c r="O40" s="1">
        <f t="shared" si="18"/>
        <v>0</v>
      </c>
      <c r="P40" s="1">
        <f t="shared" si="18"/>
        <v>0</v>
      </c>
      <c r="Q40" s="1">
        <f t="shared" si="18"/>
        <v>0</v>
      </c>
      <c r="R40" s="1">
        <f t="shared" si="18"/>
        <v>0</v>
      </c>
      <c r="S40" s="1">
        <f t="shared" si="18"/>
        <v>0</v>
      </c>
      <c r="T40" s="1">
        <f t="shared" si="18"/>
        <v>0</v>
      </c>
      <c r="U40" s="1">
        <f t="shared" si="18"/>
        <v>0</v>
      </c>
      <c r="V40" s="1">
        <f t="shared" si="18"/>
        <v>0</v>
      </c>
      <c r="W40" s="1">
        <f t="shared" si="18"/>
        <v>0</v>
      </c>
      <c r="X40" s="1">
        <f t="shared" si="18"/>
        <v>0</v>
      </c>
      <c r="Y40" s="1">
        <f t="shared" si="18"/>
        <v>0</v>
      </c>
      <c r="Z40" s="1">
        <f t="shared" si="18"/>
        <v>0</v>
      </c>
      <c r="AA40" s="1">
        <f t="shared" si="18"/>
        <v>0</v>
      </c>
      <c r="AB40" s="1">
        <f t="shared" si="18"/>
        <v>0</v>
      </c>
      <c r="AC40" s="1">
        <f t="shared" si="18"/>
        <v>0</v>
      </c>
      <c r="AD40" s="1">
        <f t="shared" si="18"/>
        <v>0</v>
      </c>
      <c r="AE40" s="1">
        <f t="shared" si="18"/>
        <v>0</v>
      </c>
      <c r="AF40" s="1">
        <f t="shared" si="18"/>
        <v>0</v>
      </c>
      <c r="AG40" s="1">
        <f t="shared" si="18"/>
        <v>0</v>
      </c>
      <c r="AH40" s="1">
        <f t="shared" si="18"/>
        <v>0</v>
      </c>
      <c r="AI40" s="1">
        <f t="shared" si="18"/>
        <v>0</v>
      </c>
      <c r="AJ40" s="1">
        <f t="shared" si="18"/>
        <v>0</v>
      </c>
      <c r="AK40" s="1">
        <f t="shared" si="18"/>
        <v>0</v>
      </c>
      <c r="AL40" s="1">
        <f t="shared" si="18"/>
        <v>0</v>
      </c>
      <c r="AM40" s="1">
        <f t="shared" si="18"/>
        <v>0</v>
      </c>
      <c r="AN40" s="1">
        <f t="shared" si="18"/>
        <v>0</v>
      </c>
      <c r="AO40" s="1">
        <f t="shared" si="18"/>
        <v>0</v>
      </c>
      <c r="AP40" s="1">
        <f t="shared" si="18"/>
        <v>0</v>
      </c>
      <c r="AQ40" s="1">
        <f t="shared" si="18"/>
        <v>0</v>
      </c>
      <c r="AR40" s="1">
        <f t="shared" si="18"/>
        <v>0</v>
      </c>
      <c r="AS40" s="1">
        <f t="shared" si="18"/>
        <v>0</v>
      </c>
      <c r="AT40" s="1">
        <f t="shared" si="18"/>
        <v>0</v>
      </c>
      <c r="AU40" s="1">
        <f t="shared" si="18"/>
        <v>0</v>
      </c>
      <c r="AV40" s="1">
        <f t="shared" si="18"/>
        <v>0</v>
      </c>
      <c r="AW40" s="1">
        <f t="shared" si="18"/>
        <v>0</v>
      </c>
      <c r="AX40" s="1">
        <f t="shared" si="18"/>
        <v>0</v>
      </c>
      <c r="AY40" s="1">
        <f t="shared" si="12"/>
        <v>0</v>
      </c>
      <c r="AZ40" s="1">
        <f>2.071*D66</f>
        <v>0</v>
      </c>
      <c r="BA40" s="27"/>
    </row>
    <row r="41" spans="1:53" x14ac:dyDescent="0.2">
      <c r="A41" s="29" t="s">
        <v>140</v>
      </c>
      <c r="B41" s="18" t="s">
        <v>136</v>
      </c>
      <c r="C41" s="18" t="s">
        <v>137</v>
      </c>
      <c r="D41" s="1">
        <f t="shared" ref="D41:AX41" si="19">D20*$B67</f>
        <v>0</v>
      </c>
      <c r="E41" s="1">
        <f t="shared" si="19"/>
        <v>7171.416000001168</v>
      </c>
      <c r="F41" s="1">
        <f t="shared" si="19"/>
        <v>1.47420000000024</v>
      </c>
      <c r="G41" s="1">
        <f t="shared" si="19"/>
        <v>338.4990000000551</v>
      </c>
      <c r="H41" s="1">
        <f t="shared" si="19"/>
        <v>12.525030000002038</v>
      </c>
      <c r="I41" s="1">
        <f t="shared" si="19"/>
        <v>29.954610000004877</v>
      </c>
      <c r="J41" s="1">
        <f t="shared" si="19"/>
        <v>1.8144000000002956</v>
      </c>
      <c r="K41" s="1">
        <f t="shared" si="19"/>
        <v>10.937430000001781</v>
      </c>
      <c r="L41" s="1">
        <f t="shared" si="19"/>
        <v>6.6906000000010897</v>
      </c>
      <c r="M41" s="1">
        <f t="shared" si="19"/>
        <v>2.7783000000004527</v>
      </c>
      <c r="N41" s="1">
        <f t="shared" si="19"/>
        <v>150.82200000002456</v>
      </c>
      <c r="O41" s="1">
        <f t="shared" si="19"/>
        <v>2.5571700000004163</v>
      </c>
      <c r="P41" s="1">
        <f t="shared" si="19"/>
        <v>162.16200000002641</v>
      </c>
      <c r="Q41" s="1">
        <f t="shared" si="19"/>
        <v>277.26300000004517</v>
      </c>
      <c r="R41" s="1">
        <f t="shared" si="19"/>
        <v>422.98200000006887</v>
      </c>
      <c r="S41" s="1">
        <f t="shared" si="19"/>
        <v>0.56700000000009232</v>
      </c>
      <c r="T41" s="1">
        <f t="shared" si="19"/>
        <v>2.0071800000003268</v>
      </c>
      <c r="U41" s="1">
        <f t="shared" si="19"/>
        <v>0.66339000000010795</v>
      </c>
      <c r="V41" s="1">
        <f t="shared" si="19"/>
        <v>1.4855400000002419</v>
      </c>
      <c r="W41" s="1">
        <f t="shared" si="19"/>
        <v>1.5876000000002584</v>
      </c>
      <c r="X41" s="1">
        <f t="shared" si="19"/>
        <v>0</v>
      </c>
      <c r="Y41" s="1">
        <f t="shared" si="19"/>
        <v>4.195800000000683E-2</v>
      </c>
      <c r="Z41" s="1">
        <f t="shared" si="19"/>
        <v>0.48705300000007928</v>
      </c>
      <c r="AA41" s="1">
        <f t="shared" si="19"/>
        <v>2.1829500000003557</v>
      </c>
      <c r="AB41" s="1">
        <f t="shared" si="19"/>
        <v>0.12984300000002114</v>
      </c>
      <c r="AC41" s="1">
        <f t="shared" si="19"/>
        <v>7.1442000000011635E-2</v>
      </c>
      <c r="AD41" s="1">
        <f t="shared" si="19"/>
        <v>18.711000000003047</v>
      </c>
      <c r="AE41" s="1">
        <f t="shared" si="19"/>
        <v>0</v>
      </c>
      <c r="AF41" s="1">
        <f t="shared" si="19"/>
        <v>18.711000000003047</v>
      </c>
      <c r="AG41" s="1">
        <f t="shared" si="19"/>
        <v>18.711000000003047</v>
      </c>
      <c r="AH41" s="1">
        <f t="shared" si="19"/>
        <v>29.540700000004811</v>
      </c>
      <c r="AI41" s="1">
        <f t="shared" si="19"/>
        <v>0</v>
      </c>
      <c r="AJ41" s="1">
        <f t="shared" si="19"/>
        <v>0.56700000000009232</v>
      </c>
      <c r="AK41" s="1">
        <f t="shared" si="19"/>
        <v>0</v>
      </c>
      <c r="AL41" s="1">
        <f t="shared" si="19"/>
        <v>0</v>
      </c>
      <c r="AM41" s="1">
        <f t="shared" si="19"/>
        <v>0</v>
      </c>
      <c r="AN41" s="1">
        <f t="shared" si="19"/>
        <v>0.56700000000009232</v>
      </c>
      <c r="AO41" s="1">
        <f t="shared" si="19"/>
        <v>0</v>
      </c>
      <c r="AP41" s="1">
        <f t="shared" si="19"/>
        <v>0</v>
      </c>
      <c r="AQ41" s="1">
        <f t="shared" si="19"/>
        <v>0.56700000000009232</v>
      </c>
      <c r="AR41" s="1">
        <f t="shared" si="19"/>
        <v>14.742000000002401</v>
      </c>
      <c r="AS41" s="1">
        <f t="shared" si="19"/>
        <v>0</v>
      </c>
      <c r="AT41" s="1">
        <f t="shared" si="19"/>
        <v>0</v>
      </c>
      <c r="AU41" s="1">
        <f t="shared" si="19"/>
        <v>0</v>
      </c>
      <c r="AV41" s="1">
        <f t="shared" si="19"/>
        <v>2.2946490000003736</v>
      </c>
      <c r="AW41" s="1">
        <f t="shared" si="19"/>
        <v>19.084086000003108</v>
      </c>
      <c r="AX41" s="1">
        <f t="shared" si="19"/>
        <v>7.1719830000011671</v>
      </c>
      <c r="AY41" s="1">
        <f t="shared" si="12"/>
        <v>0</v>
      </c>
      <c r="AZ41" s="1">
        <f>6.98/16*D64</f>
        <v>0.21459865690367183</v>
      </c>
      <c r="BA41" s="27" t="s">
        <v>180</v>
      </c>
    </row>
    <row r="42" spans="1:53" ht="16" thickBot="1" x14ac:dyDescent="0.25">
      <c r="A42" s="13" t="s">
        <v>114</v>
      </c>
      <c r="B42" s="30" t="s">
        <v>112</v>
      </c>
      <c r="C42" s="30" t="s">
        <v>113</v>
      </c>
      <c r="D42" s="10">
        <f t="shared" ref="D42:AX42" si="20">D21*$B68</f>
        <v>346.3200000000071</v>
      </c>
      <c r="E42" s="10">
        <f t="shared" si="20"/>
        <v>7562.8800000001556</v>
      </c>
      <c r="F42" s="10">
        <f t="shared" si="20"/>
        <v>25.646400000000529</v>
      </c>
      <c r="G42" s="10">
        <f t="shared" si="20"/>
        <v>1213.6800000000248</v>
      </c>
      <c r="H42" s="10">
        <f t="shared" si="20"/>
        <v>52.696800000001083</v>
      </c>
      <c r="I42" s="10">
        <f t="shared" si="20"/>
        <v>21.528000000000443</v>
      </c>
      <c r="J42" s="10">
        <f t="shared" si="20"/>
        <v>5.3664000000001097</v>
      </c>
      <c r="K42" s="10">
        <f t="shared" si="20"/>
        <v>206.76240000000422</v>
      </c>
      <c r="L42" s="10">
        <f t="shared" si="20"/>
        <v>33.072000000000678</v>
      </c>
      <c r="M42" s="10">
        <f t="shared" si="20"/>
        <v>0</v>
      </c>
      <c r="N42" s="10">
        <f t="shared" si="20"/>
        <v>168.48000000000346</v>
      </c>
      <c r="O42" s="10">
        <f t="shared" si="20"/>
        <v>14.726400000000302</v>
      </c>
      <c r="P42" s="10">
        <f t="shared" si="20"/>
        <v>552.24000000001138</v>
      </c>
      <c r="Q42" s="10">
        <f t="shared" si="20"/>
        <v>1631.7600000000334</v>
      </c>
      <c r="R42" s="10">
        <f t="shared" si="20"/>
        <v>1338.4800000000275</v>
      </c>
      <c r="S42" s="10">
        <f t="shared" si="20"/>
        <v>6.2400000000001281</v>
      </c>
      <c r="T42" s="10">
        <f t="shared" si="20"/>
        <v>12.386400000000254</v>
      </c>
      <c r="U42" s="10">
        <f t="shared" si="20"/>
        <v>1.9531200000000402</v>
      </c>
      <c r="V42" s="10">
        <f t="shared" si="20"/>
        <v>15.337920000000317</v>
      </c>
      <c r="W42" s="10">
        <f t="shared" si="20"/>
        <v>0</v>
      </c>
      <c r="X42" s="10">
        <f t="shared" si="20"/>
        <v>0</v>
      </c>
      <c r="Y42" s="10">
        <f t="shared" si="20"/>
        <v>2.3805600000000489</v>
      </c>
      <c r="Z42" s="10">
        <f t="shared" si="20"/>
        <v>0.43368000000000895</v>
      </c>
      <c r="AA42" s="10">
        <f t="shared" si="20"/>
        <v>2.9983200000000614</v>
      </c>
      <c r="AB42" s="10">
        <f t="shared" si="20"/>
        <v>4.2088800000000868</v>
      </c>
      <c r="AC42" s="10">
        <f t="shared" si="20"/>
        <v>0.3712800000000076</v>
      </c>
      <c r="AD42" s="10">
        <f t="shared" si="20"/>
        <v>174.72000000000358</v>
      </c>
      <c r="AE42" s="10">
        <f t="shared" si="20"/>
        <v>0</v>
      </c>
      <c r="AF42" s="10">
        <f t="shared" si="20"/>
        <v>174.72000000000358</v>
      </c>
      <c r="AG42" s="10">
        <f t="shared" si="20"/>
        <v>174.72000000000358</v>
      </c>
      <c r="AH42" s="10">
        <f t="shared" si="20"/>
        <v>0</v>
      </c>
      <c r="AI42" s="10">
        <f t="shared" si="20"/>
        <v>0</v>
      </c>
      <c r="AJ42" s="10">
        <f t="shared" si="20"/>
        <v>0</v>
      </c>
      <c r="AK42" s="10">
        <f t="shared" si="20"/>
        <v>0</v>
      </c>
      <c r="AL42" s="10">
        <f t="shared" si="20"/>
        <v>0</v>
      </c>
      <c r="AM42" s="10">
        <f t="shared" si="20"/>
        <v>0</v>
      </c>
      <c r="AN42" s="10">
        <f t="shared" si="20"/>
        <v>0</v>
      </c>
      <c r="AO42" s="10">
        <f t="shared" si="20"/>
        <v>0</v>
      </c>
      <c r="AP42" s="10">
        <f t="shared" si="20"/>
        <v>0</v>
      </c>
      <c r="AQ42" s="10">
        <f t="shared" si="20"/>
        <v>0</v>
      </c>
      <c r="AR42" s="10">
        <f t="shared" si="20"/>
        <v>3.40080000000007</v>
      </c>
      <c r="AS42" s="10">
        <f t="shared" si="20"/>
        <v>0</v>
      </c>
      <c r="AT42" s="10">
        <f t="shared" si="20"/>
        <v>0</v>
      </c>
      <c r="AU42" s="10">
        <f t="shared" si="20"/>
        <v>0</v>
      </c>
      <c r="AV42" s="10">
        <f t="shared" si="20"/>
        <v>3.7970400000000781</v>
      </c>
      <c r="AW42" s="10">
        <f t="shared" si="20"/>
        <v>6.7953600000001391</v>
      </c>
      <c r="AX42" s="10">
        <f t="shared" si="20"/>
        <v>7.9092000000001628</v>
      </c>
      <c r="AY42" s="10">
        <f t="shared" si="12"/>
        <v>0</v>
      </c>
      <c r="AZ42" s="10">
        <f>2.48*D68/14</f>
        <v>0.35428571428572159</v>
      </c>
      <c r="BA42" s="11"/>
    </row>
    <row r="43" spans="1:53" x14ac:dyDescent="0.2">
      <c r="B43" s="18"/>
      <c r="C43" s="9" t="s">
        <v>124</v>
      </c>
      <c r="D43" s="1">
        <v>5000</v>
      </c>
      <c r="E43" s="1">
        <v>0</v>
      </c>
      <c r="F43" s="1">
        <v>0</v>
      </c>
      <c r="G43" s="1">
        <v>2800</v>
      </c>
      <c r="H43" s="1">
        <f>B75</f>
        <v>80</v>
      </c>
      <c r="I43" s="1">
        <v>0</v>
      </c>
      <c r="J43" s="1">
        <v>0</v>
      </c>
      <c r="K43" s="1">
        <v>315</v>
      </c>
      <c r="L43" s="1">
        <v>38</v>
      </c>
      <c r="M43" s="1">
        <v>0</v>
      </c>
      <c r="N43" s="1">
        <v>1000</v>
      </c>
      <c r="O43" s="1">
        <v>8</v>
      </c>
      <c r="P43" s="1">
        <v>420</v>
      </c>
      <c r="Q43" s="1">
        <v>700</v>
      </c>
      <c r="R43" s="1">
        <v>4700</v>
      </c>
      <c r="S43" s="1">
        <v>1000</v>
      </c>
      <c r="T43" s="1">
        <v>11</v>
      </c>
      <c r="U43" s="1">
        <f>0.001*900</f>
        <v>0.9</v>
      </c>
      <c r="V43" s="1">
        <v>5</v>
      </c>
      <c r="W43" s="1">
        <v>55</v>
      </c>
      <c r="X43" s="1">
        <v>90</v>
      </c>
      <c r="Y43" s="1">
        <v>1.2</v>
      </c>
      <c r="Z43" s="1">
        <v>1.3</v>
      </c>
      <c r="AA43" s="1">
        <v>16</v>
      </c>
      <c r="AB43" s="1">
        <v>5</v>
      </c>
      <c r="AC43" s="1">
        <v>1.3</v>
      </c>
      <c r="AD43" s="1">
        <v>400</v>
      </c>
      <c r="AE43" s="1">
        <v>0</v>
      </c>
      <c r="AF43" s="1">
        <v>0</v>
      </c>
      <c r="AG43" s="1">
        <v>0</v>
      </c>
      <c r="AH43" s="1">
        <v>0</v>
      </c>
      <c r="AI43" s="1">
        <v>2.4</v>
      </c>
      <c r="AJ43" s="1">
        <v>5000</v>
      </c>
      <c r="AK43" s="1">
        <v>900</v>
      </c>
      <c r="AL43" s="1">
        <v>0</v>
      </c>
      <c r="AM43" s="1">
        <v>0</v>
      </c>
      <c r="AN43" s="1">
        <v>0</v>
      </c>
      <c r="AO43" s="1">
        <v>0</v>
      </c>
      <c r="AP43" s="1">
        <v>10</v>
      </c>
      <c r="AQ43" s="1">
        <v>10000</v>
      </c>
      <c r="AR43" s="1">
        <v>15</v>
      </c>
      <c r="AS43" s="1">
        <v>0</v>
      </c>
      <c r="AT43" s="1">
        <v>600</v>
      </c>
      <c r="AU43" s="1">
        <v>120</v>
      </c>
      <c r="AV43" s="1">
        <v>0</v>
      </c>
      <c r="AW43" s="1">
        <v>0</v>
      </c>
      <c r="AX43" s="1">
        <v>0</v>
      </c>
      <c r="AY43" s="27">
        <v>0</v>
      </c>
    </row>
    <row r="44" spans="1:53" x14ac:dyDescent="0.2">
      <c r="B44" s="18"/>
      <c r="C44" s="9" t="s">
        <v>130</v>
      </c>
      <c r="D44" s="1">
        <f t="shared" ref="D44:AY44" si="21">SUM(D24:D42)</f>
        <v>5000.0000000001119</v>
      </c>
      <c r="E44" s="1">
        <f t="shared" si="21"/>
        <v>15529.486360111532</v>
      </c>
      <c r="F44" s="1">
        <f t="shared" si="21"/>
        <v>1254.5558425593365</v>
      </c>
      <c r="G44" s="1">
        <f t="shared" si="21"/>
        <v>2799.9999999990991</v>
      </c>
      <c r="H44" s="1">
        <f t="shared" si="21"/>
        <v>152.96073911441107</v>
      </c>
      <c r="I44" s="1">
        <f t="shared" si="21"/>
        <v>88.195959067085397</v>
      </c>
      <c r="J44" s="1">
        <f t="shared" si="21"/>
        <v>22.949465011396818</v>
      </c>
      <c r="K44" s="1">
        <f t="shared" si="21"/>
        <v>366.9680653396299</v>
      </c>
      <c r="L44" s="1">
        <f t="shared" si="21"/>
        <v>69.386681888887324</v>
      </c>
      <c r="M44" s="1">
        <f t="shared" si="21"/>
        <v>69.558938915348023</v>
      </c>
      <c r="N44" s="1">
        <f t="shared" si="21"/>
        <v>1709.9858150775497</v>
      </c>
      <c r="O44" s="1">
        <f t="shared" si="21"/>
        <v>25.873126016545228</v>
      </c>
      <c r="P44" s="1">
        <f t="shared" si="21"/>
        <v>1098.0569990010631</v>
      </c>
      <c r="Q44" s="1">
        <f t="shared" si="21"/>
        <v>3589.0998059981384</v>
      </c>
      <c r="R44" s="1">
        <f t="shared" si="21"/>
        <v>5403.8329746714626</v>
      </c>
      <c r="S44" s="1">
        <f t="shared" si="21"/>
        <v>1509.7318730786139</v>
      </c>
      <c r="T44" s="1">
        <f t="shared" si="21"/>
        <v>22.315811753148779</v>
      </c>
      <c r="U44" s="1">
        <f t="shared" si="21"/>
        <v>3.7723535294910233</v>
      </c>
      <c r="V44" s="1">
        <f t="shared" si="21"/>
        <v>19.117270097710886</v>
      </c>
      <c r="W44" s="1">
        <f t="shared" si="21"/>
        <v>104.19094987517487</v>
      </c>
      <c r="X44" s="1">
        <f t="shared" si="21"/>
        <v>133.539610467275</v>
      </c>
      <c r="Y44" s="1">
        <f t="shared" si="21"/>
        <v>3.4752419518424551</v>
      </c>
      <c r="Z44" s="1">
        <f t="shared" si="21"/>
        <v>2.9237668069009723</v>
      </c>
      <c r="AA44" s="1">
        <f t="shared" si="21"/>
        <v>22.913166463406679</v>
      </c>
      <c r="AB44" s="1">
        <f t="shared" si="21"/>
        <v>10.012504375334368</v>
      </c>
      <c r="AC44" s="1">
        <f t="shared" si="21"/>
        <v>2.6153781197820805</v>
      </c>
      <c r="AD44" s="1">
        <f t="shared" si="21"/>
        <v>715.7161242113126</v>
      </c>
      <c r="AE44" s="1">
        <f t="shared" si="21"/>
        <v>0</v>
      </c>
      <c r="AF44" s="1">
        <f t="shared" si="21"/>
        <v>715.7161242113126</v>
      </c>
      <c r="AG44" s="1">
        <f t="shared" si="21"/>
        <v>715.7161242113126</v>
      </c>
      <c r="AH44" s="1">
        <f t="shared" si="21"/>
        <v>356.85925828103194</v>
      </c>
      <c r="AI44" s="1">
        <f t="shared" si="21"/>
        <v>12.073020759567276</v>
      </c>
      <c r="AJ44" s="1">
        <f t="shared" si="21"/>
        <v>12341.297773600609</v>
      </c>
      <c r="AK44" s="1">
        <f t="shared" si="21"/>
        <v>900.00000000086777</v>
      </c>
      <c r="AL44" s="1">
        <f t="shared" si="21"/>
        <v>337.2019709090323</v>
      </c>
      <c r="AM44" s="1">
        <f t="shared" si="21"/>
        <v>90.88902840464732</v>
      </c>
      <c r="AN44" s="1">
        <f t="shared" si="21"/>
        <v>6676.0285348984971</v>
      </c>
      <c r="AO44" s="1">
        <f t="shared" si="21"/>
        <v>1.5600000000000671</v>
      </c>
      <c r="AP44" s="1">
        <f t="shared" si="21"/>
        <v>9.99999999543539</v>
      </c>
      <c r="AQ44" s="1">
        <f t="shared" si="21"/>
        <v>10000.000000092743</v>
      </c>
      <c r="AR44" s="1">
        <f t="shared" si="21"/>
        <v>22.172858453292093</v>
      </c>
      <c r="AS44" s="1">
        <f t="shared" si="21"/>
        <v>36.9117345018769</v>
      </c>
      <c r="AT44" s="1">
        <f t="shared" si="21"/>
        <v>1467.6961078588502</v>
      </c>
      <c r="AU44" s="1">
        <f t="shared" si="21"/>
        <v>300.93568957860401</v>
      </c>
      <c r="AV44" s="1">
        <f t="shared" si="21"/>
        <v>22.399999999994264</v>
      </c>
      <c r="AW44" s="1">
        <f t="shared" si="21"/>
        <v>35.258404891331523</v>
      </c>
      <c r="AX44" s="1">
        <f t="shared" si="21"/>
        <v>21.519701448207854</v>
      </c>
      <c r="AY44" s="27">
        <f t="shared" si="21"/>
        <v>180.29656312477744</v>
      </c>
    </row>
    <row r="45" spans="1:53" x14ac:dyDescent="0.2">
      <c r="B45" s="18"/>
      <c r="C45" s="9" t="s">
        <v>125</v>
      </c>
      <c r="D45" s="1">
        <f>D44-D43</f>
        <v>1.1186784831807017E-10</v>
      </c>
      <c r="E45" s="1">
        <f>E44-E43</f>
        <v>15529.486360111532</v>
      </c>
      <c r="F45" s="1">
        <f>F44-F43</f>
        <v>1254.5558425593365</v>
      </c>
      <c r="G45" s="1">
        <f t="shared" ref="G45:AY45" si="22">G44-G43</f>
        <v>-9.0085450210608542E-10</v>
      </c>
      <c r="H45" s="1">
        <f t="shared" si="22"/>
        <v>72.960739114411069</v>
      </c>
      <c r="I45" s="1">
        <f t="shared" si="22"/>
        <v>88.195959067085397</v>
      </c>
      <c r="J45" s="1">
        <f t="shared" si="22"/>
        <v>22.949465011396818</v>
      </c>
      <c r="K45" s="1">
        <f t="shared" si="22"/>
        <v>51.968065339629902</v>
      </c>
      <c r="L45" s="1">
        <f t="shared" si="22"/>
        <v>31.386681888887324</v>
      </c>
      <c r="M45" s="1">
        <f t="shared" si="22"/>
        <v>69.558938915348023</v>
      </c>
      <c r="N45" s="1">
        <f t="shared" si="22"/>
        <v>709.98581507754966</v>
      </c>
      <c r="O45" s="1">
        <f t="shared" si="22"/>
        <v>17.873126016545228</v>
      </c>
      <c r="P45" s="1">
        <f t="shared" si="22"/>
        <v>678.0569990010631</v>
      </c>
      <c r="Q45" s="1">
        <f t="shared" si="22"/>
        <v>2889.0998059981384</v>
      </c>
      <c r="R45" s="1">
        <f t="shared" si="22"/>
        <v>703.83297467146258</v>
      </c>
      <c r="S45" s="1">
        <f t="shared" si="22"/>
        <v>509.73187307861394</v>
      </c>
      <c r="T45" s="1">
        <f t="shared" si="22"/>
        <v>11.315811753148779</v>
      </c>
      <c r="U45" s="1">
        <f t="shared" si="22"/>
        <v>2.8723535294910234</v>
      </c>
      <c r="V45" s="1">
        <f t="shared" si="22"/>
        <v>14.117270097710886</v>
      </c>
      <c r="W45" s="1">
        <f t="shared" si="22"/>
        <v>49.190949875174866</v>
      </c>
      <c r="X45" s="1">
        <f t="shared" si="22"/>
        <v>43.539610467274997</v>
      </c>
      <c r="Y45" s="1">
        <f t="shared" si="22"/>
        <v>2.2752419518424549</v>
      </c>
      <c r="Z45" s="1">
        <f t="shared" si="22"/>
        <v>1.6237668069009723</v>
      </c>
      <c r="AA45" s="1">
        <f t="shared" si="22"/>
        <v>6.9131664634066787</v>
      </c>
      <c r="AB45" s="1">
        <f t="shared" si="22"/>
        <v>5.0125043753343679</v>
      </c>
      <c r="AC45" s="1">
        <f t="shared" si="22"/>
        <v>1.3153781197820804</v>
      </c>
      <c r="AD45" s="1">
        <f t="shared" si="22"/>
        <v>315.7161242113126</v>
      </c>
      <c r="AE45" s="1">
        <v>10</v>
      </c>
      <c r="AF45" s="1">
        <f t="shared" si="22"/>
        <v>715.7161242113126</v>
      </c>
      <c r="AG45" s="1">
        <f t="shared" si="22"/>
        <v>715.7161242113126</v>
      </c>
      <c r="AH45" s="1">
        <f t="shared" si="22"/>
        <v>356.85925828103194</v>
      </c>
      <c r="AI45" s="1">
        <f t="shared" si="22"/>
        <v>9.6730207595672759</v>
      </c>
      <c r="AJ45" s="1">
        <f t="shared" si="22"/>
        <v>7341.2977736006087</v>
      </c>
      <c r="AK45" s="1">
        <f t="shared" si="22"/>
        <v>8.6777163232909516E-10</v>
      </c>
      <c r="AL45" s="1">
        <f t="shared" si="22"/>
        <v>337.2019709090323</v>
      </c>
      <c r="AM45" s="1">
        <v>10</v>
      </c>
      <c r="AN45" s="1">
        <f t="shared" si="22"/>
        <v>6676.0285348984971</v>
      </c>
      <c r="AO45" s="1">
        <v>10</v>
      </c>
      <c r="AP45" s="1">
        <f>AP44-AP43</f>
        <v>-4.5646100232943354E-9</v>
      </c>
      <c r="AQ45" s="1">
        <f t="shared" si="22"/>
        <v>9.2742993729189038E-8</v>
      </c>
      <c r="AR45" s="1">
        <f t="shared" si="22"/>
        <v>7.1728584532920934</v>
      </c>
      <c r="AS45" s="1">
        <f t="shared" si="22"/>
        <v>36.9117345018769</v>
      </c>
      <c r="AT45" s="1">
        <f t="shared" si="22"/>
        <v>867.69610785885016</v>
      </c>
      <c r="AU45" s="1">
        <f t="shared" si="22"/>
        <v>180.93568957860401</v>
      </c>
      <c r="AV45" s="1">
        <f t="shared" si="22"/>
        <v>22.399999999994264</v>
      </c>
      <c r="AW45" s="1">
        <f>AW44-AW43</f>
        <v>35.258404891331523</v>
      </c>
      <c r="AX45" s="1">
        <f t="shared" si="22"/>
        <v>21.519701448207854</v>
      </c>
      <c r="AY45" s="27">
        <f t="shared" si="22"/>
        <v>180.29656312477744</v>
      </c>
    </row>
    <row r="46" spans="1:53" ht="16" thickBot="1" x14ac:dyDescent="0.25">
      <c r="B46" s="18"/>
      <c r="C46" s="13" t="s">
        <v>131</v>
      </c>
      <c r="D46" s="10"/>
      <c r="E46" s="10"/>
      <c r="F46" s="10"/>
      <c r="G46" s="10">
        <f>G44/G43</f>
        <v>0.99999999999967826</v>
      </c>
      <c r="H46" s="10">
        <f>H44/H43</f>
        <v>1.9120092389301384</v>
      </c>
      <c r="I46" s="10"/>
      <c r="J46" s="10"/>
      <c r="K46" s="10">
        <f>K44/K43</f>
        <v>1.1649779852051743</v>
      </c>
      <c r="L46" s="10">
        <f>L44/L43</f>
        <v>1.8259653128654558</v>
      </c>
      <c r="M46" s="10"/>
      <c r="N46" s="10">
        <f>N44/N43</f>
        <v>1.7099858150775498</v>
      </c>
      <c r="O46" s="10">
        <f>O44/O43</f>
        <v>3.2341407520681535</v>
      </c>
      <c r="P46" s="10">
        <f>P44/P43</f>
        <v>2.6144214261930072</v>
      </c>
      <c r="Q46" s="10">
        <f t="shared" ref="Q46:S46" si="23">Q44/Q43</f>
        <v>5.1272854371401975</v>
      </c>
      <c r="R46" s="10">
        <f t="shared" si="23"/>
        <v>1.149751696738609</v>
      </c>
      <c r="S46" s="10">
        <f t="shared" si="23"/>
        <v>1.509731873078614</v>
      </c>
      <c r="T46" s="10">
        <f>T44/T43</f>
        <v>2.0287101593771619</v>
      </c>
      <c r="U46" s="10">
        <f t="shared" ref="U46:V46" si="24">U44/U43</f>
        <v>4.1915039216566923</v>
      </c>
      <c r="V46" s="10">
        <f t="shared" si="24"/>
        <v>3.8234540195421771</v>
      </c>
      <c r="W46" s="10">
        <f>W44/W43</f>
        <v>1.8943809068213613</v>
      </c>
      <c r="X46" s="10">
        <f>X44/X43</f>
        <v>1.4837734496363888</v>
      </c>
      <c r="Y46" s="10">
        <f t="shared" ref="Y46:AB46" si="25">Y44/Y43</f>
        <v>2.8960349598687127</v>
      </c>
      <c r="Z46" s="10">
        <f t="shared" si="25"/>
        <v>2.2490513899238249</v>
      </c>
      <c r="AA46" s="10">
        <f t="shared" si="25"/>
        <v>1.4320729039629174</v>
      </c>
      <c r="AB46" s="10">
        <f t="shared" si="25"/>
        <v>2.0025008750668736</v>
      </c>
      <c r="AC46" s="10">
        <f>AC44/AC43</f>
        <v>2.0118293229092927</v>
      </c>
      <c r="AD46" s="10">
        <f>AD44/AD43</f>
        <v>1.7892903105282816</v>
      </c>
      <c r="AE46" s="10"/>
      <c r="AF46" s="10"/>
      <c r="AG46" s="10"/>
      <c r="AH46" s="10"/>
      <c r="AI46" s="10">
        <f>AI44/AI43</f>
        <v>5.0304253164863653</v>
      </c>
      <c r="AJ46" s="10">
        <f>AJ44/AJ43</f>
        <v>2.4682595547201216</v>
      </c>
      <c r="AK46" s="10">
        <f>AK44/AK43</f>
        <v>1.0000000000009641</v>
      </c>
      <c r="AL46" s="10"/>
      <c r="AM46" s="10"/>
      <c r="AN46" s="10"/>
      <c r="AO46" s="10"/>
      <c r="AP46" s="10"/>
      <c r="AQ46" s="10"/>
      <c r="AR46" s="10">
        <f>AR44/AR43</f>
        <v>1.4781905635528063</v>
      </c>
      <c r="AS46" s="10"/>
      <c r="AT46" s="10">
        <f>AT44/AT43</f>
        <v>2.4461601797647501</v>
      </c>
      <c r="AU46" s="10">
        <f>AU44/AU43</f>
        <v>2.5077974131550334</v>
      </c>
      <c r="AV46" s="10"/>
      <c r="AW46" s="10"/>
      <c r="AX46" s="10"/>
      <c r="AY46" s="11"/>
    </row>
    <row r="47" spans="1:53" x14ac:dyDescent="0.2">
      <c r="B47" s="18"/>
      <c r="C47" s="18"/>
      <c r="F47" s="18"/>
    </row>
    <row r="48" spans="1:53" x14ac:dyDescent="0.2">
      <c r="A48" s="39" t="s">
        <v>121</v>
      </c>
      <c r="B48" s="40"/>
      <c r="C48" s="40"/>
      <c r="D48" s="40"/>
      <c r="E48" s="40"/>
      <c r="F48" s="41"/>
      <c r="H48" s="37" t="s">
        <v>169</v>
      </c>
      <c r="I48" s="37"/>
      <c r="K48" s="37" t="s">
        <v>198</v>
      </c>
      <c r="L48" s="37"/>
      <c r="M48" s="37"/>
      <c r="N48" s="37"/>
    </row>
    <row r="49" spans="1:64" x14ac:dyDescent="0.2">
      <c r="A49" s="1" t="s">
        <v>120</v>
      </c>
      <c r="B49" s="2" t="s">
        <v>126</v>
      </c>
      <c r="C49" s="2" t="s">
        <v>26</v>
      </c>
      <c r="D49" s="2" t="s">
        <v>127</v>
      </c>
      <c r="E49" s="2" t="s">
        <v>145</v>
      </c>
      <c r="F49" s="2" t="s">
        <v>146</v>
      </c>
      <c r="H49" s="1" t="s">
        <v>175</v>
      </c>
      <c r="I49" s="1" t="s">
        <v>132</v>
      </c>
      <c r="J49" s="18"/>
      <c r="K49" s="1" t="s">
        <v>201</v>
      </c>
      <c r="L49" s="24" t="s">
        <v>7</v>
      </c>
      <c r="M49" s="24" t="s">
        <v>196</v>
      </c>
      <c r="N49" s="24" t="s">
        <v>197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</row>
    <row r="50" spans="1:64" x14ac:dyDescent="0.2">
      <c r="A50" s="1" t="s">
        <v>10</v>
      </c>
      <c r="B50" s="1">
        <v>1.9964368126422249</v>
      </c>
      <c r="C50" s="1" t="s">
        <v>117</v>
      </c>
      <c r="D50" s="1">
        <f>Table3[[#This Row],[100 G]]*100/432.33</f>
        <v>0.46178539833974624</v>
      </c>
      <c r="E50" s="17">
        <v>2</v>
      </c>
      <c r="F50" s="1">
        <v>0</v>
      </c>
      <c r="H50" s="1" t="s">
        <v>143</v>
      </c>
      <c r="I50" s="1">
        <f>0.35*G44/9</f>
        <v>108.88888888885384</v>
      </c>
      <c r="K50" s="1" t="s">
        <v>199</v>
      </c>
      <c r="L50" s="1">
        <f>H44*4</f>
        <v>611.84295645764428</v>
      </c>
      <c r="M50" s="1">
        <f>K44*4</f>
        <v>1467.8722613585196</v>
      </c>
      <c r="N50" s="1">
        <f>ActualFat*9</f>
        <v>712.60295705580279</v>
      </c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</row>
    <row r="51" spans="1:64" x14ac:dyDescent="0.2">
      <c r="A51" s="23" t="s">
        <v>188</v>
      </c>
      <c r="B51" s="23">
        <v>3.8865137953499238E-3</v>
      </c>
      <c r="C51" s="23" t="s">
        <v>18</v>
      </c>
      <c r="D51" s="1">
        <f>Table3[[#This Row],[100 G]]*100/BB4</f>
        <v>2.1591743307499576E-3</v>
      </c>
      <c r="E51" s="22">
        <v>9999</v>
      </c>
      <c r="F51" s="23">
        <v>0</v>
      </c>
      <c r="H51" s="18" t="s">
        <v>144</v>
      </c>
      <c r="I51" s="18">
        <f>0.25*G44/9</f>
        <v>77.77777777775276</v>
      </c>
      <c r="K51" s="1" t="s">
        <v>200</v>
      </c>
      <c r="L51" s="1">
        <f>L50/$O$51</f>
        <v>0.21911648964778105</v>
      </c>
      <c r="M51" s="1">
        <f t="shared" ref="M51:N51" si="26">M50/$O$51</f>
        <v>0.52568230747050315</v>
      </c>
      <c r="N51" s="1">
        <f t="shared" si="26"/>
        <v>0.25520120288171561</v>
      </c>
      <c r="O51" s="1">
        <f>SUM(L50:N50)</f>
        <v>2792.3181748719671</v>
      </c>
    </row>
    <row r="52" spans="1:64" x14ac:dyDescent="0.2">
      <c r="A52" s="1" t="s">
        <v>160</v>
      </c>
      <c r="B52" s="1">
        <v>0</v>
      </c>
      <c r="C52" s="1" t="s">
        <v>18</v>
      </c>
      <c r="D52" s="1">
        <f>Table3[[#This Row],[100 G]]*100/AZ5</f>
        <v>0</v>
      </c>
      <c r="E52" s="17">
        <v>9999</v>
      </c>
      <c r="F52" s="1">
        <v>0</v>
      </c>
      <c r="H52" s="1" t="s">
        <v>133</v>
      </c>
      <c r="I52" s="1">
        <f>SUM(AV44:AX44)</f>
        <v>79.178106339533642</v>
      </c>
    </row>
    <row r="53" spans="1:64" x14ac:dyDescent="0.2">
      <c r="A53" s="1" t="s">
        <v>156</v>
      </c>
      <c r="B53" s="1">
        <v>0</v>
      </c>
      <c r="C53" s="1" t="s">
        <v>73</v>
      </c>
      <c r="D53" s="1">
        <f>Table3[[#This Row],[100 G]]*100/BB6</f>
        <v>0</v>
      </c>
      <c r="E53" s="17">
        <v>9999</v>
      </c>
      <c r="F53" s="1">
        <v>0</v>
      </c>
      <c r="H53" s="1" t="s">
        <v>134</v>
      </c>
      <c r="I53" s="1">
        <f>AV45</f>
        <v>22.399999999994264</v>
      </c>
    </row>
    <row r="54" spans="1:64" x14ac:dyDescent="0.2">
      <c r="A54" s="1" t="s">
        <v>11</v>
      </c>
      <c r="B54" s="1">
        <v>3.3903752739349453E-13</v>
      </c>
      <c r="C54" s="1" t="s">
        <v>119</v>
      </c>
      <c r="D54" s="1">
        <v>0</v>
      </c>
      <c r="E54" s="17">
        <v>9999</v>
      </c>
      <c r="F54" s="1">
        <v>0</v>
      </c>
      <c r="H54" s="1" t="s">
        <v>135</v>
      </c>
      <c r="I54" s="1">
        <f>140/16</f>
        <v>8.75</v>
      </c>
    </row>
    <row r="55" spans="1:64" x14ac:dyDescent="0.2">
      <c r="A55" s="1" t="s">
        <v>12</v>
      </c>
      <c r="B55" s="1">
        <v>0.20738950591381955</v>
      </c>
      <c r="C55" s="1" t="s">
        <v>18</v>
      </c>
      <c r="D55" s="1">
        <f>Table3[[#This Row],[100 G]]*100/AZ8</f>
        <v>0.30953657599077544</v>
      </c>
      <c r="E55" s="17">
        <v>1</v>
      </c>
      <c r="F55" s="1">
        <v>0</v>
      </c>
      <c r="H55" s="1" t="s">
        <v>147</v>
      </c>
      <c r="I55" s="1">
        <f>0.07*G44/cal_gram</f>
        <v>22.399999999992797</v>
      </c>
    </row>
    <row r="56" spans="1:64" x14ac:dyDescent="0.2">
      <c r="A56" s="1" t="s">
        <v>13</v>
      </c>
      <c r="B56" s="1">
        <v>-2.5364669353395597E-14</v>
      </c>
      <c r="C56" s="1" t="s">
        <v>18</v>
      </c>
      <c r="D56" s="1">
        <v>0</v>
      </c>
      <c r="E56" s="17">
        <v>1</v>
      </c>
      <c r="F56" s="1">
        <v>0</v>
      </c>
      <c r="H56" s="1" t="s">
        <v>142</v>
      </c>
      <c r="I56" s="1">
        <f>Sat_Fat_Actual/Fat_Actual</f>
        <v>0.28290648811349434</v>
      </c>
    </row>
    <row r="57" spans="1:64" x14ac:dyDescent="0.2">
      <c r="A57" s="1" t="s">
        <v>14</v>
      </c>
      <c r="B57" s="1">
        <v>3.4809600329445159E-14</v>
      </c>
      <c r="C57" s="1" t="s">
        <v>18</v>
      </c>
      <c r="D57" s="1">
        <v>0</v>
      </c>
      <c r="E57" s="17">
        <v>1</v>
      </c>
      <c r="F57" s="1">
        <v>0</v>
      </c>
      <c r="H57" s="1" t="s">
        <v>5</v>
      </c>
      <c r="I57" s="1">
        <f>D44</f>
        <v>5000.0000000001119</v>
      </c>
    </row>
    <row r="58" spans="1:64" x14ac:dyDescent="0.2">
      <c r="A58" s="1" t="s">
        <v>15</v>
      </c>
      <c r="B58" s="1">
        <v>0</v>
      </c>
      <c r="C58" s="1" t="s">
        <v>18</v>
      </c>
      <c r="D58" s="1">
        <f>Table3[[#This Row],[100 G]]*100/AZ11</f>
        <v>0</v>
      </c>
      <c r="E58" s="17">
        <v>9999</v>
      </c>
      <c r="F58" s="1">
        <v>0</v>
      </c>
      <c r="H58" s="1" t="s">
        <v>163</v>
      </c>
      <c r="I58" s="1">
        <f>E44</f>
        <v>15529.486360111532</v>
      </c>
    </row>
    <row r="59" spans="1:64" x14ac:dyDescent="0.2">
      <c r="A59" s="1" t="s">
        <v>16</v>
      </c>
      <c r="B59" s="1">
        <v>0.43521293017187535</v>
      </c>
      <c r="C59" s="1" t="s">
        <v>18</v>
      </c>
      <c r="D59" s="1">
        <f>Table3[[#This Row],[100 G]]*100/AZ12</f>
        <v>0.32722776704652279</v>
      </c>
      <c r="E59" s="17">
        <v>1</v>
      </c>
      <c r="F59" s="1">
        <v>0</v>
      </c>
      <c r="H59" s="1" t="s">
        <v>166</v>
      </c>
      <c r="I59" s="1">
        <f>4*I57</f>
        <v>20000.000000000447</v>
      </c>
    </row>
    <row r="60" spans="1:64" x14ac:dyDescent="0.2">
      <c r="A60" s="1" t="s">
        <v>17</v>
      </c>
      <c r="B60" s="1">
        <v>0</v>
      </c>
      <c r="C60" s="1" t="s">
        <v>22</v>
      </c>
      <c r="D60" s="1">
        <f>Table3[[#This Row],[100 G]]*100/BB13</f>
        <v>0</v>
      </c>
      <c r="E60" s="17">
        <v>9999</v>
      </c>
      <c r="F60" s="1">
        <v>0</v>
      </c>
      <c r="H60" s="1" t="s">
        <v>167</v>
      </c>
      <c r="I60" s="1">
        <f>0.25*I57</f>
        <v>1250.000000000028</v>
      </c>
    </row>
    <row r="61" spans="1:64" x14ac:dyDescent="0.2">
      <c r="A61" s="1" t="s">
        <v>152</v>
      </c>
      <c r="B61" s="1">
        <v>6.7162979726140843</v>
      </c>
      <c r="C61" s="1" t="s">
        <v>18</v>
      </c>
      <c r="D61" s="1">
        <f>Table3[[#This Row],[100 G]]*100/AZ14</f>
        <v>2.7525811363172474</v>
      </c>
      <c r="E61" s="17">
        <v>9999</v>
      </c>
      <c r="F61" s="1">
        <v>0</v>
      </c>
      <c r="H61" s="1" t="s">
        <v>177</v>
      </c>
      <c r="I61" s="1">
        <f>Omega_6/Omega_3</f>
        <v>3.1058972720222369</v>
      </c>
    </row>
    <row r="62" spans="1:64" x14ac:dyDescent="0.2">
      <c r="A62" s="1" t="s">
        <v>151</v>
      </c>
      <c r="B62" s="1">
        <v>2.8070478901081348E-14</v>
      </c>
      <c r="C62" s="1" t="s">
        <v>18</v>
      </c>
      <c r="D62" s="1">
        <v>0</v>
      </c>
      <c r="E62" s="17">
        <v>9999</v>
      </c>
      <c r="F62" s="1">
        <v>0</v>
      </c>
    </row>
    <row r="63" spans="1:64" x14ac:dyDescent="0.2">
      <c r="A63" s="1" t="s">
        <v>19</v>
      </c>
      <c r="B63" s="1">
        <v>1.5600000000000671</v>
      </c>
      <c r="C63" s="1" t="s">
        <v>18</v>
      </c>
      <c r="D63" s="1">
        <f>Table3[[#This Row],[100 G]]*100/AZ16</f>
        <v>1.0000000000000431</v>
      </c>
      <c r="E63" s="17">
        <v>1</v>
      </c>
      <c r="F63" s="1">
        <v>0</v>
      </c>
      <c r="K63" s="16"/>
    </row>
    <row r="64" spans="1:64" x14ac:dyDescent="0.2">
      <c r="A64" s="1" t="s">
        <v>20</v>
      </c>
      <c r="B64" s="1">
        <v>2.0569742436115734</v>
      </c>
      <c r="C64" s="1" t="s">
        <v>195</v>
      </c>
      <c r="D64" s="1">
        <f>Table3[[#This Row],[100 G]]*100/418.155</f>
        <v>0.49191669204280075</v>
      </c>
      <c r="E64" s="17">
        <v>1</v>
      </c>
      <c r="F64" s="1">
        <v>0</v>
      </c>
      <c r="M64" s="20"/>
    </row>
    <row r="65" spans="1:58" x14ac:dyDescent="0.2">
      <c r="A65" s="1" t="s">
        <v>23</v>
      </c>
      <c r="B65" s="1">
        <v>2.2499999999997318</v>
      </c>
      <c r="C65" s="1" t="s">
        <v>194</v>
      </c>
      <c r="D65" s="1">
        <f>Table3[[#This Row],[100 G]]*100/AZ18</f>
        <v>0.99999999999988076</v>
      </c>
      <c r="E65" s="17">
        <v>1</v>
      </c>
      <c r="F65" s="1">
        <v>0</v>
      </c>
      <c r="M65" s="6"/>
    </row>
    <row r="66" spans="1:58" x14ac:dyDescent="0.2">
      <c r="A66" s="16" t="s">
        <v>115</v>
      </c>
      <c r="B66" s="1">
        <v>0</v>
      </c>
      <c r="C66" s="1" t="s">
        <v>174</v>
      </c>
      <c r="D66" s="1">
        <f>Table3[[#This Row],[100 G]]*1</f>
        <v>0</v>
      </c>
      <c r="E66" s="17">
        <v>0</v>
      </c>
      <c r="F66" s="1">
        <v>0</v>
      </c>
    </row>
    <row r="67" spans="1:58" x14ac:dyDescent="0.2">
      <c r="A67" s="20" t="s">
        <v>140</v>
      </c>
      <c r="B67" s="1">
        <v>0.56700000000009232</v>
      </c>
      <c r="C67" s="1" t="s">
        <v>141</v>
      </c>
      <c r="D67" s="1">
        <f>Table3[[#This Row],[100 G]]*100/BB20</f>
        <v>2.0000000000003255</v>
      </c>
      <c r="E67" s="17">
        <v>2</v>
      </c>
      <c r="F67" s="1">
        <v>0</v>
      </c>
    </row>
    <row r="68" spans="1:58" x14ac:dyDescent="0.2">
      <c r="A68" s="6" t="s">
        <v>114</v>
      </c>
      <c r="B68" s="1">
        <v>3.1200000000000641</v>
      </c>
      <c r="C68" s="1" t="s">
        <v>118</v>
      </c>
      <c r="D68" s="1">
        <f>Table3[[#This Row],[100 G]]*100/AZ21</f>
        <v>2.0000000000000413</v>
      </c>
      <c r="E68" s="17">
        <v>2</v>
      </c>
      <c r="F68" s="1">
        <v>0</v>
      </c>
    </row>
    <row r="69" spans="1:58" x14ac:dyDescent="0.2">
      <c r="A69" s="5"/>
    </row>
    <row r="70" spans="1:58" x14ac:dyDescent="0.2">
      <c r="A70" s="5"/>
      <c r="M70" s="4"/>
      <c r="N70" s="4"/>
      <c r="O70" s="4"/>
    </row>
    <row r="71" spans="1:58" x14ac:dyDescent="0.2">
      <c r="A71" s="6"/>
      <c r="M71" s="4"/>
      <c r="N71" s="4"/>
      <c r="O71" s="4"/>
      <c r="P71" s="4"/>
    </row>
    <row r="72" spans="1:58" x14ac:dyDescent="0.2">
      <c r="A72" s="5"/>
      <c r="H72" s="4"/>
      <c r="I72" s="4"/>
      <c r="J72" s="4"/>
      <c r="K72" s="4"/>
      <c r="L72" s="4"/>
      <c r="M72" s="4"/>
      <c r="N72" s="4"/>
      <c r="O72" s="4"/>
      <c r="AX72" s="16"/>
    </row>
    <row r="73" spans="1:58" x14ac:dyDescent="0.2">
      <c r="A73" s="6" t="s">
        <v>171</v>
      </c>
      <c r="B73" s="1" t="s">
        <v>170</v>
      </c>
      <c r="G73" s="4"/>
      <c r="H73" s="4"/>
      <c r="I73" s="4"/>
      <c r="J73" s="4"/>
      <c r="K73" s="4"/>
      <c r="L73" s="4"/>
      <c r="M73" s="4"/>
      <c r="N73" s="4"/>
      <c r="O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</row>
    <row r="74" spans="1:58" x14ac:dyDescent="0.2">
      <c r="A74" s="14" t="s">
        <v>21</v>
      </c>
      <c r="B74" s="1">
        <v>2800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L74" s="4"/>
      <c r="AM74" s="4"/>
      <c r="AN74" s="4"/>
      <c r="AO74" s="4"/>
      <c r="AP74" s="4"/>
      <c r="AQ74" s="4"/>
      <c r="AR74" s="4"/>
      <c r="AS74" s="4"/>
      <c r="AT74" s="4"/>
      <c r="AV74" s="4"/>
      <c r="AW74" s="4"/>
      <c r="AX74" s="4"/>
      <c r="AY74" s="4"/>
      <c r="AZ74" s="4"/>
      <c r="BA74" s="4"/>
      <c r="BB74" s="4"/>
      <c r="BC74" s="4"/>
    </row>
    <row r="75" spans="1:58" x14ac:dyDescent="0.2">
      <c r="A75" s="6" t="s">
        <v>129</v>
      </c>
      <c r="B75" s="1">
        <v>80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L75" s="4"/>
      <c r="AM75" s="4"/>
      <c r="AN75" s="4"/>
      <c r="AO75" s="4"/>
      <c r="AP75" s="4"/>
      <c r="AQ75" s="4"/>
      <c r="AR75" s="4"/>
      <c r="AS75" s="4"/>
      <c r="AT75" s="4"/>
      <c r="AV75" s="4"/>
      <c r="AW75" s="4"/>
      <c r="AX75" s="4"/>
      <c r="AY75" s="4"/>
      <c r="AZ75" s="4"/>
      <c r="BA75" s="4"/>
      <c r="BB75" s="4"/>
      <c r="BC75" s="4"/>
    </row>
    <row r="76" spans="1:58" x14ac:dyDescent="0.2">
      <c r="A76" s="6" t="s">
        <v>176</v>
      </c>
      <c r="B76" s="1">
        <v>3000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</row>
    <row r="77" spans="1:58" x14ac:dyDescent="0.2">
      <c r="A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spans="1:58" x14ac:dyDescent="0.2">
      <c r="A78" s="6" t="s">
        <v>172</v>
      </c>
      <c r="B78" s="1" t="s">
        <v>173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</row>
    <row r="79" spans="1:58" x14ac:dyDescent="0.2">
      <c r="A79" s="1" t="s">
        <v>25</v>
      </c>
      <c r="B79" s="1">
        <f>SUM(AZ24:AZ42)</f>
        <v>2.6061383051412759</v>
      </c>
      <c r="G79" s="4"/>
      <c r="H79" s="4"/>
      <c r="I79" s="4"/>
      <c r="J79" s="4"/>
      <c r="K79" s="4"/>
      <c r="L79" s="4"/>
      <c r="M79" s="4"/>
      <c r="N79" s="18"/>
      <c r="O79" s="18"/>
      <c r="P79" s="18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</row>
    <row r="80" spans="1:58" x14ac:dyDescent="0.2">
      <c r="A80" s="6" t="s">
        <v>128</v>
      </c>
      <c r="B80" s="1">
        <f>TotalCost/3</f>
        <v>0.86871276838042533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18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18"/>
      <c r="BE80" s="18"/>
      <c r="BF80" s="19"/>
    </row>
    <row r="81" spans="1:58" x14ac:dyDescent="0.2">
      <c r="A81" s="5"/>
      <c r="G81" s="4"/>
      <c r="H81" s="4"/>
      <c r="I81" s="18"/>
      <c r="J81" s="18"/>
      <c r="K81" s="18"/>
      <c r="L81" s="18"/>
      <c r="M81" s="18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</row>
    <row r="82" spans="1:58" x14ac:dyDescent="0.2">
      <c r="A82" s="6"/>
      <c r="G82" s="18"/>
      <c r="H82" s="18"/>
      <c r="I82" s="4"/>
      <c r="J82" s="4"/>
      <c r="K82" s="4"/>
      <c r="L82" s="4"/>
      <c r="M82" s="4"/>
      <c r="N82" s="4"/>
      <c r="O82" s="4"/>
      <c r="P82" s="4"/>
      <c r="R82" s="4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4"/>
      <c r="BE82" s="4"/>
    </row>
    <row r="83" spans="1:58" x14ac:dyDescent="0.2">
      <c r="A83" s="7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18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</row>
    <row r="84" spans="1:58" x14ac:dyDescent="0.2">
      <c r="G84" s="4"/>
      <c r="H84" s="4"/>
      <c r="I84" s="4"/>
      <c r="J84" s="4"/>
      <c r="K84" s="4"/>
      <c r="L84" s="4"/>
      <c r="M84" s="4"/>
      <c r="N84" s="18"/>
      <c r="O84" s="18"/>
      <c r="P84" s="18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M84" s="4"/>
      <c r="AN84" s="4"/>
      <c r="AO84" s="4"/>
      <c r="AP84" s="4"/>
      <c r="AV84" s="15"/>
      <c r="AX84" s="15"/>
      <c r="AZ84" s="4"/>
      <c r="BA84" s="4"/>
      <c r="BB84" s="4"/>
      <c r="BC84" s="4"/>
      <c r="BD84" s="18"/>
      <c r="BE84" s="18"/>
      <c r="BF84" s="19"/>
    </row>
    <row r="85" spans="1:58" x14ac:dyDescent="0.2">
      <c r="A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18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</row>
    <row r="86" spans="1:58" x14ac:dyDescent="0.2">
      <c r="A86" s="6"/>
      <c r="G86" s="4"/>
      <c r="H86" s="4"/>
      <c r="I86" s="18"/>
      <c r="J86" s="18"/>
      <c r="K86" s="18"/>
      <c r="L86" s="18"/>
      <c r="M86" s="18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</row>
    <row r="87" spans="1:58" x14ac:dyDescent="0.2">
      <c r="A87" s="7"/>
      <c r="G87" s="18"/>
      <c r="H87" s="18"/>
      <c r="I87" s="4"/>
      <c r="J87" s="4"/>
      <c r="K87" s="4"/>
      <c r="L87" s="4"/>
      <c r="M87" s="4"/>
      <c r="R87" s="4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</row>
    <row r="88" spans="1:58" x14ac:dyDescent="0.2">
      <c r="A88" s="6"/>
      <c r="G88" s="4"/>
      <c r="H88" s="4"/>
      <c r="R88" s="18"/>
      <c r="S88" s="4"/>
      <c r="T88" s="4"/>
      <c r="U88" s="4"/>
      <c r="V88" s="4"/>
      <c r="W88" s="4"/>
      <c r="X88" s="4"/>
      <c r="Y88" s="4"/>
      <c r="Z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M88" s="4"/>
      <c r="AN88" s="4"/>
      <c r="AO88" s="4"/>
      <c r="AP88" s="4"/>
      <c r="AV88" s="4"/>
      <c r="AW88" s="4"/>
      <c r="AX88" s="4"/>
      <c r="AZ88" s="4"/>
      <c r="BA88" s="4"/>
      <c r="BB88" s="4"/>
      <c r="BC88" s="4"/>
    </row>
    <row r="89" spans="1:58" x14ac:dyDescent="0.2">
      <c r="A89" s="5"/>
      <c r="R89" s="4"/>
    </row>
    <row r="90" spans="1:58" x14ac:dyDescent="0.2">
      <c r="A90" s="6"/>
    </row>
    <row r="91" spans="1:58" x14ac:dyDescent="0.2">
      <c r="A91" s="7"/>
    </row>
    <row r="92" spans="1:58" x14ac:dyDescent="0.2">
      <c r="A92" s="6"/>
    </row>
    <row r="93" spans="1:58" x14ac:dyDescent="0.2">
      <c r="A93" s="5"/>
    </row>
    <row r="94" spans="1:58" x14ac:dyDescent="0.2">
      <c r="A94" s="6"/>
    </row>
    <row r="95" spans="1:58" x14ac:dyDescent="0.2">
      <c r="A95" s="7"/>
    </row>
    <row r="96" spans="1:58" x14ac:dyDescent="0.2">
      <c r="A96" s="6"/>
    </row>
    <row r="97" spans="1:6" x14ac:dyDescent="0.2">
      <c r="A97" s="5"/>
    </row>
    <row r="98" spans="1:6" x14ac:dyDescent="0.2">
      <c r="A98" s="6"/>
    </row>
    <row r="99" spans="1:6" x14ac:dyDescent="0.2">
      <c r="A99" s="7"/>
    </row>
    <row r="100" spans="1:6" x14ac:dyDescent="0.2">
      <c r="B100" s="4"/>
      <c r="C100" s="4"/>
      <c r="D100" s="4"/>
      <c r="E100" s="4"/>
      <c r="F100" s="4"/>
    </row>
    <row r="101" spans="1:6" x14ac:dyDescent="0.2">
      <c r="B101" s="4"/>
      <c r="C101" s="4"/>
      <c r="D101" s="4"/>
      <c r="E101" s="4"/>
      <c r="F101" s="4"/>
    </row>
    <row r="102" spans="1:6" x14ac:dyDescent="0.2">
      <c r="B102" s="4"/>
      <c r="C102" s="4"/>
      <c r="D102" s="4"/>
      <c r="E102" s="4"/>
      <c r="F102" s="4"/>
    </row>
    <row r="103" spans="1:6" x14ac:dyDescent="0.2">
      <c r="B103" s="4"/>
      <c r="C103" s="4"/>
      <c r="D103" s="4"/>
      <c r="E103" s="4"/>
      <c r="F103" s="4"/>
    </row>
    <row r="104" spans="1:6" x14ac:dyDescent="0.2">
      <c r="B104" s="4"/>
      <c r="C104" s="4"/>
      <c r="D104" s="4"/>
      <c r="E104" s="4"/>
      <c r="F104" s="4"/>
    </row>
    <row r="105" spans="1:6" x14ac:dyDescent="0.2">
      <c r="B105" s="4"/>
      <c r="C105" s="4"/>
      <c r="D105" s="4"/>
      <c r="E105" s="4"/>
      <c r="F105" s="4"/>
    </row>
    <row r="106" spans="1:6" x14ac:dyDescent="0.2">
      <c r="B106" s="4"/>
      <c r="C106" s="4"/>
      <c r="D106" s="4"/>
      <c r="E106" s="4"/>
      <c r="F106" s="4"/>
    </row>
    <row r="107" spans="1:6" x14ac:dyDescent="0.2">
      <c r="B107" s="4"/>
      <c r="C107" s="4"/>
      <c r="D107" s="4"/>
      <c r="E107" s="4"/>
      <c r="F107" s="4"/>
    </row>
    <row r="108" spans="1:6" x14ac:dyDescent="0.2">
      <c r="B108" s="18"/>
    </row>
    <row r="109" spans="1:6" x14ac:dyDescent="0.2">
      <c r="B109" s="4"/>
      <c r="C109" s="4"/>
      <c r="D109" s="4"/>
      <c r="E109" s="4"/>
      <c r="F109" s="4"/>
    </row>
    <row r="110" spans="1:6" x14ac:dyDescent="0.2">
      <c r="B110" s="4"/>
      <c r="C110" s="4"/>
      <c r="D110" s="4"/>
      <c r="E110" s="4"/>
      <c r="F110" s="4"/>
    </row>
    <row r="111" spans="1:6" x14ac:dyDescent="0.2">
      <c r="B111" s="4"/>
      <c r="C111" s="4"/>
      <c r="D111" s="4"/>
      <c r="E111" s="4"/>
      <c r="F111" s="4"/>
    </row>
    <row r="112" spans="1:6" x14ac:dyDescent="0.2">
      <c r="B112" s="4"/>
      <c r="C112" s="4"/>
      <c r="D112" s="4"/>
    </row>
    <row r="113" spans="1:4" x14ac:dyDescent="0.2">
      <c r="A113" s="18"/>
      <c r="B113" s="18"/>
      <c r="C113" s="18"/>
      <c r="D113" s="18"/>
    </row>
    <row r="114" spans="1:4" x14ac:dyDescent="0.2">
      <c r="B114" s="4"/>
      <c r="C114" s="4"/>
    </row>
    <row r="115" spans="1:4" x14ac:dyDescent="0.2">
      <c r="A115" s="5"/>
    </row>
    <row r="116" spans="1:4" x14ac:dyDescent="0.2">
      <c r="A116" s="8"/>
    </row>
    <row r="117" spans="1:4" x14ac:dyDescent="0.2">
      <c r="A117" s="8"/>
    </row>
    <row r="118" spans="1:4" x14ac:dyDescent="0.2">
      <c r="A118" s="3"/>
    </row>
  </sheetData>
  <mergeCells count="5">
    <mergeCell ref="A1:BE1"/>
    <mergeCell ref="C22:AY22"/>
    <mergeCell ref="H48:I48"/>
    <mergeCell ref="A48:F48"/>
    <mergeCell ref="K48:N48"/>
  </mergeCells>
  <conditionalFormatting sqref="D45:AY45">
    <cfRule type="cellIs" dxfId="27" priority="1" operator="lessThan">
      <formula>0.01</formula>
    </cfRule>
    <cfRule type="cellIs" dxfId="26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opLeftCell="A16" workbookViewId="0">
      <selection activeCell="D27" sqref="D27"/>
    </sheetView>
  </sheetViews>
  <sheetFormatPr baseColWidth="10" defaultColWidth="8.83203125" defaultRowHeight="15" x14ac:dyDescent="0.2"/>
  <cols>
    <col min="1" max="1" width="19" bestFit="1" customWidth="1"/>
    <col min="2" max="2" width="12" bestFit="1" customWidth="1"/>
    <col min="3" max="3" width="19.5" bestFit="1" customWidth="1"/>
    <col min="4" max="4" width="12.6640625" bestFit="1" customWidth="1"/>
    <col min="5" max="5" width="14" bestFit="1" customWidth="1"/>
    <col min="6" max="6" width="16.6640625" bestFit="1" customWidth="1"/>
  </cols>
  <sheetData>
    <row r="1" spans="1:6" x14ac:dyDescent="0.2">
      <c r="A1" s="42" t="s">
        <v>183</v>
      </c>
      <c r="B1" s="42"/>
      <c r="C1" s="42"/>
      <c r="D1" s="42"/>
      <c r="E1" s="42"/>
      <c r="F1" s="42"/>
    </row>
    <row r="2" spans="1:6" x14ac:dyDescent="0.2">
      <c r="A2" t="s">
        <v>120</v>
      </c>
      <c r="B2" t="s">
        <v>126</v>
      </c>
      <c r="C2" t="s">
        <v>26</v>
      </c>
      <c r="D2" t="s">
        <v>127</v>
      </c>
      <c r="E2" t="s">
        <v>181</v>
      </c>
      <c r="F2" t="s">
        <v>182</v>
      </c>
    </row>
    <row r="3" spans="1:6" x14ac:dyDescent="0.2">
      <c r="A3" t="s">
        <v>10</v>
      </c>
      <c r="B3" s="21">
        <v>3.3952927172436551</v>
      </c>
      <c r="C3" t="s">
        <v>117</v>
      </c>
      <c r="D3" s="21">
        <v>0.78534747004456207</v>
      </c>
      <c r="E3" s="21">
        <f>Table2[[#This Row],['# Unit/Day]]/3</f>
        <v>0.26178249001485404</v>
      </c>
      <c r="F3" s="21">
        <f>Table2[[#This Row],['# Unit/Day]]/4</f>
        <v>0.19633686751114052</v>
      </c>
    </row>
    <row r="4" spans="1:6" hidden="1" x14ac:dyDescent="0.2">
      <c r="A4" t="s">
        <v>160</v>
      </c>
      <c r="B4" s="21">
        <v>0</v>
      </c>
      <c r="C4" t="s">
        <v>18</v>
      </c>
      <c r="D4" s="21">
        <v>0</v>
      </c>
      <c r="E4" s="21">
        <f>Table2[[#This Row],['# Unit/Day]]/3</f>
        <v>0</v>
      </c>
      <c r="F4" s="21">
        <f>Table2[[#This Row],['# Unit/Day]]/4</f>
        <v>0</v>
      </c>
    </row>
    <row r="5" spans="1:6" x14ac:dyDescent="0.2">
      <c r="A5" t="s">
        <v>156</v>
      </c>
      <c r="B5" s="21">
        <v>0.34158612857175041</v>
      </c>
      <c r="C5" t="s">
        <v>73</v>
      </c>
      <c r="D5" s="21">
        <v>0.15814172619062519</v>
      </c>
      <c r="E5" s="21">
        <f>Table2[[#This Row],['# Unit/Day]]/3</f>
        <v>5.2713908730208398E-2</v>
      </c>
      <c r="F5" s="21">
        <f>Table2[[#This Row],['# Unit/Day]]/4</f>
        <v>3.9535431547656298E-2</v>
      </c>
    </row>
    <row r="6" spans="1:6" x14ac:dyDescent="0.2">
      <c r="A6" t="s">
        <v>11</v>
      </c>
      <c r="B6" s="21">
        <v>0.25275338555348581</v>
      </c>
      <c r="C6" t="s">
        <v>119</v>
      </c>
      <c r="D6" s="21">
        <v>0.16202140099582424</v>
      </c>
      <c r="E6" s="21">
        <f>Table2[[#This Row],['# Unit/Day]]/3</f>
        <v>5.4007133665274744E-2</v>
      </c>
      <c r="F6" s="21">
        <f>Table2[[#This Row],['# Unit/Day]]/4</f>
        <v>4.050535024895606E-2</v>
      </c>
    </row>
    <row r="7" spans="1:6" hidden="1" x14ac:dyDescent="0.2">
      <c r="A7" t="s">
        <v>12</v>
      </c>
      <c r="B7" s="21">
        <v>0</v>
      </c>
      <c r="C7" t="s">
        <v>18</v>
      </c>
      <c r="D7" s="21">
        <v>0</v>
      </c>
      <c r="E7" s="21">
        <f>Table2[[#This Row],['# Unit/Day]]/3</f>
        <v>0</v>
      </c>
      <c r="F7" s="21">
        <f>Table2[[#This Row],['# Unit/Day]]/4</f>
        <v>0</v>
      </c>
    </row>
    <row r="8" spans="1:6" x14ac:dyDescent="0.2">
      <c r="A8" t="s">
        <v>13</v>
      </c>
      <c r="B8" s="21">
        <v>1.2101999999979087</v>
      </c>
      <c r="C8" t="s">
        <v>18</v>
      </c>
      <c r="D8" s="21">
        <v>0.99999999999827194</v>
      </c>
      <c r="E8" s="21">
        <f>Table2[[#This Row],['# Unit/Day]]/3</f>
        <v>0.33333333333275733</v>
      </c>
      <c r="F8" s="21">
        <f>Table2[[#This Row],['# Unit/Day]]/4</f>
        <v>0.24999999999956798</v>
      </c>
    </row>
    <row r="9" spans="1:6" hidden="1" x14ac:dyDescent="0.2">
      <c r="A9" t="s">
        <v>14</v>
      </c>
      <c r="B9" s="21">
        <v>0</v>
      </c>
      <c r="C9" t="s">
        <v>18</v>
      </c>
      <c r="D9" s="21">
        <v>0</v>
      </c>
      <c r="E9" s="21">
        <f>Table2[[#This Row],['# Unit/Day]]/3</f>
        <v>0</v>
      </c>
      <c r="F9" s="21">
        <f>Table2[[#This Row],['# Unit/Day]]/4</f>
        <v>0</v>
      </c>
    </row>
    <row r="10" spans="1:6" hidden="1" x14ac:dyDescent="0.2">
      <c r="A10" t="s">
        <v>15</v>
      </c>
      <c r="B10" s="21">
        <v>0</v>
      </c>
      <c r="C10" t="s">
        <v>18</v>
      </c>
      <c r="D10" s="21">
        <v>0</v>
      </c>
      <c r="E10" s="21">
        <f>Table2[[#This Row],['# Unit/Day]]/3</f>
        <v>0</v>
      </c>
      <c r="F10" s="21">
        <f>Table2[[#This Row],['# Unit/Day]]/4</f>
        <v>0</v>
      </c>
    </row>
    <row r="11" spans="1:6" hidden="1" x14ac:dyDescent="0.2">
      <c r="A11" t="s">
        <v>16</v>
      </c>
      <c r="B11" s="21">
        <v>0</v>
      </c>
      <c r="C11" t="s">
        <v>18</v>
      </c>
      <c r="D11" s="21">
        <v>0</v>
      </c>
      <c r="E11" s="21">
        <f>Table2[[#This Row],['# Unit/Day]]/3</f>
        <v>0</v>
      </c>
      <c r="F11" s="21">
        <f>Table2[[#This Row],['# Unit/Day]]/4</f>
        <v>0</v>
      </c>
    </row>
    <row r="12" spans="1:6" hidden="1" x14ac:dyDescent="0.2">
      <c r="A12" t="s">
        <v>17</v>
      </c>
      <c r="B12" s="21">
        <v>0</v>
      </c>
      <c r="C12" t="s">
        <v>22</v>
      </c>
      <c r="D12" s="21">
        <v>0</v>
      </c>
      <c r="E12" s="21">
        <f>Table2[[#This Row],['# Unit/Day]]/3</f>
        <v>0</v>
      </c>
      <c r="F12" s="21">
        <f>Table2[[#This Row],['# Unit/Day]]/4</f>
        <v>0</v>
      </c>
    </row>
    <row r="13" spans="1:6" x14ac:dyDescent="0.2">
      <c r="A13" t="s">
        <v>152</v>
      </c>
      <c r="B13" s="21">
        <v>0.31095758896795378</v>
      </c>
      <c r="C13" t="s">
        <v>18</v>
      </c>
      <c r="D13" s="21">
        <v>0.12744163482293189</v>
      </c>
      <c r="E13" s="21">
        <f>Table2[[#This Row],['# Unit/Day]]/3</f>
        <v>4.2480544940977298E-2</v>
      </c>
      <c r="F13" s="21">
        <f>Table2[[#This Row],['# Unit/Day]]/4</f>
        <v>3.1860408705732972E-2</v>
      </c>
    </row>
    <row r="14" spans="1:6" hidden="1" x14ac:dyDescent="0.2">
      <c r="A14" t="s">
        <v>151</v>
      </c>
      <c r="B14" s="21">
        <v>0</v>
      </c>
      <c r="C14" t="s">
        <v>18</v>
      </c>
      <c r="D14" s="21">
        <v>0</v>
      </c>
      <c r="E14" s="21">
        <f>Table2[[#This Row],['# Unit/Day]]/3</f>
        <v>0</v>
      </c>
      <c r="F14" s="21">
        <f>Table2[[#This Row],['# Unit/Day]]/4</f>
        <v>0</v>
      </c>
    </row>
    <row r="15" spans="1:6" x14ac:dyDescent="0.2">
      <c r="A15" t="s">
        <v>19</v>
      </c>
      <c r="B15" s="21">
        <v>1.0629127017605526</v>
      </c>
      <c r="C15" t="s">
        <v>18</v>
      </c>
      <c r="D15" s="21">
        <v>0.68135429600035424</v>
      </c>
      <c r="E15" s="21">
        <f>Table2[[#This Row],['# Unit/Day]]/3</f>
        <v>0.22711809866678476</v>
      </c>
      <c r="F15" s="21">
        <f>Table2[[#This Row],['# Unit/Day]]/4</f>
        <v>0.17033857400008856</v>
      </c>
    </row>
    <row r="16" spans="1:6" x14ac:dyDescent="0.2">
      <c r="A16" t="s">
        <v>20</v>
      </c>
      <c r="B16" s="21">
        <v>1.8924347648735262</v>
      </c>
      <c r="C16" t="s">
        <v>18</v>
      </c>
      <c r="D16" s="21">
        <v>0.45256777148988447</v>
      </c>
      <c r="E16" s="21">
        <f>Table2[[#This Row],['# Unit/Day]]/3</f>
        <v>0.15085592382996149</v>
      </c>
      <c r="F16" s="21">
        <f>Table2[[#This Row],['# Unit/Day]]/4</f>
        <v>0.11314194287247112</v>
      </c>
    </row>
    <row r="17" spans="1:6" x14ac:dyDescent="0.2">
      <c r="A17" t="s">
        <v>23</v>
      </c>
      <c r="B17" s="21">
        <v>1.4999999999983242</v>
      </c>
      <c r="C17" t="s">
        <v>24</v>
      </c>
      <c r="D17" s="21">
        <v>0.66666666666592189</v>
      </c>
      <c r="E17" s="21">
        <f>Table2[[#This Row],['# Unit/Day]]/3</f>
        <v>0.22222222222197396</v>
      </c>
      <c r="F17" s="21">
        <f>Table2[[#This Row],['# Unit/Day]]/4</f>
        <v>0.16666666666648047</v>
      </c>
    </row>
    <row r="18" spans="1:6" hidden="1" x14ac:dyDescent="0.2">
      <c r="A18" t="s">
        <v>115</v>
      </c>
      <c r="B18" s="21">
        <v>0</v>
      </c>
      <c r="C18" t="s">
        <v>174</v>
      </c>
      <c r="D18" s="21">
        <v>0</v>
      </c>
      <c r="E18" s="21">
        <f>Table2[[#This Row],['# Unit/Day]]/3</f>
        <v>0</v>
      </c>
      <c r="F18" s="21">
        <f>Table2[[#This Row],['# Unit/Day]]/4</f>
        <v>0</v>
      </c>
    </row>
    <row r="19" spans="1:6" x14ac:dyDescent="0.2">
      <c r="A19" t="s">
        <v>140</v>
      </c>
      <c r="B19" s="21">
        <v>0.56699999999845774</v>
      </c>
      <c r="C19" t="s">
        <v>141</v>
      </c>
      <c r="D19" s="21">
        <v>1.9999999999945597</v>
      </c>
      <c r="E19" s="21">
        <f>Table2[[#This Row],['# Unit/Day]]/3</f>
        <v>0.66666666666485319</v>
      </c>
      <c r="F19" s="21">
        <f>Table2[[#This Row],['# Unit/Day]]/4</f>
        <v>0.49999999999863992</v>
      </c>
    </row>
    <row r="20" spans="1:6" x14ac:dyDescent="0.2">
      <c r="A20" t="s">
        <v>114</v>
      </c>
      <c r="B20" s="21">
        <v>3.1199999999914008</v>
      </c>
      <c r="C20" t="s">
        <v>118</v>
      </c>
      <c r="D20" s="21">
        <v>1.9999999999944877</v>
      </c>
      <c r="E20" s="21">
        <f>Table2[[#This Row],['# Unit/Day]]/3</f>
        <v>0.66666666666482921</v>
      </c>
      <c r="F20" s="21">
        <f>Table2[[#This Row],['# Unit/Day]]/4</f>
        <v>0.49999999999862194</v>
      </c>
    </row>
    <row r="25" spans="1:6" x14ac:dyDescent="0.2">
      <c r="A25" s="42" t="s">
        <v>189</v>
      </c>
      <c r="B25" s="42"/>
      <c r="C25" s="42"/>
      <c r="D25" s="42"/>
      <c r="E25" s="42"/>
      <c r="F25" s="42"/>
    </row>
    <row r="26" spans="1:6" x14ac:dyDescent="0.2">
      <c r="A26" s="1" t="s">
        <v>120</v>
      </c>
      <c r="B26" s="2" t="s">
        <v>126</v>
      </c>
      <c r="C26" s="2" t="s">
        <v>26</v>
      </c>
      <c r="D26" s="2" t="s">
        <v>127</v>
      </c>
      <c r="E26" s="2" t="s">
        <v>145</v>
      </c>
      <c r="F26" s="2" t="s">
        <v>146</v>
      </c>
    </row>
    <row r="27" spans="1:6" x14ac:dyDescent="0.2">
      <c r="A27" s="1" t="s">
        <v>10</v>
      </c>
      <c r="B27" s="1">
        <v>2.5265597155739496</v>
      </c>
      <c r="C27" s="1" t="s">
        <v>117</v>
      </c>
      <c r="D27" s="1">
        <v>0.58440536524736886</v>
      </c>
      <c r="E27" s="17">
        <v>2</v>
      </c>
      <c r="F27" s="1">
        <v>0</v>
      </c>
    </row>
    <row r="28" spans="1:6" x14ac:dyDescent="0.2">
      <c r="A28" s="23" t="s">
        <v>188</v>
      </c>
      <c r="B28" s="23">
        <v>3.6945309362317576E-3</v>
      </c>
      <c r="C28" s="23" t="s">
        <v>18</v>
      </c>
      <c r="D28" s="1">
        <v>2.0525171867954209E-3</v>
      </c>
      <c r="E28" s="22">
        <v>9999</v>
      </c>
      <c r="F28" s="23">
        <v>0</v>
      </c>
    </row>
    <row r="29" spans="1:6" x14ac:dyDescent="0.2">
      <c r="A29" s="1" t="s">
        <v>160</v>
      </c>
      <c r="B29" s="1">
        <v>0</v>
      </c>
      <c r="C29" s="1" t="s">
        <v>18</v>
      </c>
      <c r="D29" s="1">
        <v>0</v>
      </c>
      <c r="E29" s="17">
        <v>9999</v>
      </c>
      <c r="F29" s="1">
        <v>0</v>
      </c>
    </row>
    <row r="30" spans="1:6" x14ac:dyDescent="0.2">
      <c r="A30" s="1" t="s">
        <v>156</v>
      </c>
      <c r="B30" s="1">
        <v>0.46273229065985239</v>
      </c>
      <c r="C30" s="1" t="s">
        <v>73</v>
      </c>
      <c r="D30" s="1">
        <v>0.21422791234252425</v>
      </c>
      <c r="E30" s="17">
        <v>9999</v>
      </c>
      <c r="F30" s="1">
        <v>0</v>
      </c>
    </row>
    <row r="31" spans="1:6" x14ac:dyDescent="0.2">
      <c r="A31" s="1" t="s">
        <v>11</v>
      </c>
      <c r="B31" s="1">
        <v>0.57623710697123409</v>
      </c>
      <c r="C31" s="1" t="s">
        <v>119</v>
      </c>
      <c r="D31" s="1">
        <v>0.36938276087899619</v>
      </c>
      <c r="E31" s="17">
        <v>9999</v>
      </c>
      <c r="F31" s="1">
        <v>0</v>
      </c>
    </row>
    <row r="32" spans="1:6" x14ac:dyDescent="0.2">
      <c r="A32" s="1" t="s">
        <v>12</v>
      </c>
      <c r="B32" s="1">
        <v>1.0276588440335737E-12</v>
      </c>
      <c r="C32" s="1" t="s">
        <v>18</v>
      </c>
      <c r="D32" s="1">
        <v>1.5338191701993638E-12</v>
      </c>
      <c r="E32" s="17">
        <v>1</v>
      </c>
      <c r="F32" s="1">
        <v>0</v>
      </c>
    </row>
    <row r="33" spans="1:6" x14ac:dyDescent="0.2">
      <c r="A33" s="1" t="s">
        <v>13</v>
      </c>
      <c r="B33" s="1">
        <v>1.2101999999999999</v>
      </c>
      <c r="C33" s="1" t="s">
        <v>18</v>
      </c>
      <c r="D33" s="1">
        <v>1</v>
      </c>
      <c r="E33" s="17">
        <v>1</v>
      </c>
      <c r="F33" s="1">
        <v>0</v>
      </c>
    </row>
    <row r="34" spans="1:6" x14ac:dyDescent="0.2">
      <c r="A34" s="1" t="s">
        <v>14</v>
      </c>
      <c r="B34" s="1">
        <v>0.49397189668402419</v>
      </c>
      <c r="C34" s="1" t="s">
        <v>18</v>
      </c>
      <c r="D34" s="1">
        <v>0.3859155442843939</v>
      </c>
      <c r="E34" s="17">
        <v>9999</v>
      </c>
      <c r="F34" s="1">
        <v>0</v>
      </c>
    </row>
    <row r="35" spans="1:6" x14ac:dyDescent="0.2">
      <c r="A35" s="1" t="s">
        <v>15</v>
      </c>
      <c r="B35" s="1">
        <v>0</v>
      </c>
      <c r="C35" s="1" t="s">
        <v>18</v>
      </c>
      <c r="D35" s="1">
        <v>0</v>
      </c>
      <c r="E35" s="17">
        <v>9999</v>
      </c>
      <c r="F35" s="1">
        <v>0</v>
      </c>
    </row>
    <row r="36" spans="1:6" x14ac:dyDescent="0.2">
      <c r="A36" s="1" t="s">
        <v>16</v>
      </c>
      <c r="B36" s="1">
        <v>7.4905324272515345E-16</v>
      </c>
      <c r="C36" s="1" t="s">
        <v>18</v>
      </c>
      <c r="D36" s="1">
        <v>5.6319792686101768E-16</v>
      </c>
      <c r="E36" s="17">
        <v>1</v>
      </c>
      <c r="F36" s="1">
        <v>0</v>
      </c>
    </row>
    <row r="37" spans="1:6" x14ac:dyDescent="0.2">
      <c r="A37" s="1" t="s">
        <v>17</v>
      </c>
      <c r="B37" s="1">
        <v>5.0306980803327406E-17</v>
      </c>
      <c r="C37" s="1" t="s">
        <v>22</v>
      </c>
      <c r="D37" s="1">
        <v>8.2470460333323614E-17</v>
      </c>
      <c r="E37" s="17">
        <v>9999</v>
      </c>
      <c r="F37" s="1">
        <v>0</v>
      </c>
    </row>
    <row r="38" spans="1:6" x14ac:dyDescent="0.2">
      <c r="A38" s="1" t="s">
        <v>152</v>
      </c>
      <c r="B38" s="1">
        <v>0</v>
      </c>
      <c r="C38" s="1" t="s">
        <v>18</v>
      </c>
      <c r="D38" s="1">
        <v>0</v>
      </c>
      <c r="E38" s="17">
        <v>9999</v>
      </c>
      <c r="F38" s="1">
        <v>0</v>
      </c>
    </row>
    <row r="39" spans="1:6" x14ac:dyDescent="0.2">
      <c r="A39" s="1" t="s">
        <v>151</v>
      </c>
      <c r="B39" s="1">
        <v>0</v>
      </c>
      <c r="C39" s="1" t="s">
        <v>18</v>
      </c>
      <c r="D39" s="1">
        <v>0</v>
      </c>
      <c r="E39" s="17">
        <v>9999</v>
      </c>
      <c r="F39" s="1">
        <v>0</v>
      </c>
    </row>
    <row r="40" spans="1:6" x14ac:dyDescent="0.2">
      <c r="A40" s="1" t="s">
        <v>19</v>
      </c>
      <c r="B40" s="1">
        <v>1.5599999999999878</v>
      </c>
      <c r="C40" s="1" t="s">
        <v>18</v>
      </c>
      <c r="D40" s="1">
        <v>0.99999999999999212</v>
      </c>
      <c r="E40" s="17">
        <v>1</v>
      </c>
      <c r="F40" s="1">
        <v>0</v>
      </c>
    </row>
    <row r="41" spans="1:6" x14ac:dyDescent="0.2">
      <c r="A41" s="1" t="s">
        <v>20</v>
      </c>
      <c r="B41" s="1">
        <v>1.8475265461384018</v>
      </c>
      <c r="C41" s="1" t="s">
        <v>18</v>
      </c>
      <c r="D41" s="1">
        <v>0.44182816088254401</v>
      </c>
      <c r="E41" s="17">
        <v>9999</v>
      </c>
      <c r="F41" s="1">
        <v>0</v>
      </c>
    </row>
    <row r="42" spans="1:6" x14ac:dyDescent="0.2">
      <c r="A42" s="1" t="s">
        <v>23</v>
      </c>
      <c r="B42" s="1">
        <v>1.5000000000000009</v>
      </c>
      <c r="C42" s="1" t="s">
        <v>24</v>
      </c>
      <c r="D42" s="1">
        <v>0.66666666666666707</v>
      </c>
      <c r="E42" s="17">
        <v>0.66666666666666663</v>
      </c>
      <c r="F42" s="1">
        <v>0</v>
      </c>
    </row>
    <row r="43" spans="1:6" x14ac:dyDescent="0.2">
      <c r="A43" s="16" t="s">
        <v>115</v>
      </c>
      <c r="B43" s="1">
        <v>0</v>
      </c>
      <c r="C43" s="1" t="s">
        <v>174</v>
      </c>
      <c r="D43" s="1">
        <v>0</v>
      </c>
      <c r="E43" s="17">
        <v>0</v>
      </c>
      <c r="F43" s="1">
        <v>0</v>
      </c>
    </row>
    <row r="44" spans="1:6" x14ac:dyDescent="0.2">
      <c r="A44" s="20" t="s">
        <v>140</v>
      </c>
      <c r="B44" s="1">
        <v>0.55052689658993292</v>
      </c>
      <c r="C44" s="1" t="s">
        <v>141</v>
      </c>
      <c r="D44" s="1">
        <v>1.9418938151320384</v>
      </c>
      <c r="E44" s="17">
        <v>2</v>
      </c>
      <c r="F44" s="1">
        <v>0</v>
      </c>
    </row>
    <row r="45" spans="1:6" x14ac:dyDescent="0.2">
      <c r="A45" s="6" t="s">
        <v>114</v>
      </c>
      <c r="B45" s="1">
        <v>3.1199999999992625</v>
      </c>
      <c r="C45" s="1" t="s">
        <v>118</v>
      </c>
      <c r="D45" s="1">
        <v>1.9999999999995275</v>
      </c>
      <c r="E45" s="17">
        <v>2</v>
      </c>
      <c r="F45" s="1">
        <v>0</v>
      </c>
    </row>
    <row r="47" spans="1:6" x14ac:dyDescent="0.2">
      <c r="A47" s="42" t="s">
        <v>190</v>
      </c>
      <c r="B47" s="42"/>
      <c r="C47" s="42"/>
      <c r="D47" s="42"/>
      <c r="E47" s="42"/>
      <c r="F47" s="42"/>
    </row>
    <row r="48" spans="1:6" x14ac:dyDescent="0.2">
      <c r="A48" s="1" t="s">
        <v>120</v>
      </c>
      <c r="B48" s="2" t="s">
        <v>126</v>
      </c>
      <c r="C48" s="2" t="s">
        <v>26</v>
      </c>
      <c r="D48" s="2" t="s">
        <v>127</v>
      </c>
      <c r="E48" s="2" t="s">
        <v>145</v>
      </c>
      <c r="F48" s="2" t="s">
        <v>146</v>
      </c>
    </row>
    <row r="49" spans="1:6" x14ac:dyDescent="0.2">
      <c r="A49" s="1" t="s">
        <v>10</v>
      </c>
      <c r="B49" s="1">
        <v>0</v>
      </c>
      <c r="C49" s="1" t="s">
        <v>117</v>
      </c>
      <c r="D49" s="1">
        <v>0</v>
      </c>
      <c r="E49" s="17">
        <v>2</v>
      </c>
      <c r="F49" s="1">
        <v>0</v>
      </c>
    </row>
    <row r="50" spans="1:6" x14ac:dyDescent="0.2">
      <c r="A50" s="23" t="s">
        <v>188</v>
      </c>
      <c r="B50" s="23">
        <v>6.8050205911053031E-4</v>
      </c>
      <c r="C50" s="23" t="s">
        <v>18</v>
      </c>
      <c r="D50" s="1">
        <v>3.7805669950585015E-4</v>
      </c>
      <c r="E50" s="22">
        <v>9999</v>
      </c>
      <c r="F50" s="23">
        <v>0</v>
      </c>
    </row>
    <row r="51" spans="1:6" x14ac:dyDescent="0.2">
      <c r="A51" s="1" t="s">
        <v>160</v>
      </c>
      <c r="B51" s="1">
        <v>0</v>
      </c>
      <c r="C51" s="1" t="s">
        <v>18</v>
      </c>
      <c r="D51" s="1">
        <v>0</v>
      </c>
      <c r="E51" s="17">
        <v>9999</v>
      </c>
      <c r="F51" s="1">
        <v>0</v>
      </c>
    </row>
    <row r="52" spans="1:6" x14ac:dyDescent="0.2">
      <c r="A52" s="1" t="s">
        <v>156</v>
      </c>
      <c r="B52" s="1">
        <v>0</v>
      </c>
      <c r="C52" s="1" t="s">
        <v>73</v>
      </c>
      <c r="D52" s="1">
        <v>0</v>
      </c>
      <c r="E52" s="17">
        <v>9999</v>
      </c>
      <c r="F52" s="1">
        <v>0</v>
      </c>
    </row>
    <row r="53" spans="1:6" x14ac:dyDescent="0.2">
      <c r="A53" s="1" t="s">
        <v>11</v>
      </c>
      <c r="B53" s="1">
        <v>0.42213997942419912</v>
      </c>
      <c r="C53" s="1" t="s">
        <v>119</v>
      </c>
      <c r="D53" s="1">
        <v>0.2706025509129481</v>
      </c>
      <c r="E53" s="17">
        <v>9999</v>
      </c>
      <c r="F53" s="1">
        <v>0</v>
      </c>
    </row>
    <row r="54" spans="1:6" x14ac:dyDescent="0.2">
      <c r="A54" s="1" t="s">
        <v>12</v>
      </c>
      <c r="B54" s="1">
        <v>0</v>
      </c>
      <c r="C54" s="1" t="s">
        <v>18</v>
      </c>
      <c r="D54" s="1">
        <v>0</v>
      </c>
      <c r="E54" s="17">
        <v>1</v>
      </c>
      <c r="F54" s="1">
        <v>0</v>
      </c>
    </row>
    <row r="55" spans="1:6" x14ac:dyDescent="0.2">
      <c r="A55" s="1" t="s">
        <v>13</v>
      </c>
      <c r="B55" s="1">
        <v>1.2101999999999999</v>
      </c>
      <c r="C55" s="1" t="s">
        <v>18</v>
      </c>
      <c r="D55" s="1">
        <v>1</v>
      </c>
      <c r="E55" s="17">
        <v>1</v>
      </c>
      <c r="F55" s="1">
        <v>0</v>
      </c>
    </row>
    <row r="56" spans="1:6" x14ac:dyDescent="0.2">
      <c r="A56" s="1" t="s">
        <v>14</v>
      </c>
      <c r="B56" s="1">
        <v>8.2393980165587095</v>
      </c>
      <c r="C56" s="1" t="s">
        <v>18</v>
      </c>
      <c r="D56" s="1">
        <v>6.4370297004364918</v>
      </c>
      <c r="E56" s="17">
        <v>9999</v>
      </c>
      <c r="F56" s="1">
        <v>0</v>
      </c>
    </row>
    <row r="57" spans="1:6" x14ac:dyDescent="0.2">
      <c r="A57" s="1" t="s">
        <v>15</v>
      </c>
      <c r="B57" s="1">
        <v>0</v>
      </c>
      <c r="C57" s="1" t="s">
        <v>18</v>
      </c>
      <c r="D57" s="1">
        <v>0</v>
      </c>
      <c r="E57" s="17">
        <v>9999</v>
      </c>
      <c r="F57" s="1">
        <v>0</v>
      </c>
    </row>
    <row r="58" spans="1:6" x14ac:dyDescent="0.2">
      <c r="A58" s="1" t="s">
        <v>16</v>
      </c>
      <c r="B58" s="1">
        <v>0</v>
      </c>
      <c r="C58" s="1" t="s">
        <v>18</v>
      </c>
      <c r="D58" s="1">
        <v>0</v>
      </c>
      <c r="E58" s="17">
        <v>1</v>
      </c>
      <c r="F58" s="1">
        <v>0</v>
      </c>
    </row>
    <row r="59" spans="1:6" x14ac:dyDescent="0.2">
      <c r="A59" s="1" t="s">
        <v>17</v>
      </c>
      <c r="B59" s="1">
        <v>7.9263368301375238E-3</v>
      </c>
      <c r="C59" s="1" t="s">
        <v>22</v>
      </c>
      <c r="D59" s="1">
        <v>1.2993994803504137E-2</v>
      </c>
      <c r="E59" s="17">
        <v>9999</v>
      </c>
      <c r="F59" s="1">
        <v>0</v>
      </c>
    </row>
    <row r="60" spans="1:6" x14ac:dyDescent="0.2">
      <c r="A60" s="1" t="s">
        <v>152</v>
      </c>
      <c r="B60" s="1">
        <v>0</v>
      </c>
      <c r="C60" s="1" t="s">
        <v>18</v>
      </c>
      <c r="D60" s="1">
        <v>0</v>
      </c>
      <c r="E60" s="17">
        <v>9999</v>
      </c>
      <c r="F60" s="1">
        <v>0</v>
      </c>
    </row>
    <row r="61" spans="1:6" x14ac:dyDescent="0.2">
      <c r="A61" s="1" t="s">
        <v>151</v>
      </c>
      <c r="B61" s="1">
        <v>0</v>
      </c>
      <c r="C61" s="1" t="s">
        <v>18</v>
      </c>
      <c r="D61" s="1">
        <v>0</v>
      </c>
      <c r="E61" s="17">
        <v>9999</v>
      </c>
      <c r="F61" s="1">
        <v>0</v>
      </c>
    </row>
    <row r="62" spans="1:6" x14ac:dyDescent="0.2">
      <c r="A62" s="1" t="s">
        <v>19</v>
      </c>
      <c r="B62" s="1">
        <v>1.5599999999999792</v>
      </c>
      <c r="C62" s="1" t="s">
        <v>18</v>
      </c>
      <c r="D62" s="1">
        <v>0.99999999999998668</v>
      </c>
      <c r="E62" s="17">
        <v>1</v>
      </c>
      <c r="F62" s="1">
        <v>0</v>
      </c>
    </row>
    <row r="63" spans="1:6" x14ac:dyDescent="0.2">
      <c r="A63" s="1" t="s">
        <v>20</v>
      </c>
      <c r="B63" s="1">
        <v>2.1718435849727462</v>
      </c>
      <c r="C63" s="1" t="s">
        <v>18</v>
      </c>
      <c r="D63" s="1">
        <v>0.51938720928190418</v>
      </c>
      <c r="E63" s="17">
        <v>9999</v>
      </c>
      <c r="F63" s="1">
        <v>0</v>
      </c>
    </row>
    <row r="64" spans="1:6" x14ac:dyDescent="0.2">
      <c r="A64" s="1" t="s">
        <v>23</v>
      </c>
      <c r="B64" s="1">
        <v>0</v>
      </c>
      <c r="C64" s="1" t="s">
        <v>24</v>
      </c>
      <c r="D64" s="1">
        <v>0</v>
      </c>
      <c r="E64" s="17">
        <v>0.66666666666666663</v>
      </c>
      <c r="F64" s="1">
        <v>0</v>
      </c>
    </row>
    <row r="65" spans="1:6" x14ac:dyDescent="0.2">
      <c r="A65" s="16" t="s">
        <v>115</v>
      </c>
      <c r="B65" s="1">
        <v>0</v>
      </c>
      <c r="C65" s="1" t="s">
        <v>174</v>
      </c>
      <c r="D65" s="1">
        <v>0</v>
      </c>
      <c r="E65" s="17">
        <v>0</v>
      </c>
      <c r="F65" s="1">
        <v>0</v>
      </c>
    </row>
    <row r="66" spans="1:6" x14ac:dyDescent="0.2">
      <c r="A66" s="20" t="s">
        <v>140</v>
      </c>
      <c r="B66" s="1">
        <v>0.56700000000000184</v>
      </c>
      <c r="C66" s="1" t="s">
        <v>141</v>
      </c>
      <c r="D66" s="1">
        <v>2.0000000000000062</v>
      </c>
      <c r="E66" s="17">
        <v>2</v>
      </c>
      <c r="F66" s="1">
        <v>0</v>
      </c>
    </row>
    <row r="67" spans="1:6" x14ac:dyDescent="0.2">
      <c r="A67" s="6" t="s">
        <v>114</v>
      </c>
      <c r="B67" s="1">
        <v>3.120000000000037</v>
      </c>
      <c r="C67" s="1" t="s">
        <v>118</v>
      </c>
      <c r="D67" s="1">
        <v>2.0000000000000235</v>
      </c>
      <c r="E67" s="17">
        <v>2</v>
      </c>
      <c r="F67" s="1">
        <v>0</v>
      </c>
    </row>
  </sheetData>
  <mergeCells count="3">
    <mergeCell ref="A1:F1"/>
    <mergeCell ref="A25:F25"/>
    <mergeCell ref="A47:F47"/>
  </mergeCells>
  <pageMargins left="0.7" right="0.7" top="0.75" bottom="0.75" header="0.3" footer="0.3"/>
  <pageSetup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ABET</dc:creator>
  <cp:lastModifiedBy>Microsoft Office User</cp:lastModifiedBy>
  <cp:lastPrinted>2014-07-16T19:05:10Z</cp:lastPrinted>
  <dcterms:created xsi:type="dcterms:W3CDTF">2014-06-27T00:33:43Z</dcterms:created>
  <dcterms:modified xsi:type="dcterms:W3CDTF">2016-12-24T20:14:09Z</dcterms:modified>
</cp:coreProperties>
</file>