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Challenge\"/>
    </mc:Choice>
  </mc:AlternateContent>
  <xr:revisionPtr revIDLastSave="0" documentId="13_ncr:1_{621E9BCD-0DA3-4E6C-897E-34BC9C53CBC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Crowdfunding" sheetId="1" r:id="rId1"/>
    <sheet name="Parent_Category" sheetId="2" r:id="rId2"/>
    <sheet name="Sub_Category" sheetId="3" r:id="rId3"/>
    <sheet name="Dates" sheetId="11" r:id="rId4"/>
    <sheet name="Outcomes" sheetId="7" r:id="rId5"/>
    <sheet name="Analysis" sheetId="8" r:id="rId6"/>
  </sheets>
  <definedNames>
    <definedName name="_xlnm._FilterDatabase" localSheetId="5" hidden="1">Analysis!#REF!</definedName>
    <definedName name="_xlnm._FilterDatabase" localSheetId="0" hidden="1">Crowdfunding!$A$1:$T$1001</definedName>
    <definedName name="_xlnm._FilterDatabase" localSheetId="4" hidden="1">Outcomes!$A$1:$H$13</definedName>
    <definedName name="_xlcn.WorksheetConnection_CrowdfundingAT1" hidden="1">Crowdfunding!$A:$T</definedName>
  </definedNames>
  <calcPr calcId="191029"/>
  <pivotCaches>
    <pivotCache cacheId="0" r:id="rId7"/>
    <pivotCache cacheId="10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8" l="1"/>
  <c r="L2" i="8"/>
  <c r="M3" i="8"/>
  <c r="M2" i="8"/>
  <c r="K3" i="8"/>
  <c r="J3" i="8"/>
  <c r="J2" i="8"/>
  <c r="I3" i="8"/>
  <c r="K2" i="8"/>
  <c r="I2" i="8"/>
  <c r="H2" i="8"/>
  <c r="H3" i="8"/>
  <c r="B2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B12" i="7"/>
  <c r="E12" i="7" s="1"/>
  <c r="F12" i="7" s="1"/>
  <c r="B11" i="7"/>
  <c r="B10" i="7"/>
  <c r="B9" i="7"/>
  <c r="B8" i="7"/>
  <c r="B7" i="7"/>
  <c r="B6" i="7"/>
  <c r="B5" i="7"/>
  <c r="B4" i="7"/>
  <c r="B3" i="7"/>
  <c r="D13" i="7"/>
  <c r="C13" i="7"/>
  <c r="B13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8" i="1"/>
  <c r="F7" i="1"/>
  <c r="F6" i="1"/>
  <c r="F5" i="1"/>
  <c r="F4" i="1"/>
  <c r="F3" i="1"/>
  <c r="F2" i="1"/>
  <c r="E11" i="7" l="1"/>
  <c r="E7" i="7"/>
  <c r="G7" i="7" s="1"/>
  <c r="E3" i="7"/>
  <c r="E9" i="7"/>
  <c r="G9" i="7" s="1"/>
  <c r="E10" i="7"/>
  <c r="H10" i="7" s="1"/>
  <c r="E4" i="7"/>
  <c r="F4" i="7" s="1"/>
  <c r="E5" i="7"/>
  <c r="F5" i="7" s="1"/>
  <c r="E6" i="7"/>
  <c r="F6" i="7" s="1"/>
  <c r="H7" i="7"/>
  <c r="E8" i="7"/>
  <c r="G8" i="7" s="1"/>
  <c r="H9" i="7"/>
  <c r="H5" i="7"/>
  <c r="E2" i="7"/>
  <c r="F2" i="7" s="1"/>
  <c r="H6" i="7"/>
  <c r="G6" i="7"/>
  <c r="H8" i="7"/>
  <c r="G3" i="7"/>
  <c r="G11" i="7"/>
  <c r="H3" i="7"/>
  <c r="H11" i="7"/>
  <c r="G12" i="7"/>
  <c r="H12" i="7"/>
  <c r="G5" i="7"/>
  <c r="F11" i="7"/>
  <c r="F10" i="7"/>
  <c r="F9" i="7"/>
  <c r="E13" i="7"/>
  <c r="H13" i="7" s="1"/>
  <c r="F8" i="7"/>
  <c r="F7" i="7"/>
  <c r="F3" i="7"/>
  <c r="H4" i="7" l="1"/>
  <c r="G4" i="7"/>
  <c r="G10" i="7"/>
  <c r="G13" i="7"/>
  <c r="H2" i="7"/>
  <c r="G2" i="7"/>
  <c r="F1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45EA54-5FA6-424B-BF48-21E76EAB46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2014A2B-F476-4D11-907B-C768E6163B13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<sst xmlns="http://schemas.openxmlformats.org/spreadsheetml/2006/main" count="7064" uniqueCount="2114">
  <si>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</si>
  <si>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</si>
  <si>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</si>
  <si>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</si>
  <si>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</si>
  <si>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</si>
  <si>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</si>
  <si>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</si>
  <si>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</si>
  <si>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</si>
  <si>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</si>
  <si>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</si>
  <si>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</si>
  <si>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</si>
  <si>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</si>
  <si>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</si>
  <si>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</si>
  <si>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</si>
  <si>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</si>
  <si>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</si>
  <si>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</si>
  <si>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</si>
  <si>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</si>
  <si>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</si>
  <si>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</si>
  <si>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</si>
  <si>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</si>
  <si>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</si>
  <si>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</si>
  <si>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</si>
  <si>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</si>
  <si>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</si>
  <si>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</si>
  <si>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</si>
  <si>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</si>
  <si>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</si>
  <si>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</si>
  <si>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</si>
  <si>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</si>
  <si>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</si>
  <si>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</si>
  <si>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</si>
  <si>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</si>
  <si>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</si>
  <si>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</si>
  <si>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</si>
  <si>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</si>
  <si>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</si>
  <si>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</si>
  <si>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</si>
  <si>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</si>
  <si>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</si>
  <si>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</si>
  <si>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</si>
  <si>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</si>
  <si>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</si>
  <si>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</si>
  <si>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</si>
  <si>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</si>
  <si>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</si>
  <si>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</si>
  <si>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</si>
  <si>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</si>
  <si>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</si>
  <si>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</si>
  <si>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</si>
  <si>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</si>
  <si>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</si>
  <si>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</si>
  <si>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</si>
  <si>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</si>
  <si>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</si>
  <si>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</si>
  <si>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</si>
  <si>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</si>
  <si>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</si>
  <si>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</si>
  <si>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</si>
  <si>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</si>
  <si>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</si>
  <si>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</si>
  <si>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</si>
  <si>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</si>
  <si>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</si>
  <si>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</si>
  <si>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</si>
  <si>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</si>
  <si>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</si>
  <si>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</si>
  <si>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</si>
  <si>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</si>
  <si>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</si>
  <si>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</si>
  <si>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</si>
  <si>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</si>
  <si>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</si>
  <si>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</si>
  <si>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</si>
  <si>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</si>
  <si>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</si>
  <si>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</si>
  <si>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</si>
  <si>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</si>
  <si>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</si>
  <si>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</si>
  <si>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</si>
  <si>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</si>
  <si>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</si>
  <si>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</si>
  <si>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</si>
  <si>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</si>
  <si>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</si>
  <si>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</si>
  <si>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</si>
  <si>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</si>
  <si>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</si>
  <si>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</si>
  <si>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</si>
  <si>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</si>
  <si>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</si>
  <si>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</si>
  <si>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</si>
  <si>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</si>
  <si>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</si>
  <si>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</si>
  <si>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</si>
  <si>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</si>
  <si>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</si>
  <si>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</si>
  <si>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</si>
  <si>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</si>
  <si>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</si>
  <si>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</si>
  <si>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</si>
  <si>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</si>
  <si>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</si>
  <si>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</si>
  <si>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</si>
  <si>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</si>
  <si>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</si>
  <si>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</si>
  <si>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</si>
  <si>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</si>
  <si>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</si>
  <si>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</si>
  <si>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</si>
  <si>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</si>
  <si>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</si>
  <si>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</si>
  <si>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</si>
  <si>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</si>
  <si>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</si>
  <si>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</si>
  <si>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</si>
  <si>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</si>
  <si>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</si>
  <si>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</si>
  <si>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</si>
  <si>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</si>
  <si>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</si>
  <si>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</si>
  <si>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</si>
  <si>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</si>
  <si>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</si>
  <si>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</si>
  <si>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</si>
  <si>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</si>
  <si>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</si>
  <si>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</si>
  <si>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</si>
  <si>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</si>
  <si>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</si>
  <si>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</si>
  <si>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</si>
  <si>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</si>
  <si>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</si>
  <si>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</si>
  <si>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</si>
  <si>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</si>
  <si>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</si>
  <si>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</si>
  <si>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</si>
  <si>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</si>
  <si>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</si>
  <si>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</si>
  <si>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</si>
  <si>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</si>
  <si>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</si>
  <si>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</si>
  <si>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</si>
  <si>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</si>
  <si>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</si>
  <si>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</si>
  <si>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</si>
  <si>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</si>
  <si>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</si>
  <si>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</si>
  <si>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</si>
  <si>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</si>
  <si>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</si>
  <si>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</si>
  <si>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</si>
  <si>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</si>
  <si>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</si>
  <si>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</si>
  <si>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</si>
  <si>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</si>
  <si>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</si>
  <si>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</si>
  <si>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</si>
  <si>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</si>
  <si>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</si>
  <si>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</si>
  <si>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</si>
  <si>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</si>
  <si>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</si>
  <si>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</si>
  <si>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</si>
  <si>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</si>
  <si>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</si>
  <si>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</si>
  <si>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</si>
  <si>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</si>
  <si>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</si>
  <si>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</si>
  <si>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</si>
  <si>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</si>
  <si>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</si>
  <si>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</si>
  <si>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</si>
  <si>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</si>
  <si>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</si>
  <si>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</si>
  <si>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</si>
  <si>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</si>
  <si>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</si>
  <si>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</si>
  <si>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</si>
  <si>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</si>
  <si>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</si>
  <si>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</si>
  <si>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</si>
  <si>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</si>
  <si>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</si>
  <si>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</si>
  <si>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</si>
  <si>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</si>
  <si>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</si>
  <si>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</si>
  <si>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</si>
  <si>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</si>
  <si>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</si>
  <si>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</si>
  <si>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</si>
  <si>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</si>
  <si>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</si>
  <si>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</si>
  <si>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</si>
  <si>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</si>
  <si>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</si>
  <si>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</si>
  <si>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</si>
  <si>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</si>
  <si>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</si>
  <si>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</si>
  <si>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</si>
  <si>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</si>
  <si>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</si>
  <si>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</si>
  <si>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</si>
  <si>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</si>
  <si>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</si>
  <si>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</si>
  <si>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</si>
  <si>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</si>
  <si>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</si>
  <si>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</si>
  <si>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</si>
  <si>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</si>
  <si>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</si>
  <si>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</si>
  <si>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</si>
  <si>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</si>
  <si>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</si>
  <si>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</si>
  <si>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</si>
  <si>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</si>
  <si>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</si>
  <si>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</si>
  <si>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</si>
  <si>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</si>
  <si>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</si>
  <si>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</si>
  <si>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</si>
  <si>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</si>
  <si>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</si>
  <si>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</si>
  <si>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</si>
  <si>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</si>
  <si>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</si>
  <si>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</si>
  <si>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</si>
  <si>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</si>
  <si>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</si>
  <si>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</si>
  <si>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</si>
  <si>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</si>
  <si>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</si>
  <si>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</si>
  <si>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</si>
  <si>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</si>
  <si>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</si>
  <si>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</si>
  <si>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</si>
  <si>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</si>
  <si>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</si>
  <si>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</si>
  <si>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</si>
  <si>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</si>
  <si>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</si>
  <si>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</si>
  <si>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</si>
  <si>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</si>
  <si>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</si>
  <si>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</si>
  <si>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</si>
  <si>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</si>
  <si>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</si>
  <si>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</si>
  <si>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</si>
  <si>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</si>
  <si>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</si>
  <si>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</si>
  <si>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</si>
  <si>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</si>
  <si>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</si>
  <si>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</si>
  <si>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</si>
  <si>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</si>
  <si>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</si>
  <si>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</si>
  <si>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</si>
  <si>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</si>
  <si>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</si>
  <si>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</si>
  <si>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</si>
  <si>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</si>
  <si>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</si>
  <si>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</si>
  <si>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</si>
  <si>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</si>
  <si>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</si>
  <si>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</si>
  <si>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</si>
  <si>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</si>
  <si>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</si>
  <si>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</si>
  <si>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</si>
  <si>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</si>
  <si>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</si>
  <si>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</si>
  <si>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</si>
  <si>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</si>
  <si>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</si>
  <si>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</si>
  <si>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</si>
  <si>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</si>
  <si>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</si>
  <si>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</si>
  <si>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</si>
  <si>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</si>
  <si>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</si>
  <si>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</si>
  <si>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</si>
  <si>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</si>
  <si>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</si>
  <si>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</si>
  <si>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</si>
  <si>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</si>
  <si>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</si>
  <si>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</si>
  <si>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</si>
  <si>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</si>
  <si>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</si>
  <si>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</si>
  <si>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</si>
  <si>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</si>
  <si>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</si>
  <si>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</si>
  <si>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</si>
  <si>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</si>
  <si>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</si>
  <si>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</si>
  <si>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</si>
  <si>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</si>
  <si>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</si>
  <si>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</si>
  <si>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</si>
  <si>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</si>
  <si>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</si>
  <si>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</si>
  <si>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</si>
  <si>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</si>
  <si>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</si>
  <si>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</si>
  <si>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</si>
  <si>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</si>
  <si>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</si>
  <si>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</si>
  <si>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</si>
  <si>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</si>
  <si>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</si>
  <si>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</si>
  <si>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</si>
  <si>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</si>
  <si>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</si>
  <si>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</si>
  <si>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</si>
  <si>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</si>
  <si>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</si>
  <si>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</si>
  <si>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</si>
  <si>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</si>
  <si>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</si>
  <si>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</si>
  <si>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</si>
  <si>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</si>
  <si>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</si>
  <si>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</si>
  <si>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</si>
  <si>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</si>
  <si>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</si>
  <si>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</si>
  <si>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</si>
  <si>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</si>
  <si>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</si>
  <si>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</si>
  <si>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</si>
  <si>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</si>
  <si>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</si>
  <si>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</si>
  <si>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</si>
  <si>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</si>
  <si>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</si>
  <si>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</si>
  <si>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</si>
  <si>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</si>
  <si>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</si>
  <si>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</si>
  <si>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</si>
  <si>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</si>
  <si>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</si>
  <si>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</si>
  <si>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</si>
  <si>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</si>
  <si>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</si>
  <si>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</si>
  <si>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</si>
  <si>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</si>
  <si>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</si>
  <si>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</si>
  <si>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</si>
  <si>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</si>
  <si>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</si>
  <si>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</si>
  <si>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</si>
  <si>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</si>
  <si>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</si>
  <si>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</si>
  <si>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</si>
  <si>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</si>
  <si>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</si>
  <si>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</si>
  <si>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</si>
  <si>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</si>
  <si>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</si>
  <si>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</si>
  <si>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</si>
  <si>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</si>
  <si>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</si>
  <si>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</si>
  <si>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</si>
  <si>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</si>
  <si>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</si>
  <si>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</si>
  <si>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</si>
  <si>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</si>
  <si>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</si>
  <si>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</si>
  <si>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</si>
  <si>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</si>
  <si>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</si>
  <si>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</si>
  <si>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</si>
  <si>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</si>
  <si>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</si>
  <si>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</si>
  <si>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</si>
  <si>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</si>
  <si>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</si>
  <si>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</si>
  <si>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</si>
  <si>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</si>
  <si>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</si>
  <si>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</si>
  <si>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</si>
  <si>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</si>
  <si>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</si>
  <si>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</si>
  <si>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</si>
  <si>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</si>
  <si>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</si>
  <si>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</si>
  <si>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</si>
  <si>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</si>
  <si>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</si>
  <si>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</si>
  <si>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</si>
  <si>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</si>
  <si>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</si>
  <si>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</si>
  <si>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</si>
  <si>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</si>
  <si>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</si>
  <si>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</si>
  <si>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</si>
  <si>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</si>
  <si>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</si>
  <si>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</si>
  <si>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</si>
  <si>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</si>
  <si>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</si>
  <si>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</si>
  <si>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</si>
  <si>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</si>
  <si>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</si>
  <si>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</si>
  <si>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</si>
  <si>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</si>
  <si>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</si>
  <si>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</si>
  <si>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</si>
  <si>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</si>
  <si>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</si>
  <si>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</si>
  <si>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</si>
  <si>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</si>
  <si>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</si>
  <si>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</si>
  <si>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</si>
  <si>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</si>
  <si>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</si>
  <si>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</si>
  <si>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</si>
  <si>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</si>
  <si>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</si>
  <si>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</si>
  <si>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</si>
  <si>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</si>
  <si>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</si>
  <si>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</si>
  <si>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</si>
  <si>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</si>
  <si>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</si>
  <si>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</si>
  <si>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</si>
  <si>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</si>
  <si>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</si>
  <si>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</si>
  <si>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</si>
  <si>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</si>
  <si>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</si>
  <si>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</si>
  <si>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</si>
  <si>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</si>
  <si>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</si>
  <si>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</si>
  <si>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</si>
  <si>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</si>
  <si>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</si>
  <si>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</si>
  <si>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</si>
  <si>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</si>
  <si>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</si>
  <si>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</si>
  <si>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</si>
  <si>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</si>
  <si>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</si>
  <si>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</si>
  <si>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</si>
  <si>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</si>
  <si>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</si>
  <si>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</si>
  <si>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</si>
  <si>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</si>
  <si>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</si>
  <si>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</si>
  <si>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</si>
  <si>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</si>
  <si>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</si>
  <si>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</si>
  <si>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</si>
  <si>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</si>
  <si>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</si>
  <si>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</si>
  <si>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</si>
  <si>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</si>
  <si>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</si>
  <si>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</si>
  <si>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</si>
  <si>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</si>
  <si>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</si>
  <si>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</si>
  <si>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</si>
  <si>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</si>
  <si>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</si>
  <si>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</si>
  <si>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</si>
  <si>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</si>
  <si>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</si>
  <si>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</si>
  <si>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</si>
  <si>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</si>
  <si>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</si>
  <si>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</si>
  <si>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</si>
  <si>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</si>
  <si>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</si>
  <si>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</si>
  <si>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</si>
  <si>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</si>
  <si>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</si>
  <si>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</si>
  <si>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</si>
  <si>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</si>
  <si>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</si>
  <si>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</si>
  <si>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</si>
  <si>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</si>
  <si>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</si>
  <si>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</si>
  <si>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</si>
  <si>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</si>
  <si>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</si>
  <si>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</si>
  <si>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</si>
  <si>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</si>
  <si>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</si>
  <si>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</si>
  <si>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</si>
  <si>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</si>
  <si>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</si>
  <si>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</si>
  <si>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</si>
  <si>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</si>
  <si>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</si>
  <si>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</si>
  <si>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</si>
  <si>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</si>
  <si>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</si>
  <si>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</si>
  <si>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</si>
  <si>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</si>
  <si>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</si>
  <si>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</si>
  <si>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</si>
  <si>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</si>
  <si>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</si>
  <si>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</si>
  <si>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</si>
  <si>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</si>
  <si>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</si>
  <si>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</si>
  <si>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</si>
  <si>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</si>
  <si>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</si>
  <si>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</si>
  <si>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</si>
  <si>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</si>
  <si>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</si>
  <si>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</si>
  <si>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</si>
  <si>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</si>
  <si>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</si>
  <si>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</si>
  <si>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</si>
  <si>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</si>
  <si>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</si>
  <si>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</si>
  <si>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</si>
  <si>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</si>
  <si>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</si>
  <si>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</si>
  <si>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</si>
  <si>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</si>
  <si>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</si>
  <si>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</si>
  <si>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</si>
  <si>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</si>
  <si>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</si>
  <si>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</si>
  <si>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</si>
  <si>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</si>
  <si>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</si>
  <si>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</si>
  <si>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</si>
  <si>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</si>
  <si>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</si>
  <si>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</si>
  <si>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</si>
  <si>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</si>
  <si>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</si>
  <si>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</si>
  <si>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</si>
  <si>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</si>
  <si>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</si>
  <si>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</si>
  <si>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</si>
  <si>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</si>
  <si>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</si>
  <si>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</si>
  <si>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</si>
  <si>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</si>
  <si>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</si>
  <si>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</si>
  <si>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</si>
  <si>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</si>
  <si>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</si>
  <si>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</si>
  <si>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</si>
  <si>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</si>
  <si>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</si>
  <si>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</si>
  <si>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</si>
  <si>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</si>
  <si>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</si>
  <si>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</si>
  <si>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</si>
  <si>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</si>
  <si>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</si>
  <si>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</si>
  <si>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</si>
  <si>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</si>
  <si>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</si>
  <si>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</si>
  <si>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</si>
  <si>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</si>
  <si>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</si>
  <si>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</si>
  <si>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</si>
  <si>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</si>
  <si>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</si>
  <si>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</si>
  <si>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</si>
  <si>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</si>
  <si>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</si>
  <si>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</si>
  <si>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</si>
  <si>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</si>
  <si>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</si>
  <si>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</si>
  <si>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</si>
  <si>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</si>
  <si>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</si>
  <si>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</si>
  <si>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</si>
  <si>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</si>
  <si>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</si>
  <si>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</si>
  <si>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</si>
  <si>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</si>
  <si>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</si>
  <si>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</si>
  <si>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</si>
  <si>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</si>
  <si>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</si>
  <si>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</si>
  <si>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</si>
  <si>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</si>
  <si>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</si>
  <si>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</si>
  <si>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</si>
  <si>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</si>
  <si>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</si>
  <si>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</si>
  <si>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</si>
  <si>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</si>
  <si>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</si>
  <si>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</si>
  <si>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</si>
  <si>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</si>
  <si>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</si>
  <si>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</si>
  <si>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</si>
  <si>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</si>
  <si>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</si>
  <si>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</si>
  <si>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</si>
  <si>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</si>
  <si>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</si>
  <si>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</si>
  <si>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</si>
  <si>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</si>
  <si>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</si>
  <si>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</si>
  <si>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</si>
  <si>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</si>
  <si>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</si>
  <si>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</si>
  <si>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</si>
  <si>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</si>
  <si>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</si>
  <si>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</si>
  <si>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</si>
  <si>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</si>
  <si>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</si>
  <si>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</si>
  <si>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</si>
  <si>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</si>
  <si>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</si>
  <si>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</si>
  <si>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</si>
  <si>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</si>
  <si>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</si>
  <si>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</si>
  <si>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</si>
  <si>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</si>
  <si>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</si>
  <si>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</si>
  <si>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</si>
  <si>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</si>
  <si>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</si>
  <si>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</si>
  <si>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</si>
  <si>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</si>
  <si>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</si>
  <si>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</si>
  <si>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</si>
  <si>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</si>
  <si>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</si>
  <si>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</si>
  <si>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</si>
  <si>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</si>
  <si>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</si>
  <si>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</si>
  <si>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</si>
  <si>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</si>
  <si>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</si>
  <si>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</si>
  <si>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</si>
  <si>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</si>
  <si>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</si>
  <si>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</si>
  <si>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</si>
  <si>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</si>
  <si>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</si>
  <si>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</si>
  <si>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</si>
  <si>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</si>
  <si>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</si>
  <si>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</si>
  <si>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</si>
  <si>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</si>
  <si>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</si>
  <si>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</si>
  <si>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</si>
  <si>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</si>
  <si>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</si>
  <si>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</si>
  <si>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</si>
  <si>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</si>
  <si>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</si>
  <si>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</si>
  <si>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</si>
  <si>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</si>
  <si>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</si>
  <si>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</si>
  <si>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</si>
  <si>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</si>
  <si>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</si>
  <si>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</si>
  <si>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</si>
  <si>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</si>
  <si>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</si>
  <si>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</si>
  <si>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</si>
  <si>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</si>
  <si>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</si>
  <si>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</si>
  <si>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</si>
  <si>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</si>
  <si>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</si>
  <si>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</si>
  <si>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</si>
  <si>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</si>
  <si>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</si>
  <si>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</si>
  <si>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</si>
  <si>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</si>
  <si>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</si>
  <si>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</si>
  <si>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</si>
  <si>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</si>
  <si>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</si>
  <si>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</si>
  <si>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</si>
  <si>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</si>
  <si>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</si>
  <si>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</si>
  <si>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</si>
  <si>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</si>
  <si>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</si>
  <si>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</si>
  <si>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</si>
  <si>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</si>
  <si>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</si>
  <si>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</si>
  <si>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</si>
  <si>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</si>
  <si>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</si>
  <si>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</si>
  <si>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</si>
  <si>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</si>
  <si>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</si>
  <si>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</si>
  <si>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</si>
  <si>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</si>
  <si>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</si>
  <si>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</si>
  <si>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</si>
  <si>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</si>
  <si>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</si>
  <si>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</si>
  <si>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</si>
  <si>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</si>
  <si>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</si>
  <si>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</si>
  <si>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</si>
  <si>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</si>
  <si>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</si>
  <si>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</si>
  <si>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</si>
  <si>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</si>
  <si>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</si>
  <si>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</si>
  <si>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</si>
  <si>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</si>
  <si>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</si>
  <si>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</si>
  <si>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</si>
  <si>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</si>
  <si>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</si>
  <si>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</si>
  <si>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</si>
  <si>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</si>
  <si>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</si>
  <si>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</si>
  <si>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</si>
  <si>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</si>
  <si>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</si>
  <si>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</si>
  <si>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</si>
  <si>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</si>
  <si>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</si>
  <si>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</si>
  <si>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</si>
  <si>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</si>
  <si>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</si>
  <si>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</si>
  <si>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</si>
  <si>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</si>
  <si>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</si>
  <si>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</si>
  <si>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</si>
  <si>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</si>
  <si>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</si>
  <si>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</si>
  <si>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</si>
  <si>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</si>
  <si>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</si>
  <si>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</si>
  <si>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</si>
  <si>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</si>
  <si>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</si>
  <si>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</si>
  <si>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</si>
  <si>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</si>
  <si>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</si>
  <si>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</si>
  <si>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</si>
  <si>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</si>
  <si>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</si>
  <si>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</si>
  <si>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</si>
  <si>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</si>
  <si>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</si>
  <si>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</si>
  <si>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</si>
  <si>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</si>
  <si>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</si>
  <si>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</si>
  <si>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</si>
  <si>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</si>
  <si>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</si>
  <si>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</si>
  <si>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</si>
  <si>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</si>
  <si>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</si>
  <si>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</si>
  <si>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</si>
  <si>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</si>
  <si>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</si>
  <si>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</si>
  <si>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</si>
  <si>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</si>
  <si>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</si>
  <si>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</si>
  <si>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</si>
  <si>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</si>
  <si>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</si>
  <si>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</si>
  <si>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</si>
  <si>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</si>
  <si>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</si>
  <si>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</si>
  <si>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</si>
  <si>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</si>
  <si>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</si>
  <si>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</si>
  <si>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</si>
  <si>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</si>
  <si>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</si>
  <si>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</si>
  <si>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</si>
  <si>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</si>
  <si>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</si>
  <si>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</si>
  <si>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</si>
  <si>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</si>
  <si>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</si>
  <si>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</si>
  <si>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</si>
  <si>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</si>
  <si>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</si>
  <si>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</si>
  <si>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</si>
  <si>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</si>
  <si>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</si>
  <si>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</si>
  <si>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</si>
  <si>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</si>
  <si>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</si>
  <si>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</si>
  <si>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</si>
  <si>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</si>
  <si>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</si>
  <si>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</si>
  <si>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</si>
  <si>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</si>
  <si>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</si>
  <si>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</si>
  <si>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</si>
  <si>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</si>
  <si>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</si>
  <si>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</si>
  <si>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</si>
  <si>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</si>
  <si>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</si>
  <si>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</si>
  <si>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</si>
  <si>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</si>
  <si>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</si>
  <si>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</si>
  <si>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</si>
  <si>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</si>
  <si>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</si>
  <si>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</si>
  <si>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</si>
  <si>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</si>
  <si>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</si>
  <si>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</si>
  <si>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</si>
  <si>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</si>
  <si>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</si>
  <si>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</si>
  <si>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</si>
  <si>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</si>
  <si>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</si>
  <si>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</si>
  <si>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</si>
  <si>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</si>
  <si>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</si>
  <si>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</si>
  <si>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</si>
  <si>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</si>
  <si>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</si>
  <si>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</si>
  <si>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</si>
  <si>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</si>
  <si>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</si>
  <si>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</si>
  <si>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</si>
  <si>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</si>
  <si>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</si>
  <si>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</si>
  <si>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</si>
  <si>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</si>
  <si>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</si>
  <si>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</si>
  <si>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</si>
  <si>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</si>
  <si>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</si>
  <si>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</si>
  <si>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</si>
  <si>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</si>
  <si>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</si>
  <si>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</si>
  <si>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</si>
  <si>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</si>
  <si>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</si>
  <si>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</si>
  <si>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</si>
  <si>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</si>
  <si>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</si>
  <si>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</si>
  <si>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</si>
  <si>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</si>
  <si>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</si>
  <si>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</si>
  <si>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</si>
  <si>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</si>
  <si>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</si>
  <si>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</si>
  <si>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</si>
  <si>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</si>
  <si>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</si>
  <si>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</si>
  <si>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</si>
  <si>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</si>
  <si>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</si>
  <si>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</si>
  <si>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</si>
  <si>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</si>
  <si>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</si>
  <si>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</si>
  <si>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</si>
  <si>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</si>
  <si>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</si>
  <si>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</si>
  <si>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</si>
  <si>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</si>
  <si>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</si>
  <si>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</si>
  <si>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</si>
  <si>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</si>
  <si>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</si>
  <si>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</si>
  <si>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</si>
  <si>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</si>
  <si>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</si>
  <si>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</si>
  <si>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</si>
  <si>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</si>
  <si>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</si>
  <si>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</si>
  <si>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</si>
  <si>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</si>
  <si>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</si>
  <si>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</si>
  <si>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</si>
  <si>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</si>
  <si>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</si>
  <si>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</si>
  <si>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</si>
  <si>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</si>
  <si>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</si>
  <si>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</si>
  <si>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</si>
  <si>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</si>
  <si>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</si>
  <si>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</si>
  <si>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</si>
  <si>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</si>
  <si>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</si>
  <si>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</si>
  <si>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</si>
  <si>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</si>
  <si>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</si>
  <si>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</si>
  <si>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</si>
  <si>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</si>
  <si>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</si>
  <si>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</si>
  <si>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</si>
  <si>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</si>
  <si>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</si>
  <si>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</si>
  <si>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</si>
  <si>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</si>
  <si>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</si>
  <si>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</si>
  <si>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</si>
  <si>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</si>
  <si>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</si>
  <si>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</si>
  <si>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</si>
  <si>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</si>
  <si>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</si>
  <si>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</si>
  <si>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</si>
  <si>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</si>
  <si>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</si>
  <si>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</si>
  <si>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</si>
  <si>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</si>
  <si>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</si>
  <si>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</si>
  <si>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</si>
  <si>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</si>
  <si>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</si>
  <si>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</si>
  <si>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</si>
  <si>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</si>
  <si>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</si>
  <si>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</si>
  <si>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</si>
  <si>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</si>
  <si>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</si>
  <si>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</si>
  <si>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</si>
  <si>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</si>
  <si>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</si>
  <si>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</si>
  <si>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</si>
  <si>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</si>
  <si>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</si>
  <si>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</si>
  <si>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</si>
  <si>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</si>
  <si>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</si>
  <si>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</si>
  <si>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</si>
  <si>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</si>
  <si>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</si>
  <si>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</si>
  <si>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</si>
  <si>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</si>
  <si>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</si>
  <si>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</si>
  <si>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</si>
  <si>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</si>
  <si>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</si>
  <si>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</si>
  <si>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</si>
  <si>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</si>
  <si>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</si>
  <si>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</si>
  <si>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</si>
  <si>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</si>
  <si>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</si>
  <si>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</si>
  <si>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</si>
  <si>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</si>
  <si>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</si>
  <si>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</si>
  <si>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</si>
  <si>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</si>
  <si>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</si>
  <si>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</si>
  <si>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</si>
  <si>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</si>
  <si>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</si>
  <si>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</si>
  <si>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</si>
  <si>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</si>
  <si>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</si>
  <si>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</si>
  <si>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</si>
  <si>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</si>
  <si>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</si>
  <si>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</si>
  <si>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</si>
  <si>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</si>
  <si>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</si>
  <si>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</si>
  <si>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</si>
  <si>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</si>
  <si>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</si>
  <si>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</si>
  <si>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</si>
  <si>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</si>
  <si>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</si>
  <si>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</si>
  <si>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</si>
  <si>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</si>
  <si>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</si>
  <si>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</si>
  <si>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</si>
  <si>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</si>
  <si>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</si>
  <si>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</si>
  <si>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</si>
  <si>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</si>
  <si>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</si>
  <si>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</si>
  <si>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</si>
  <si>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</si>
  <si>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</si>
  <si>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</si>
  <si>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</si>
  <si>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</si>
  <si>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</si>
  <si>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</si>
  <si>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</si>
  <si>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</si>
  <si>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</si>
  <si>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</si>
  <si>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</si>
  <si>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</si>
  <si>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</si>
  <si>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</si>
  <si>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</si>
  <si>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</si>
  <si>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</si>
  <si>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</si>
  <si>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</si>
  <si>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</si>
  <si>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</si>
  <si>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</si>
  <si>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</si>
  <si>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</si>
  <si>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</si>
  <si>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</si>
  <si>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</si>
  <si>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</si>
  <si>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</si>
  <si>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</si>
  <si>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</si>
  <si>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</si>
  <si>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</si>
  <si>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</si>
  <si>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</si>
  <si>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</si>
  <si>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</si>
  <si>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</si>
  <si>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</si>
  <si>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</si>
  <si>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</si>
  <si>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</si>
  <si>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</si>
  <si>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</si>
  <si>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</si>
  <si>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</si>
  <si>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</si>
  <si>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</si>
  <si>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</si>
  <si>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</si>
  <si>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</si>
  <si>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</si>
  <si>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</si>
  <si>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</si>
  <si>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</si>
  <si>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</si>
  <si>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</si>
  <si>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</si>
  <si>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</si>
  <si>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</si>
  <si>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</si>
  <si>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</si>
  <si>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</si>
  <si>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</si>
  <si>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</si>
  <si>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</si>
  <si>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</si>
  <si>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</si>
  <si>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</si>
  <si>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</si>
  <si>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</si>
  <si>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</si>
  <si>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</si>
  <si>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</si>
  <si>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</si>
  <si>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</si>
  <si>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</si>
  <si>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</si>
  <si>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</si>
  <si>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</si>
  <si>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</si>
  <si>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</si>
  <si>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</si>
  <si>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</si>
  <si>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</si>
  <si>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</si>
  <si>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</si>
  <si>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</si>
  <si>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</si>
  <si>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</si>
  <si>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</si>
  <si>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</si>
  <si>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</si>
  <si>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</si>
  <si>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</si>
  <si>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</si>
  <si>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</si>
  <si>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</si>
  <si>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</si>
  <si>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</si>
  <si>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</si>
  <si>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</si>
  <si>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</si>
  <si>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</si>
  <si>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</si>
  <si>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</si>
  <si>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</si>
  <si>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</si>
  <si>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</si>
  <si>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</si>
  <si>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</si>
  <si>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</si>
  <si>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</si>
  <si>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</si>
  <si>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</si>
  <si>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</si>
  <si>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</si>
  <si>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</si>
  <si>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</si>
  <si>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</si>
  <si>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</si>
  <si>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</si>
  <si>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</si>
  <si>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</si>
  <si>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</si>
  <si>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</si>
  <si>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</si>
  <si>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</si>
  <si>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</si>
  <si>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</si>
  <si>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</si>
  <si>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</si>
  <si>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</si>
  <si>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</si>
  <si>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</si>
  <si>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</si>
  <si>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</si>
  <si>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</si>
  <si>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</si>
  <si>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</si>
  <si>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</si>
  <si>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</si>
  <si>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</si>
  <si>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</si>
  <si>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</si>
  <si>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</si>
  <si>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</si>
  <si>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</si>
  <si>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</si>
  <si>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</si>
  <si>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</si>
  <si>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</si>
  <si>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</si>
  <si>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</si>
  <si>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</si>
  <si>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</si>
  <si>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</si>
  <si>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</si>
  <si>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</si>
  <si>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</si>
  <si>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</si>
  <si>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</si>
  <si>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</si>
  <si>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</si>
  <si>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</si>
  <si>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</si>
  <si>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</si>
  <si>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</si>
  <si>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</si>
  <si>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</si>
  <si>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</si>
  <si>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</si>
  <si>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</si>
  <si>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</si>
  <si>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</si>
  <si>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</si>
  <si>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</si>
  <si>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</si>
  <si>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</si>
  <si>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</si>
  <si>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</si>
  <si>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</si>
  <si>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</si>
  <si>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</si>
  <si>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</si>
  <si>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</si>
  <si>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</si>
  <si>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</si>
  <si>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</si>
  <si>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</si>
  <si>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</si>
  <si>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</si>
  <si>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</si>
  <si>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</si>
  <si>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</si>
  <si>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</si>
  <si>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</si>
  <si>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</si>
  <si>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</si>
  <si>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</si>
  <si>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</si>
  <si>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</si>
  <si>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</si>
  <si>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</si>
  <si>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</si>
  <si>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</si>
  <si>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</si>
  <si>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</si>
  <si>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</si>
  <si>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</si>
  <si>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</si>
  <si>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</si>
  <si>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</si>
  <si>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</si>
  <si>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</si>
  <si>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</si>
  <si>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</si>
  <si>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</si>
  <si>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</si>
  <si>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</si>
  <si>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</si>
  <si>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</si>
  <si>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</si>
  <si>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</si>
  <si>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</si>
  <si>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</si>
  <si>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</si>
  <si>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</si>
  <si>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</si>
  <si>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</si>
  <si>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</si>
  <si>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</si>
  <si>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</si>
  <si>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</si>
  <si>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</si>
  <si>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</si>
  <si>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</si>
  <si>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</si>
  <si>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</si>
  <si>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</si>
  <si>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</si>
  <si>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</si>
  <si>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</si>
  <si>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</si>
  <si>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</si>
  <si>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</si>
  <si>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</si>
  <si>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</si>
  <si>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</si>
  <si>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</si>
  <si>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</si>
  <si>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</si>
  <si>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</si>
  <si>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</si>
  <si>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</si>
  <si>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</si>
  <si>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</si>
  <si>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</si>
  <si>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</si>
  <si>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</si>
  <si>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</si>
  <si>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</si>
  <si>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</si>
  <si>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</si>
  <si>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</si>
  <si>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</si>
  <si>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</si>
  <si>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</si>
  <si>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</si>
  <si>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</si>
  <si>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</si>
  <si>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</si>
  <si>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</si>
  <si>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</si>
  <si>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</si>
  <si>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</si>
  <si>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</si>
  <si>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</si>
  <si>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</si>
  <si>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</si>
  <si>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</si>
  <si>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</si>
  <si>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</si>
  <si>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</si>
  <si>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</si>
  <si>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</si>
  <si>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</si>
  <si>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</si>
  <si>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</si>
  <si>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</si>
  <si>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</si>
  <si>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</si>
  <si>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</si>
  <si>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</si>
  <si>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</si>
  <si>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</si>
  <si>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</si>
  <si>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</si>
  <si>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</si>
  <si>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</si>
  <si>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</si>
  <si>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</si>
  <si>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</si>
  <si>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</si>
  <si>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</si>
  <si>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</si>
  <si>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</si>
  <si>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</si>
  <si>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</si>
  <si>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</si>
  <si>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</si>
  <si>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</si>
  <si>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</si>
  <si>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</si>
  <si>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</si>
  <si>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</si>
  <si>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</si>
  <si>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</si>
  <si>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</si>
  <si>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</si>
  <si>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</si>
  <si>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</si>
  <si>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</si>
  <si>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</si>
  <si>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</si>
  <si>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</si>
  <si>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</si>
  <si>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</si>
  <si>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</si>
  <si>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</si>
  <si>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</si>
  <si>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</si>
  <si>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</si>
  <si>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</si>
  <si>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</si>
  <si>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</si>
  <si>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</si>
  <si>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</si>
  <si>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</si>
  <si>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</si>
  <si>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</si>
  <si>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</si>
  <si>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</si>
  <si>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</si>
  <si>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</si>
  <si>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</si>
  <si>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</si>
  <si>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</si>
  <si>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</si>
  <si>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</si>
  <si>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</si>
  <si>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</si>
  <si>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</si>
  <si>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</si>
  <si>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</si>
  <si>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</si>
  <si>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</si>
  <si>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</si>
  <si>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</si>
  <si>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</si>
  <si>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</si>
  <si>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</si>
  <si>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</si>
  <si>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</si>
  <si>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</si>
  <si>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</si>
  <si>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</si>
  <si>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</si>
  <si>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</si>
  <si>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</si>
  <si>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</si>
  <si>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</si>
  <si>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</si>
  <si>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</si>
  <si>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</si>
  <si>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</si>
  <si>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</si>
  <si>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</si>
  <si>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</si>
  <si>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</si>
  <si>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</si>
  <si>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</si>
  <si>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</si>
  <si>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</si>
  <si>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</si>
  <si>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</si>
  <si>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</si>
  <si>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</si>
  <si>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</si>
  <si>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</si>
  <si>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</si>
  <si>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</si>
  <si>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</si>
  <si>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</si>
  <si>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</si>
  <si>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</si>
  <si>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</si>
  <si>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</si>
  <si>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</si>
  <si>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</si>
  <si>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</si>
  <si>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</si>
  <si>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</si>
  <si>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</si>
  <si>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</si>
  <si>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</si>
  <si>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</si>
  <si>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</si>
  <si>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</si>
  <si>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</si>
  <si>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</si>
  <si>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</si>
  <si>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</si>
  <si>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</si>
  <si>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</si>
  <si>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</si>
  <si>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</si>
  <si>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</si>
  <si>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</si>
  <si>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</si>
  <si>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</si>
  <si>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</si>
  <si>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</si>
  <si>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</si>
  <si>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</si>
  <si>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</si>
  <si>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</si>
  <si>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</si>
  <si>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</si>
  <si>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</si>
  <si>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</si>
  <si>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</si>
  <si>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</si>
  <si>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</si>
  <si>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</si>
  <si>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</si>
  <si>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</si>
  <si>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</si>
  <si>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</si>
  <si>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</si>
  <si>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</si>
  <si>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</si>
  <si>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</si>
  <si>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</si>
  <si>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</si>
  <si>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</si>
  <si>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</si>
  <si>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</si>
  <si>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</si>
  <si>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</si>
  <si>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</si>
  <si>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</si>
  <si>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</si>
  <si>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</si>
  <si>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</si>
  <si>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</si>
  <si>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</si>
  <si>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</si>
  <si>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</si>
  <si>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</si>
  <si>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</si>
  <si>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</si>
  <si>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</si>
  <si>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</si>
  <si>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</si>
  <si>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</si>
  <si>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</si>
  <si>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</si>
  <si>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</si>
  <si>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</si>
  <si>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</si>
  <si>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</si>
  <si>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</si>
  <si>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</si>
  <si>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</si>
  <si>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</si>
  <si>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</si>
  <si>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</si>
  <si>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</si>
  <si>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</si>
  <si>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</si>
  <si>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</si>
  <si>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</si>
  <si>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</si>
  <si>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</si>
  <si>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</si>
  <si>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</si>
  <si>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</si>
  <si>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</si>
  <si>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</si>
  <si>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</si>
  <si>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</si>
  <si>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</si>
  <si>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</si>
  <si>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</si>
  <si>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</si>
  <si>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</si>
  <si>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</si>
  <si>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</si>
  <si>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</si>
  <si>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</si>
  <si>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</si>
  <si>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</si>
  <si>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</si>
  <si>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</si>
  <si>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</si>
  <si>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</si>
  <si>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</si>
  <si>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</si>
  <si>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</si>
  <si>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</si>
  <si>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</si>
  <si>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</si>
  <si>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</si>
  <si>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</si>
  <si>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</si>
  <si>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</si>
  <si>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</si>
  <si>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</si>
  <si>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</si>
  <si>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</si>
  <si>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</si>
  <si>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</si>
  <si>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</si>
  <si>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</si>
  <si>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</si>
  <si>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</si>
  <si>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</si>
  <si>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</si>
  <si>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</si>
  <si>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</si>
  <si>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</si>
  <si>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</si>
  <si>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</si>
  <si>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</si>
  <si>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</si>
  <si>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</si>
  <si>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</si>
  <si>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</si>
  <si>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</si>
  <si>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</si>
  <si>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</si>
  <si>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</si>
  <si>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</si>
  <si>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</si>
  <si>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</si>
  <si>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</si>
  <si>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</si>
  <si>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</si>
  <si>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</si>
  <si>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</si>
  <si>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</si>
  <si>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</si>
  <si>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</si>
  <si>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</si>
  <si>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</si>
  <si>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</si>
  <si>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</si>
  <si>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</si>
  <si>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</si>
  <si>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</si>
  <si>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</si>
  <si>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</si>
  <si>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</si>
  <si>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</si>
  <si>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</si>
  <si>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</si>
  <si>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</si>
  <si>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</si>
  <si>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</si>
  <si>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</si>
  <si>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</si>
  <si>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</si>
  <si>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</si>
  <si>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</si>
  <si>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</si>
  <si>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</si>
  <si>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</si>
  <si>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</si>
  <si>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</si>
  <si>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</si>
  <si>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</si>
  <si>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</si>
  <si>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</si>
  <si>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</si>
  <si>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</si>
  <si>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</si>
  <si>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</si>
  <si>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</si>
  <si>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</si>
  <si>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</si>
  <si>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</si>
  <si>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</si>
  <si>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</si>
  <si>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</si>
  <si>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</si>
  <si>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</si>
  <si>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</si>
  <si>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</si>
  <si>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</si>
  <si>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</si>
  <si>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</si>
  <si>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</si>
  <si>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</si>
  <si>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</si>
  <si>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</si>
  <si>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</si>
  <si>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</si>
  <si>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</si>
  <si>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</si>
  <si>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</si>
  <si>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</si>
  <si>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</si>
  <si>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</si>
  <si>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</si>
  <si>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</si>
  <si>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</si>
  <si>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</si>
  <si>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</si>
  <si>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</si>
  <si>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</si>
  <si>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</si>
  <si>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</si>
  <si>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</si>
  <si>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</si>
  <si>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</si>
  <si>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</si>
  <si>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</si>
  <si>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</si>
  <si>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</si>
  <si>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</si>
  <si>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</si>
  <si>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</si>
  <si>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</si>
  <si>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</si>
  <si>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</si>
  <si>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</si>
  <si>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</si>
  <si>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</si>
  <si>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</si>
  <si>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</si>
  <si>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</si>
  <si>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</si>
  <si>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</si>
  <si>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</si>
  <si>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</si>
  <si>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</si>
  <si>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</si>
  <si>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</si>
  <si>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</si>
  <si>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</si>
  <si>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</si>
  <si>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</si>
  <si>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</si>
  <si>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</si>
  <si>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</si>
  <si>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</si>
  <si>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</si>
  <si>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</si>
  <si>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</si>
  <si>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</si>
  <si>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</si>
  <si>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</si>
  <si>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</si>
  <si>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</si>
  <si>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</si>
  <si>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</si>
  <si>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</si>
  <si>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</si>
  <si>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</si>
  <si>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</si>
  <si>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</si>
  <si>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</si>
  <si>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</si>
  <si>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</si>
  <si>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</si>
  <si>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</si>
  <si>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</si>
  <si>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</si>
  <si>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</si>
  <si>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</si>
  <si>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</si>
  <si>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</si>
  <si>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</si>
  <si>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</si>
  <si>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</si>
  <si>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</si>
  <si>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</si>
  <si>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</si>
  <si>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</si>
  <si>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</si>
  <si>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</si>
  <si>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</si>
  <si>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</si>
  <si>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</si>
  <si>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</si>
  <si>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</si>
  <si>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</si>
  <si>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</si>
  <si>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</si>
  <si>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</si>
  <si>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</si>
  <si>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</si>
  <si>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</si>
  <si>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</si>
  <si>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</si>
  <si>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</si>
  <si>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</si>
  <si>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</si>
  <si>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</si>
  <si>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</si>
  <si>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</si>
  <si>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</si>
  <si>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</si>
  <si>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</si>
  <si>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</si>
  <si>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</si>
  <si>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</si>
  <si>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</si>
  <si>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</si>
  <si>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</si>
  <si>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</si>
  <si>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</si>
  <si>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</si>
  <si>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</si>
  <si>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Catregory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</si>
  <si>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</si>
  <si>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</si>
  <si>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</si>
  <si>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</si>
  <si>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</si>
  <si>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</si>
  <si>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</si>
  <si>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</si>
  <si>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</si>
  <si>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</si>
  <si>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</si>
  <si>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</si>
  <si>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</si>
  <si>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</si>
  <si>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</si>
  <si>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</si>
  <si>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</si>
  <si>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</si>
  <si>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</si>
  <si>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</si>
  <si>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</si>
  <si>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</si>
  <si>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</si>
  <si>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</si>
  <si>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</si>
  <si>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</si>
  <si>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</si>
  <si>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</si>
  <si>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</si>
  <si>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</si>
  <si>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</si>
  <si>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</si>
  <si>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</si>
  <si>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</si>
  <si>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</si>
  <si>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</si>
  <si>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</si>
  <si>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</si>
  <si>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</si>
  <si>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</si>
  <si>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Goal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</si>
  <si>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</si>
  <si>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</si>
  <si>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</si>
  <si>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</si>
  <si>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</si>
  <si>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</si>
  <si>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</si>
  <si>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</si>
  <si>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</si>
  <si>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</si>
  <si>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</si>
  <si>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</si>
  <si>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</si>
  <si>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</si>
  <si>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30000 to 34999</t>
  </si>
  <si>
    <t>40000 to 44999</t>
  </si>
  <si>
    <t>45000 to 49999</t>
  </si>
  <si>
    <t>Greater than 50000</t>
  </si>
  <si>
    <t>Number Succesful</t>
  </si>
  <si>
    <t>Mean</t>
  </si>
  <si>
    <t>Median</t>
  </si>
  <si>
    <t>Minimum</t>
  </si>
  <si>
    <t>Max</t>
  </si>
  <si>
    <t>Variance</t>
  </si>
  <si>
    <t>Standard Deviation</t>
  </si>
  <si>
    <t>Outcomes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</si>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</sst>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quotePrefix="1"/>
    <xf numFmtId="9" fontId="0" fillId="0" borderId="0" xfId="0" applyNumberFormat="1"/>
    <xf numFmtId="14" fontId="16" fillId="0" borderId="0" xfId="0" applyNumberFormat="1" applyFont="1" applyAlignment="1">
      <alignment horizontal="center"/>
    </xf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fgColor rgb="FFFF5050"/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fgColor rgb="FFFF5050"/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fgColor rgb="FFFF5050"/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fgColor rgb="FFFF5050"/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64044"/>
      <color rgb="FFF40C12"/>
      <color rgb="FF2377FF"/>
      <color rgb="FF07B918"/>
      <color rgb="FFC9090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[CrowdfundingBook.xlsx]Parent_Category!PivotTable1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B-428F-8108-B344AA497BBF}"/>
            </c:ext>
          </c:extLst>
        </c:ser>
        <c:ser>
          <c:idx val="1"/>
          <c:order val="1"/>
          <c:tx>
            <c:strRef>
              <c:f>Parent_Category!$C$3:$C$4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FB-428F-8108-B344AA497BBF}"/>
            </c:ext>
          </c:extLst>
        </c:ser>
        <c:ser>
          <c:idx val="2"/>
          <c:order val="2"/>
          <c:tx>
            <c:strRef>
              <c:f>Parent_Category!$D$3:$D$4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FB-428F-8108-B344AA497BBF}"/>
            </c:ext>
          </c:extLst>
        </c:ser>
        <c:ser>
          <c:idx val="3"/>
          <c:order val="3"/>
          <c:tx>
            <c:strRef>
              <c:f>Parent_Category!$E$3:$E$4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FB-428F-8108-B344AA49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92329824"/>
        <c:axId val="1092319744"/>
      </c:barChart>
      <c:catAx>
        <c:axId val="10923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19744"/>
        <c:crosses val="autoZero"/>
        <c:auto val="1"/>
        <c:lblAlgn val="ctr"/>
        <c:lblOffset val="100"/>
        <c:noMultiLvlLbl val="0"/>
      </c:catAx>
      <c:valAx>
        <c:axId val="10923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[CrowdfundingBook.xlsx]Sub_Category!PivotTable2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F-447B-BA59-3D4D55F2FEFF}"/>
            </c:ext>
          </c:extLst>
        </c:ser>
        <c:ser>
          <c:idx val="1"/>
          <c:order val="1"/>
          <c:tx>
            <c:strRef>
              <c:f>Sub_Category!$C$4:$C$5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F-447B-BA59-3D4D55F2FEFF}"/>
            </c:ext>
          </c:extLst>
        </c:ser>
        <c:ser>
          <c:idx val="2"/>
          <c:order val="2"/>
          <c:tx>
            <c:strRef>
              <c:f>Sub_Category!$D$4:$D$5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F-447B-BA59-3D4D55F2FEFF}"/>
            </c:ext>
          </c:extLst>
        </c:ser>
        <c:ser>
          <c:idx val="3"/>
          <c:order val="3"/>
          <c:tx>
            <c:strRef>
              <c:f>Sub_Category!$E$4:$E$5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F-447B-BA59-3D4D55F2F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83049568"/>
        <c:axId val="1183065408"/>
      </c:barChart>
      <c:catAx>
        <c:axId val="11830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65408"/>
        <c:crosses val="autoZero"/>
        <c:auto val="1"/>
        <c:lblAlgn val="ctr"/>
        <c:lblOffset val="100"/>
        <c:noMultiLvlLbl val="0"/>
      </c:catAx>
      <c:valAx>
        <c:axId val="11830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A-49A5-BF8D-3F91F13E1BBC}"/>
            </c:ext>
          </c:extLst>
        </c:ser>
        <c:ser>
          <c:idx val="1"/>
          <c:order val="1"/>
          <c:tx>
            <c:strRef>
              <c:f>Dates!$C$4:$C$5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A-49A5-BF8D-3F91F13E1BBC}"/>
            </c:ext>
          </c:extLst>
        </c:ser>
        <c:ser>
          <c:idx val="2"/>
          <c:order val="2"/>
          <c:tx>
            <c:strRef>
              <c:f>Dates!$D$4:$D$5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A-49A5-BF8D-3F91F13E1BBC}"/>
            </c:ext>
          </c:extLst>
        </c:ser>
        <c:ser>
          <c:idx val="3"/>
          <c:order val="3"/>
          <c:tx>
            <c:strRef>
              <c:f>Dates!$E$4:$E$5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AA-49A5-BF8D-3F91F13E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503520"/>
        <c:axId val="1898506400"/>
      </c:lineChart>
      <c:catAx>
        <c:axId val="18985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06400"/>
        <c:crosses val="autoZero"/>
        <c:auto val="1"/>
        <c:lblAlgn val="ctr"/>
        <c:lblOffset val="100"/>
        <c:noMultiLvlLbl val="0"/>
      </c:catAx>
      <c:valAx>
        <c:axId val="18985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To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Outcomes!$F$2:$F$13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76-495B-8558-F2C411D59A8D}"/>
            </c:ext>
          </c:extLst>
        </c:ser>
        <c:ser>
          <c:idx val="5"/>
          <c:order val="1"/>
          <c:tx>
            <c:strRef>
              <c:f>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Outcomes!$G$2:$G$13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76-495B-8558-F2C411D59A8D}"/>
            </c:ext>
          </c:extLst>
        </c:ser>
        <c:ser>
          <c:idx val="6"/>
          <c:order val="2"/>
          <c:tx>
            <c:strRef>
              <c:f>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Outcomes!$H$2:$H$13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76-495B-8558-F2C411D5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9968"/>
        <c:axId val="121395328"/>
      </c:lineChart>
      <c:catAx>
        <c:axId val="1213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5328"/>
        <c:crosses val="autoZero"/>
        <c:auto val="1"/>
        <c:lblAlgn val="ctr"/>
        <c:lblOffset val="100"/>
        <c:noMultiLvlLbl val="0"/>
      </c:catAx>
      <c:valAx>
        <c:axId val="1213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4</xdr:row>
      <xdr:rowOff>60960</xdr:rowOff>
    </xdr:from>
    <xdr:to>
      <xdr:col>15</xdr:col>
      <xdr:colOff>464820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49824-38BD-FDAD-FBD6-660514B0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3</xdr:row>
      <xdr:rowOff>53340</xdr:rowOff>
    </xdr:from>
    <xdr:to>
      <xdr:col>17</xdr:col>
      <xdr:colOff>533400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6A6B8-D57C-3A80-CC6F-5617C748E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186690</xdr:colOff>
      <xdr:row>7</xdr:row>
      <xdr:rowOff>80010</xdr:rowOff>
    </xdr:from>
    <xdr:to>
      <xdr:col>14</xdr:col>
      <xdr:colOff>64770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FD538-0A9A-FB26-0B9F-27B086FAD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14</xdr:row>
      <xdr:rowOff>118110</xdr:rowOff>
    </xdr:from>
    <xdr:to>
      <xdr:col>7</xdr:col>
      <xdr:colOff>586740</xdr:colOff>
      <xdr:row>36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B70E4-CA05-8649-DC3C-574A7C7B8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 Alonso" refreshedDate="45463.373183101852" createdVersion="8" refreshedVersion="8" minRefreshableVersion="3" recordCount="1000" xr:uid="{69811C3D-DAB1-4446-B942-A58909107D9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r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cob Alonso" refreshedDate="45463.893699768516" backgroundQuery="1" createdVersion="8" refreshedVersion="8" minRefreshableVersion="3" recordCount="0" supportSubquery="1" supportAdvancedDrill="1" xr:uid="{16F72ECA-931A-49AE-97F7-9448A54579C4}">
  <cacheSource type="external" connectionId="1"/>
  <cacheFields count="5"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outcome].[outcome]" caption="outcome" numFmtId="0" hierarchy="6" level="1">
      <sharedItems containsBlank="1" count="5">
        <s v="canceled"/>
        <s v="failed"/>
        <s v="live"/>
        <s v="successful"/>
        <m u="1"/>
      </sharedItems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 Catregory]" caption="Sub Catregory" attribute="1" defaultMemberUniqueName="[Range].[Sub Catregory].[All]" allUniqueName="[Range].[Sub Catr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DC13D-577A-4FEA-8EC7-B35694D5320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0"/>
  </dataFields>
  <chartFormats count="8">
    <chartFormat chart="0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7758A-C66D-4157-80D2-802A10CA8A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198AC-8209-4AEB-86C7-BD4736B687A5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" hier="18" name="[Range].[Parent Category].[All]" cap="All"/>
    <pageField fld="0" hier="20" name="[Range].[Date Created Conversion (Year)].[All]" cap="All"/>
  </pageFields>
  <dataFields count="1">
    <dataField name="Count of outcome" fld="4" subtotal="count" baseField="0" baseItem="0"/>
  </dataFields>
  <chartFormats count="9">
    <chartFormat chart="0" format="0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112" zoomScaleNormal="100" workbookViewId="0">
      <selection activeCell="F22" sqref="F2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11.09765625" customWidth="1"/>
    <col min="6" max="6" width="17.296875" customWidth="1"/>
    <col min="8" max="8" width="17.19921875" bestFit="1" customWidth="1"/>
    <col min="9" max="9" width="20.09765625" style="4" bestFit="1" customWidth="1"/>
    <col min="10" max="10" width="11.296875" bestFit="1" customWidth="1"/>
    <col min="11" max="11" width="12" bestFit="1" customWidth="1"/>
    <col min="12" max="12" width="15.296875" bestFit="1" customWidth="1"/>
    <col min="13" max="13" width="12.19921875" bestFit="1" customWidth="1"/>
    <col min="14" max="14" width="26.19921875" style="9" bestFit="1" customWidth="1"/>
    <col min="15" max="15" width="24.796875" style="9" bestFit="1" customWidth="1"/>
    <col min="16" max="16" width="13" bestFit="1" customWidth="1"/>
    <col min="17" max="17" width="12.296875" bestFit="1" customWidth="1"/>
    <col min="18" max="18" width="29.19921875" bestFit="1" customWidth="1"/>
    <col min="19" max="20" width="28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2071</v>
      </c>
      <c r="O1" s="12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 s="5">
        <f>0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MID(R2, FIND("/", R2) + 1, LEN(R2))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t="s">
        <v>20</v>
      </c>
      <c r="H3">
        <v>158</v>
      </c>
      <c r="I3" s="4">
        <f t="shared" ref="I3:I66" si="0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FIND("/", R3) - 1)</f>
        <v>music</v>
      </c>
      <c r="T3" t="str">
        <f t="shared" ref="T3:T66" si="4">MID(R3, FIND("/", R3) + 1, LEN(R3))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7" si="5">E4/D4*100</f>
        <v>131.4787822878229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5"/>
        <v>58.976190476190467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5"/>
        <v>69.276315789473685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5"/>
        <v>173.61842105263159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E8/D8*100</f>
        <v>20.961538461538463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ref="F9:F72" si="6">E9/D9*100</f>
        <v>327.57777777777778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6"/>
        <v>19.932788374205266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6"/>
        <v>51.741935483870968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6"/>
        <v>266.11538461538464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6"/>
        <v>48.095238095238095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6"/>
        <v>89.349206349206341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6"/>
        <v>245.11904761904765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6"/>
        <v>66.769503546099301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6"/>
        <v>47.307881773399011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6"/>
        <v>649.47058823529414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6"/>
        <v>159.39125295508273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6"/>
        <v>66.912087912087912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6"/>
        <v>48.529600000000002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6"/>
        <v>112.24279210925646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6"/>
        <v>40.992553191489364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6"/>
        <v>128.07106598984771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6"/>
        <v>332.04444444444448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6"/>
        <v>112.83225108225108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6"/>
        <v>216.43636363636364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6"/>
        <v>48.199069767441863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6"/>
        <v>79.95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6"/>
        <v>105.22553516819573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6"/>
        <v>328.89978213507629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6"/>
        <v>160.61111111111111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6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6"/>
        <v>86.807920792079202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6"/>
        <v>377.82071713147411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6"/>
        <v>150.80645161290323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6"/>
        <v>150.30119521912351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6"/>
        <v>157.28571428571431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6"/>
        <v>139.98765432098764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6"/>
        <v>325.32258064516128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6"/>
        <v>50.777777777777779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6"/>
        <v>169.06818181818181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6"/>
        <v>212.92857142857144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6"/>
        <v>443.94444444444446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6"/>
        <v>185.9390243902439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6"/>
        <v>658.8125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6"/>
        <v>47.684210526315788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6"/>
        <v>114.78378378378378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6"/>
        <v>475.26666666666665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6"/>
        <v>386.97297297297297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6"/>
        <v>189.625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6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6"/>
        <v>91.867805186590772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6"/>
        <v>34.152777777777779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6"/>
        <v>140.40909090909091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6"/>
        <v>89.86666666666666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6"/>
        <v>177.96969696969697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6"/>
        <v>143.66249999999999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6"/>
        <v>215.27586206896552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6"/>
        <v>227.11111111111114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6"/>
        <v>275.07142857142861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6"/>
        <v>144.37048832271762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6"/>
        <v>92.74598393574297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6"/>
        <v>722.6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6"/>
        <v>11.851063829787234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6"/>
        <v>97.642857142857139</v>
      </c>
      <c r="G66" t="s">
        <v>14</v>
      </c>
      <c r="H66">
        <v>38</v>
      </c>
      <c r="I66" s="4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236.14754098360655</v>
      </c>
      <c r="G67" t="s">
        <v>20</v>
      </c>
      <c r="H67">
        <v>236</v>
      </c>
      <c r="I67" s="4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 - 1)</f>
        <v>theater</v>
      </c>
      <c r="T67" t="str">
        <f t="shared" ref="T67:T130" si="11">MID(R67, FIND("/", R67) + 1, LEN(R67))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ref="F73:F136" si="12">E73/D73*100</f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2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2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2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2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2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2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2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2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2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2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2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2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2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2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2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2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2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2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2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2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2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2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2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2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2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2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2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2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2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2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2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2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2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2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2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2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2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2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2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2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2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2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2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2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2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2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2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2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2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2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2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2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2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2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2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2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2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3.202693602693603</v>
      </c>
      <c r="G131" t="s">
        <v>74</v>
      </c>
      <c r="H131">
        <v>55</v>
      </c>
      <c r="I131" s="4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 - 1)</f>
        <v>food</v>
      </c>
      <c r="T131" t="str">
        <f t="shared" ref="T131:T194" si="17">MID(R131, FIND("/", R131) + 1, LEN(R131))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ref="F137:F200" si="18">E137/D137*100</f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8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8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8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8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8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8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8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8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8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8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8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8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8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8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8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8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8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8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8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8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8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8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8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8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8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8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8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8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8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8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8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8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8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8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8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8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8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8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8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8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8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8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8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8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8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8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8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8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8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8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8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8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8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8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8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8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8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45.636363636363633</v>
      </c>
      <c r="G195" t="s">
        <v>14</v>
      </c>
      <c r="H195">
        <v>65</v>
      </c>
      <c r="I195" s="4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 - 1)</f>
        <v>music</v>
      </c>
      <c r="T195" t="str">
        <f t="shared" ref="T195:T258" si="23">MID(R195, FIND("/", R195) + 1, LEN(R195))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ref="F201:F264" si="24">E201/D201*100</f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4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4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4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4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4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4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4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4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4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4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4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4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4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4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4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4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4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4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4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4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4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4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4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4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4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4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4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4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4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4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4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4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4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4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4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4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4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4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4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4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4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4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4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4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4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4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4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4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4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4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4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4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4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4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4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4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4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146</v>
      </c>
      <c r="G259" t="s">
        <v>20</v>
      </c>
      <c r="H259">
        <v>92</v>
      </c>
      <c r="I259" s="4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 - 1)</f>
        <v>theater</v>
      </c>
      <c r="T259" t="str">
        <f t="shared" ref="T259:T322" si="29">MID(R259, FIND("/", R259) + 1, LEN(R259))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ref="F265:F328" si="30">E265/D265*100</f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30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30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30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30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30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30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30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30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30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30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30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30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30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30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30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30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30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30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30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30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30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30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30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30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30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30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30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30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30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30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30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30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30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30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30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30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30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30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30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30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30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30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30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30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30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30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30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30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30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30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30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30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30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30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30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30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30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94.144366197183089</v>
      </c>
      <c r="G323" t="s">
        <v>14</v>
      </c>
      <c r="H323">
        <v>2468</v>
      </c>
      <c r="I323" s="4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 - 1)</f>
        <v>film &amp; video</v>
      </c>
      <c r="T323" t="str">
        <f t="shared" ref="T323:T386" si="35">MID(R323, FIND("/", R323) + 1, LEN(R323))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ref="F329:F392" si="36">E329/D329*100</f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6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6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6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6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6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6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6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6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6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6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6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6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6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6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6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6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6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6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6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6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6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6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6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6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6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6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6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6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6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6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6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6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6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6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6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6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6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6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6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6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6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6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6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6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6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6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6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6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6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6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6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6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6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6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6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6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6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146.16709511568124</v>
      </c>
      <c r="G387" t="s">
        <v>20</v>
      </c>
      <c r="H387">
        <v>1137</v>
      </c>
      <c r="I387" s="4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 - 1)</f>
        <v>publishing</v>
      </c>
      <c r="T387" t="str">
        <f t="shared" ref="T387:T450" si="41">MID(R387, FIND("/", R387) + 1, LEN(R387))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ref="F393:F456" si="42">E393/D393*100</f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2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2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2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2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2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2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2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2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2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2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2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2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2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2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2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2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2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2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2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2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2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2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2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2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2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2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2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2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2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2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2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2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2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2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2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2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2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2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2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2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2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2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2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2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2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2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2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2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2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2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2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2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2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2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2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2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2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967</v>
      </c>
      <c r="G451" t="s">
        <v>20</v>
      </c>
      <c r="H451">
        <v>86</v>
      </c>
      <c r="I451" s="4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 - 1)</f>
        <v>games</v>
      </c>
      <c r="T451" t="str">
        <f t="shared" ref="T451:T514" si="47">MID(R451, FIND("/", R451) + 1, LEN(R451))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ref="F457:F520" si="48">E457/D457*100</f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8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8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8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8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8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8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8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8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8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8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8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8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8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8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8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8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8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8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8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8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8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8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8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8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8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8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8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8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8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8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8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8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8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8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8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8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8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8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8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8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8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8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8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8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8"/>
        <v>0</v>
      </c>
      <c r="G502" t="s">
        <v>14</v>
      </c>
      <c r="H502">
        <v>0</v>
      </c>
      <c r="I502" s="4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8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8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8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8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8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8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8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8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8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8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8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8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39.277108433734945</v>
      </c>
      <c r="G515" t="s">
        <v>74</v>
      </c>
      <c r="H515">
        <v>35</v>
      </c>
      <c r="I515" s="4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 - 1)</f>
        <v>film &amp; video</v>
      </c>
      <c r="T515" t="str">
        <f t="shared" ref="T515:T578" si="53">MID(R515, FIND("/", R515) + 1, LEN(R515))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ref="F521:F584" si="54">E521/D521*100</f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4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4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4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4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4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4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4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4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4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4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4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4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4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4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4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4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4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4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4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4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4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4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4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4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4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4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4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4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4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4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4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4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4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4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4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4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4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4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4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4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4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4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4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4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4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4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4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4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4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4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4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4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4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4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4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4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4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18.853658536585368</v>
      </c>
      <c r="G579" t="s">
        <v>74</v>
      </c>
      <c r="H579">
        <v>37</v>
      </c>
      <c r="I579" s="4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 - 1)</f>
        <v>music</v>
      </c>
      <c r="T579" t="str">
        <f t="shared" ref="T579:T642" si="59">MID(R579, FIND("/", R579) + 1, LEN(R579))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ref="F585:F648" si="60">E585/D585*100</f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60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60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60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60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60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60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60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60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60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60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60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60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60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60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60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60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60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60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60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60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60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60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60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60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60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60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60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60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60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60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60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60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60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60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60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60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60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60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60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60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60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60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60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60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60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60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60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60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60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60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60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60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60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60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60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60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60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119.96808510638297</v>
      </c>
      <c r="G643" t="s">
        <v>20</v>
      </c>
      <c r="H643">
        <v>194</v>
      </c>
      <c r="I643" s="4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 - 1)</f>
        <v>theater</v>
      </c>
      <c r="T643" t="str">
        <f t="shared" ref="T643:T706" si="65">MID(R643, FIND("/", R643) + 1, LEN(R643))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ref="F649:F712" si="66">E649/D649*100</f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6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6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6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6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6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6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6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6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6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6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6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6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6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6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6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6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6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6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6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6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6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6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6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6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6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6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6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6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6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6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6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6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6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6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6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6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6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6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6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6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6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6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6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6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6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6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6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6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6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6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6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6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6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6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6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6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6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99.026517383618156</v>
      </c>
      <c r="G707" t="s">
        <v>14</v>
      </c>
      <c r="H707">
        <v>2025</v>
      </c>
      <c r="I707" s="4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 - 1)</f>
        <v>publishing</v>
      </c>
      <c r="T707" t="str">
        <f t="shared" ref="T707:T770" si="71">MID(R707, FIND("/", R707) + 1, LEN(R707))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ref="F713:F776" si="72">E713/D713*100</f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2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2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2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2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2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2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2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2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2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2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2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2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2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2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2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2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2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2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2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2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2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2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2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2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2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2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2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2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2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2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2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2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2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2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2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2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2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2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2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2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2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2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2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2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2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2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2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2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2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2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2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2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2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2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2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2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2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86.867834394904463</v>
      </c>
      <c r="G771" t="s">
        <v>14</v>
      </c>
      <c r="H771">
        <v>3410</v>
      </c>
      <c r="I771" s="4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 - 1)</f>
        <v>games</v>
      </c>
      <c r="T771" t="str">
        <f t="shared" ref="T771:T834" si="77">MID(R771, FIND("/", R771) + 1, LEN(R771))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ref="F777:F840" si="78">E777/D777*100</f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8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8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8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8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8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8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8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8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8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8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8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8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8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8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8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8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8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8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8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8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8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8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8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8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8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8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8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8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8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8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8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8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8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8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8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8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8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8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8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8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8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8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8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8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8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8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8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8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8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8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8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8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8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8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8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8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8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157.69117647058823</v>
      </c>
      <c r="G835" t="s">
        <v>20</v>
      </c>
      <c r="H835">
        <v>165</v>
      </c>
      <c r="I835" s="4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 - 1)</f>
        <v>publishing</v>
      </c>
      <c r="T835" t="str">
        <f t="shared" ref="T835:T898" si="83">MID(R835, FIND("/", R835) + 1, LEN(R835))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ref="F841:F904" si="84">E841/D841*100</f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4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4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4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4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4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4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4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4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4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4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4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4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4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4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4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4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4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4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4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4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4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4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4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4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4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4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4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4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4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4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4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4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4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4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4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4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4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4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4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4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4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4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4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4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4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4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4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4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4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4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4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4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4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4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4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4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4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27.693181818181817</v>
      </c>
      <c r="G899" t="s">
        <v>14</v>
      </c>
      <c r="H899">
        <v>27</v>
      </c>
      <c r="I899" s="4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 - 1)</f>
        <v>theater</v>
      </c>
      <c r="T899" t="str">
        <f t="shared" ref="T899:T962" si="89">MID(R899, FIND("/", R899) + 1, LEN(R899))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ref="F905:F968" si="90">E905/D905*100</f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90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90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90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90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90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90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90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90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90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90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90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90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90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90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90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90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90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90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90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90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90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90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90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90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90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90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90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90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90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90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90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90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90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90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90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90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90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90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90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90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90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90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90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90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90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90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90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90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90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90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90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90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90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90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90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90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90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119.29824561403508</v>
      </c>
      <c r="G963" t="s">
        <v>20</v>
      </c>
      <c r="H963">
        <v>155</v>
      </c>
      <c r="I963" s="4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 - 1)</f>
        <v>publishing</v>
      </c>
      <c r="T963" t="str">
        <f t="shared" ref="T963:T1001" si="95">MID(R963, FIND("/", R963) + 1, LEN(R963))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ref="F969:F1001" si="96">E969/D969*100</f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6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6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6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6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6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6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6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6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6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6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6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6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6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6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6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6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6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6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6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6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6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6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6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6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6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6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6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6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6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6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6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6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64044"/>
        <color rgb="FF07B918"/>
        <color rgb="FF2377FF"/>
      </colorScale>
    </cfRule>
  </conditionalFormatting>
  <conditionalFormatting sqref="G1:G1048576">
    <cfRule type="containsText" dxfId="15" priority="3" operator="containsText" text="canceled">
      <formula>NOT(ISERROR(SEARCH("canceled",G1)))</formula>
    </cfRule>
    <cfRule type="containsText" dxfId="14" priority="4" operator="containsText" text="live">
      <formula>NOT(ISERROR(SEARCH("live",G1)))</formula>
    </cfRule>
    <cfRule type="containsText" dxfId="13" priority="5" operator="containsText" text="successful">
      <formula>NOT(ISERROR(SEARCH("successful",G1)))</formula>
    </cfRule>
    <cfRule type="containsText" dxfId="12" priority="7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F5213-206E-4E9D-8047-9B8AF0D75851}">
  <dimension ref="A1:F14"/>
  <sheetViews>
    <sheetView workbookViewId="0">
      <selection activeCell="F17" sqref="F1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2045</v>
      </c>
    </row>
    <row r="3" spans="1:6" x14ac:dyDescent="0.3">
      <c r="A3" s="7" t="s">
        <v>2044</v>
      </c>
      <c r="B3" s="7" t="s">
        <v>2046</v>
      </c>
    </row>
    <row r="4" spans="1:6" x14ac:dyDescent="0.3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2037</v>
      </c>
      <c r="E8">
        <v>4</v>
      </c>
      <c r="F8">
        <v>4</v>
      </c>
    </row>
    <row r="9" spans="1:6" x14ac:dyDescent="0.3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3217-982D-48E4-B9A9-5BB64CD0BE32}">
  <dimension ref="A1:F30"/>
  <sheetViews>
    <sheetView workbookViewId="0">
      <selection activeCell="P30" sqref="P3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2045</v>
      </c>
    </row>
    <row r="2" spans="1:6" x14ac:dyDescent="0.3">
      <c r="A2" s="7" t="s">
        <v>2031</v>
      </c>
      <c r="B2" t="s">
        <v>2045</v>
      </c>
    </row>
    <row r="4" spans="1:6" x14ac:dyDescent="0.3">
      <c r="A4" s="7" t="s">
        <v>2044</v>
      </c>
      <c r="B4" s="7" t="s">
        <v>2046</v>
      </c>
    </row>
    <row r="5" spans="1:6" x14ac:dyDescent="0.3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2048</v>
      </c>
      <c r="E7">
        <v>4</v>
      </c>
      <c r="F7">
        <v>4</v>
      </c>
    </row>
    <row r="8" spans="1:6" x14ac:dyDescent="0.3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2051</v>
      </c>
      <c r="C10">
        <v>8</v>
      </c>
      <c r="E10">
        <v>10</v>
      </c>
      <c r="F10">
        <v>18</v>
      </c>
    </row>
    <row r="11" spans="1:6" x14ac:dyDescent="0.3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2056</v>
      </c>
      <c r="C15">
        <v>3</v>
      </c>
      <c r="E15">
        <v>4</v>
      </c>
      <c r="F15">
        <v>7</v>
      </c>
    </row>
    <row r="16" spans="1:6" x14ac:dyDescent="0.3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2061</v>
      </c>
      <c r="C20">
        <v>4</v>
      </c>
      <c r="E20">
        <v>4</v>
      </c>
      <c r="F20">
        <v>8</v>
      </c>
    </row>
    <row r="21" spans="1:6" x14ac:dyDescent="0.3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2063</v>
      </c>
      <c r="C22">
        <v>9</v>
      </c>
      <c r="E22">
        <v>5</v>
      </c>
      <c r="F22">
        <v>14</v>
      </c>
    </row>
    <row r="23" spans="1:6" x14ac:dyDescent="0.3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2066</v>
      </c>
      <c r="C25">
        <v>7</v>
      </c>
      <c r="E25">
        <v>14</v>
      </c>
      <c r="F25">
        <v>21</v>
      </c>
    </row>
    <row r="26" spans="1:6" x14ac:dyDescent="0.3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2070</v>
      </c>
      <c r="E29">
        <v>3</v>
      </c>
      <c r="F29">
        <v>3</v>
      </c>
    </row>
    <row r="30" spans="1:6" x14ac:dyDescent="0.3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9E3B-BB98-4290-9818-F4BC4B828CE3}">
  <dimension ref="A1:F18"/>
  <sheetViews>
    <sheetView workbookViewId="0">
      <selection activeCell="O25" sqref="O25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7" t="s">
        <v>2031</v>
      </c>
      <c r="B1" t="s" vm="2">
        <v>2113</v>
      </c>
    </row>
    <row r="2" spans="1:6" x14ac:dyDescent="0.3">
      <c r="A2" s="7" t="s">
        <v>2112</v>
      </c>
      <c r="B2" t="s" vm="1">
        <v>2113</v>
      </c>
    </row>
    <row r="4" spans="1:6" x14ac:dyDescent="0.3">
      <c r="A4" s="7" t="s">
        <v>2044</v>
      </c>
      <c r="B4" s="7" t="s">
        <v>2046</v>
      </c>
    </row>
    <row r="5" spans="1:6" x14ac:dyDescent="0.3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8" t="s">
        <v>2100</v>
      </c>
      <c r="B6" s="14">
        <v>6</v>
      </c>
      <c r="C6" s="14">
        <v>36</v>
      </c>
      <c r="D6" s="14">
        <v>1</v>
      </c>
      <c r="E6" s="14">
        <v>49</v>
      </c>
      <c r="F6" s="14">
        <v>92</v>
      </c>
    </row>
    <row r="7" spans="1:6" x14ac:dyDescent="0.3">
      <c r="A7" s="8" t="s">
        <v>2101</v>
      </c>
      <c r="B7" s="14">
        <v>7</v>
      </c>
      <c r="C7" s="14">
        <v>28</v>
      </c>
      <c r="D7" s="14"/>
      <c r="E7" s="14">
        <v>44</v>
      </c>
      <c r="F7" s="14">
        <v>79</v>
      </c>
    </row>
    <row r="8" spans="1:6" x14ac:dyDescent="0.3">
      <c r="A8" s="8" t="s">
        <v>2102</v>
      </c>
      <c r="B8" s="14">
        <v>4</v>
      </c>
      <c r="C8" s="14">
        <v>33</v>
      </c>
      <c r="D8" s="14"/>
      <c r="E8" s="14">
        <v>49</v>
      </c>
      <c r="F8" s="14">
        <v>86</v>
      </c>
    </row>
    <row r="9" spans="1:6" x14ac:dyDescent="0.3">
      <c r="A9" s="8" t="s">
        <v>2103</v>
      </c>
      <c r="B9" s="14">
        <v>1</v>
      </c>
      <c r="C9" s="14">
        <v>30</v>
      </c>
      <c r="D9" s="14">
        <v>1</v>
      </c>
      <c r="E9" s="14">
        <v>46</v>
      </c>
      <c r="F9" s="14">
        <v>78</v>
      </c>
    </row>
    <row r="10" spans="1:6" x14ac:dyDescent="0.3">
      <c r="A10" s="8" t="s">
        <v>2104</v>
      </c>
      <c r="B10" s="14">
        <v>3</v>
      </c>
      <c r="C10" s="14">
        <v>35</v>
      </c>
      <c r="D10" s="14">
        <v>2</v>
      </c>
      <c r="E10" s="14">
        <v>46</v>
      </c>
      <c r="F10" s="14">
        <v>86</v>
      </c>
    </row>
    <row r="11" spans="1:6" x14ac:dyDescent="0.3">
      <c r="A11" s="8" t="s">
        <v>2105</v>
      </c>
      <c r="B11" s="14">
        <v>3</v>
      </c>
      <c r="C11" s="14">
        <v>28</v>
      </c>
      <c r="D11" s="14">
        <v>1</v>
      </c>
      <c r="E11" s="14">
        <v>55</v>
      </c>
      <c r="F11" s="14">
        <v>87</v>
      </c>
    </row>
    <row r="12" spans="1:6" x14ac:dyDescent="0.3">
      <c r="A12" s="8" t="s">
        <v>2106</v>
      </c>
      <c r="B12" s="14">
        <v>4</v>
      </c>
      <c r="C12" s="14">
        <v>31</v>
      </c>
      <c r="D12" s="14">
        <v>1</v>
      </c>
      <c r="E12" s="14">
        <v>58</v>
      </c>
      <c r="F12" s="14">
        <v>94</v>
      </c>
    </row>
    <row r="13" spans="1:6" x14ac:dyDescent="0.3">
      <c r="A13" s="8" t="s">
        <v>2107</v>
      </c>
      <c r="B13" s="14">
        <v>8</v>
      </c>
      <c r="C13" s="14">
        <v>35</v>
      </c>
      <c r="D13" s="14">
        <v>1</v>
      </c>
      <c r="E13" s="14">
        <v>41</v>
      </c>
      <c r="F13" s="14">
        <v>85</v>
      </c>
    </row>
    <row r="14" spans="1:6" x14ac:dyDescent="0.3">
      <c r="A14" s="8" t="s">
        <v>2108</v>
      </c>
      <c r="B14" s="14">
        <v>5</v>
      </c>
      <c r="C14" s="14">
        <v>23</v>
      </c>
      <c r="D14" s="14"/>
      <c r="E14" s="14">
        <v>45</v>
      </c>
      <c r="F14" s="14">
        <v>73</v>
      </c>
    </row>
    <row r="15" spans="1:6" x14ac:dyDescent="0.3">
      <c r="A15" s="8" t="s">
        <v>2109</v>
      </c>
      <c r="B15" s="14">
        <v>6</v>
      </c>
      <c r="C15" s="14">
        <v>26</v>
      </c>
      <c r="D15" s="14">
        <v>1</v>
      </c>
      <c r="E15" s="14">
        <v>45</v>
      </c>
      <c r="F15" s="14">
        <v>78</v>
      </c>
    </row>
    <row r="16" spans="1:6" x14ac:dyDescent="0.3">
      <c r="A16" s="8" t="s">
        <v>2110</v>
      </c>
      <c r="B16" s="14">
        <v>3</v>
      </c>
      <c r="C16" s="14">
        <v>27</v>
      </c>
      <c r="D16" s="14">
        <v>3</v>
      </c>
      <c r="E16" s="14">
        <v>45</v>
      </c>
      <c r="F16" s="14">
        <v>78</v>
      </c>
    </row>
    <row r="17" spans="1:6" x14ac:dyDescent="0.3">
      <c r="A17" s="8" t="s">
        <v>2111</v>
      </c>
      <c r="B17" s="14">
        <v>7</v>
      </c>
      <c r="C17" s="14">
        <v>32</v>
      </c>
      <c r="D17" s="14">
        <v>3</v>
      </c>
      <c r="E17" s="14">
        <v>42</v>
      </c>
      <c r="F17" s="14">
        <v>84</v>
      </c>
    </row>
    <row r="18" spans="1:6" x14ac:dyDescent="0.3">
      <c r="A18" s="8" t="s">
        <v>2043</v>
      </c>
      <c r="B18" s="14">
        <v>57</v>
      </c>
      <c r="C18" s="14">
        <v>364</v>
      </c>
      <c r="D18" s="14">
        <v>14</v>
      </c>
      <c r="E18" s="14">
        <v>565</v>
      </c>
      <c r="F18" s="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3190-1252-42B8-B442-EB2E9E859832}">
  <dimension ref="A1:H13"/>
  <sheetViews>
    <sheetView workbookViewId="0">
      <selection activeCell="J21" sqref="J21"/>
    </sheetView>
  </sheetViews>
  <sheetFormatPr defaultRowHeight="15.6" x14ac:dyDescent="0.3"/>
  <cols>
    <col min="1" max="1" width="17.3984375" bestFit="1" customWidth="1"/>
    <col min="2" max="2" width="15.796875" customWidth="1"/>
    <col min="3" max="3" width="13.296875" bestFit="1" customWidth="1"/>
    <col min="4" max="4" width="16.3984375" bestFit="1" customWidth="1"/>
    <col min="5" max="5" width="12.296875" bestFit="1" customWidth="1"/>
    <col min="6" max="6" width="19.19921875" style="11" bestFit="1" customWidth="1"/>
    <col min="7" max="7" width="15.69921875" style="11" bestFit="1" customWidth="1"/>
    <col min="8" max="8" width="18.3984375" style="11" bestFit="1" customWidth="1"/>
  </cols>
  <sheetData>
    <row r="1" spans="1:8" x14ac:dyDescent="0.3">
      <c r="A1" t="s">
        <v>2073</v>
      </c>
      <c r="B1" t="s">
        <v>2092</v>
      </c>
      <c r="C1" t="s">
        <v>2074</v>
      </c>
      <c r="D1" t="s">
        <v>2075</v>
      </c>
      <c r="E1" t="s">
        <v>2076</v>
      </c>
      <c r="F1" s="11" t="s">
        <v>2077</v>
      </c>
      <c r="G1" s="11" t="s">
        <v>2078</v>
      </c>
      <c r="H1" s="11" t="s">
        <v>2079</v>
      </c>
    </row>
    <row r="2" spans="1:8" x14ac:dyDescent="0.3">
      <c r="A2" t="s">
        <v>2080</v>
      </c>
      <c r="B2" s="10">
        <f>COUNTIFS(Crowdfunding!D:D,"&lt; 1000", Crowdfunding!G:G,"successful")</f>
        <v>30</v>
      </c>
      <c r="C2" s="10">
        <f>COUNTIFS(Crowdfunding!D:D,"&lt; 1000", Crowdfunding!G:G,"failed")</f>
        <v>20</v>
      </c>
      <c r="D2" s="10">
        <f>COUNTIFS(Crowdfunding!D:D,"&lt; 1000", Crowdfunding!G:G,"canceled")</f>
        <v>1</v>
      </c>
      <c r="E2">
        <f>SUM(B2:D2)</f>
        <v>51</v>
      </c>
      <c r="F2" s="11">
        <f>ROUND(B2/E2, 2)</f>
        <v>0.59</v>
      </c>
      <c r="G2" s="11">
        <f>ROUND(C2/E2, 2)</f>
        <v>0.39</v>
      </c>
      <c r="H2" s="11">
        <f>ROUND(D2/E2,2)</f>
        <v>0.02</v>
      </c>
    </row>
    <row r="3" spans="1:8" x14ac:dyDescent="0.3">
      <c r="A3" t="s">
        <v>2081</v>
      </c>
      <c r="B3">
        <f>COUNTIFS(Crowdfunding!D:D,"&lt; 5000", Crowdfunding!D:D, "&gt; 999",Crowdfunding!G:G,"successful")</f>
        <v>191</v>
      </c>
      <c r="C3">
        <f>COUNTIFS(Crowdfunding!D:D,"&lt; 5000", Crowdfunding!D:D, "&gt; 999",Crowdfunding!G:G,"failed")</f>
        <v>38</v>
      </c>
      <c r="D3">
        <f>COUNTIFS(Crowdfunding!D:D,"&lt; 5000", Crowdfunding!D:D, "&gt; 999",Crowdfunding!G:G,"canceled")</f>
        <v>2</v>
      </c>
      <c r="E3">
        <f t="shared" ref="E3:E13" si="0">SUM(B3:D3)</f>
        <v>231</v>
      </c>
      <c r="F3" s="11">
        <f t="shared" ref="F3:F13" si="1">ROUND(B3/E3, 2)</f>
        <v>0.83</v>
      </c>
      <c r="G3" s="11">
        <f t="shared" ref="G3:G13" si="2">ROUND(C3/E3, 2)</f>
        <v>0.16</v>
      </c>
      <c r="H3" s="11">
        <f t="shared" ref="H3:H13" si="3">ROUND(D3/E3,2)</f>
        <v>0.01</v>
      </c>
    </row>
    <row r="4" spans="1:8" x14ac:dyDescent="0.3">
      <c r="A4" t="s">
        <v>2082</v>
      </c>
      <c r="B4">
        <f>COUNTIFS(Crowdfunding!D:D,"&lt; 10000", Crowdfunding!D:D, "&gt; 4999",Crowdfunding!G:G,"successful")</f>
        <v>164</v>
      </c>
      <c r="C4">
        <f>COUNTIFS(Crowdfunding!D:D,"&lt; 10000", Crowdfunding!D:D, "&gt; 4999",Crowdfunding!G:G,"failed")</f>
        <v>126</v>
      </c>
      <c r="D4">
        <f>COUNTIFS(Crowdfunding!D:D,"&lt; 10000", Crowdfunding!D:D, "&gt; 4999",Crowdfunding!G:G,"canceled")</f>
        <v>25</v>
      </c>
      <c r="E4">
        <f t="shared" si="0"/>
        <v>315</v>
      </c>
      <c r="F4" s="11">
        <f t="shared" si="1"/>
        <v>0.52</v>
      </c>
      <c r="G4" s="11">
        <f t="shared" si="2"/>
        <v>0.4</v>
      </c>
      <c r="H4" s="11">
        <f t="shared" si="3"/>
        <v>0.08</v>
      </c>
    </row>
    <row r="5" spans="1:8" x14ac:dyDescent="0.3">
      <c r="A5" t="s">
        <v>2083</v>
      </c>
      <c r="B5">
        <f>COUNTIFS(Crowdfunding!D:D,"&lt; 15000", Crowdfunding!D:D, "&gt; 9999",Crowdfunding!G:G,"successful")</f>
        <v>4</v>
      </c>
      <c r="C5">
        <f>COUNTIFS(Crowdfunding!D:D,"&lt; 15000", Crowdfunding!D:D, "&gt; 9999",Crowdfunding!G:G,"failed")</f>
        <v>5</v>
      </c>
      <c r="D5">
        <f>COUNTIFS(Crowdfunding!D:D,"&lt; 15000", Crowdfunding!D:D, "&gt; 9999",Crowdfunding!G:G,"canceled")</f>
        <v>0</v>
      </c>
      <c r="E5">
        <f t="shared" si="0"/>
        <v>9</v>
      </c>
      <c r="F5" s="11">
        <f t="shared" si="1"/>
        <v>0.44</v>
      </c>
      <c r="G5" s="11">
        <f t="shared" si="2"/>
        <v>0.56000000000000005</v>
      </c>
      <c r="H5" s="11">
        <f t="shared" si="3"/>
        <v>0</v>
      </c>
    </row>
    <row r="6" spans="1:8" x14ac:dyDescent="0.3">
      <c r="A6" t="s">
        <v>2084</v>
      </c>
      <c r="B6">
        <f>COUNTIFS(Crowdfunding!D:D,"&lt; 20000", Crowdfunding!D:D, "&gt; 15000",Crowdfunding!G:G,"successful")</f>
        <v>10</v>
      </c>
      <c r="C6">
        <f>COUNTIFS(Crowdfunding!D:D,"&lt; 20000", Crowdfunding!D:D, "&gt; 15000",Crowdfunding!G:G,"failed")</f>
        <v>0</v>
      </c>
      <c r="D6">
        <f>COUNTIFS(Crowdfunding!D:D,"&lt; 20000", Crowdfunding!D:D, "&gt; 15000",Crowdfunding!G:G,"canceled")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">
      <c r="A7" t="s">
        <v>2085</v>
      </c>
      <c r="B7">
        <f>COUNTIFS(Crowdfunding!D:D,"&lt; 25000", Crowdfunding!D:D, "&gt; 19999",Crowdfunding!G:G,"successful")</f>
        <v>7</v>
      </c>
      <c r="C7">
        <f>COUNTIFS(Crowdfunding!D:D,"&lt; 25000", Crowdfunding!D:D, "&gt; 19999",Crowdfunding!G:G,"failed")</f>
        <v>0</v>
      </c>
      <c r="D7">
        <f>COUNTIFS(Crowdfunding!D:D,"&lt; 25000", Crowdfunding!D:D, "&gt; 19999",Crowdfunding!G:G,"canceled")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">
      <c r="A8" t="s">
        <v>2086</v>
      </c>
      <c r="B8">
        <f>COUNTIFS(Crowdfunding!D:D,"&lt; 30000", Crowdfunding!D:D, "&gt; 24999",Crowdfunding!G:G,"successful")</f>
        <v>11</v>
      </c>
      <c r="C8">
        <f>COUNTIFS(Crowdfunding!D:D,"&lt; 30000", Crowdfunding!D:D, "&gt; 24999",Crowdfunding!G:G,"failed")</f>
        <v>3</v>
      </c>
      <c r="D8">
        <f>COUNTIFS(Crowdfunding!D:D,"&lt; 30000", Crowdfunding!D:D, "&gt; 24999",Crowdfunding!G:G,"canceled")</f>
        <v>0</v>
      </c>
      <c r="E8">
        <f t="shared" si="0"/>
        <v>14</v>
      </c>
      <c r="F8" s="11">
        <f t="shared" si="1"/>
        <v>0.79</v>
      </c>
      <c r="G8" s="11">
        <f t="shared" si="2"/>
        <v>0.21</v>
      </c>
      <c r="H8" s="11">
        <f t="shared" si="3"/>
        <v>0</v>
      </c>
    </row>
    <row r="9" spans="1:8" x14ac:dyDescent="0.3">
      <c r="A9" t="s">
        <v>2088</v>
      </c>
      <c r="B9">
        <f>COUNTIFS(Crowdfunding!D:D,"&lt; 35000", Crowdfunding!D:D, "&gt; 29999",Crowdfunding!G:G,"successful")</f>
        <v>7</v>
      </c>
      <c r="C9">
        <f>COUNTIFS(Crowdfunding!D:D,"&lt; 35000", Crowdfunding!D:D, "&gt; 29999",Crowdfunding!G:G,"failed")</f>
        <v>0</v>
      </c>
      <c r="D9">
        <f>COUNTIFS(Crowdfunding!D:D,"&lt; 35000", Crowdfunding!D:D, "&gt; 29999",Crowdfunding!G:G,"canceled")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">
      <c r="A10" t="s">
        <v>2087</v>
      </c>
      <c r="B10">
        <f>COUNTIFS(Crowdfunding!D:D,"&lt; 40000", Crowdfunding!D:D, "&gt; 34999",Crowdfunding!G:G,"successful")</f>
        <v>8</v>
      </c>
      <c r="C10">
        <f>COUNTIFS(Crowdfunding!D:D,"&lt; 40000", Crowdfunding!D:D, "&gt; 34999",Crowdfunding!G:G,"failed")</f>
        <v>3</v>
      </c>
      <c r="D10">
        <f>COUNTIFS(Crowdfunding!D:D,"&lt; 40000", Crowdfunding!D:D, "&gt; 34999",Crowdfunding!G:G,"canceled")</f>
        <v>1</v>
      </c>
      <c r="E10">
        <f t="shared" si="0"/>
        <v>12</v>
      </c>
      <c r="F10" s="11">
        <f t="shared" si="1"/>
        <v>0.67</v>
      </c>
      <c r="G10" s="11">
        <f t="shared" si="2"/>
        <v>0.25</v>
      </c>
      <c r="H10" s="11">
        <f t="shared" si="3"/>
        <v>0.08</v>
      </c>
    </row>
    <row r="11" spans="1:8" x14ac:dyDescent="0.3">
      <c r="A11" t="s">
        <v>2089</v>
      </c>
      <c r="B11">
        <f>COUNTIFS(Crowdfunding!D:D,"&lt; 45000", Crowdfunding!D:D, "&gt; 39999",Crowdfunding!G:G,"successful")</f>
        <v>11</v>
      </c>
      <c r="C11">
        <f>COUNTIFS(Crowdfunding!D:D,"&lt; 45000", Crowdfunding!D:D, "&gt; 39999",Crowdfunding!G:G,"failed")</f>
        <v>3</v>
      </c>
      <c r="D11">
        <f>COUNTIFS(Crowdfunding!D:D,"&lt; 45000", Crowdfunding!D:D, "&gt; 39999",Crowdfunding!G:G,"canceled")</f>
        <v>0</v>
      </c>
      <c r="E11">
        <f t="shared" si="0"/>
        <v>14</v>
      </c>
      <c r="F11" s="11">
        <f t="shared" si="1"/>
        <v>0.79</v>
      </c>
      <c r="G11" s="11">
        <f t="shared" si="2"/>
        <v>0.21</v>
      </c>
      <c r="H11" s="11">
        <f t="shared" si="3"/>
        <v>0</v>
      </c>
    </row>
    <row r="12" spans="1:8" x14ac:dyDescent="0.3">
      <c r="A12" t="s">
        <v>2090</v>
      </c>
      <c r="B12">
        <f>COUNTIFS(Crowdfunding!D:D,"&lt; 50000", Crowdfunding!D:D, "&gt; 44999",Crowdfunding!G:G,"successful")</f>
        <v>8</v>
      </c>
      <c r="C12">
        <f>COUNTIFS(Crowdfunding!D:D,"&lt; 50000", Crowdfunding!D:D, "&gt; 44999",Crowdfunding!G:G,"failed")</f>
        <v>3</v>
      </c>
      <c r="D12">
        <f>COUNTIFS(Crowdfunding!D:D,"&lt; 50000", Crowdfunding!D:D, "&gt; 44999",Crowdfunding!G:G,"canceled")</f>
        <v>0</v>
      </c>
      <c r="E12">
        <f t="shared" si="0"/>
        <v>11</v>
      </c>
      <c r="F12" s="11">
        <f t="shared" si="1"/>
        <v>0.73</v>
      </c>
      <c r="G12" s="11">
        <f t="shared" si="2"/>
        <v>0.27</v>
      </c>
      <c r="H12" s="11">
        <f t="shared" si="3"/>
        <v>0</v>
      </c>
    </row>
    <row r="13" spans="1:8" x14ac:dyDescent="0.3">
      <c r="A13" t="s">
        <v>2091</v>
      </c>
      <c r="B13">
        <f>COUNTIFS(Crowdfunding!D:D,"&gt; 50000", Crowdfunding!G:G,"successful")</f>
        <v>114</v>
      </c>
      <c r="C13">
        <f>COUNTIFS(Crowdfunding!D:D,"&gt; 50000", Crowdfunding!G:G,"failed")</f>
        <v>163</v>
      </c>
      <c r="D13">
        <f>COUNTIFS(Crowdfunding!D:D,"&gt; 50000", Crowdfunding!G:G,"canceled")</f>
        <v>28</v>
      </c>
      <c r="E13">
        <f t="shared" si="0"/>
        <v>305</v>
      </c>
      <c r="F13" s="11">
        <f t="shared" si="1"/>
        <v>0.37</v>
      </c>
      <c r="G13" s="11">
        <f t="shared" si="2"/>
        <v>0.53</v>
      </c>
      <c r="H13" s="11">
        <f t="shared" si="3"/>
        <v>0.09</v>
      </c>
    </row>
  </sheetData>
  <autoFilter ref="A1:H13" xr:uid="{DEC53190-1252-42B8-B442-EB2E9E859832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5448-BDB8-4EC6-B42F-9AF100A99464}">
  <dimension ref="A1:M566"/>
  <sheetViews>
    <sheetView workbookViewId="0">
      <selection activeCell="H3" sqref="H3"/>
    </sheetView>
  </sheetViews>
  <sheetFormatPr defaultRowHeight="15.6" x14ac:dyDescent="0.3"/>
  <cols>
    <col min="1" max="1" width="11.19921875"/>
    <col min="2" max="2" width="13.19921875" bestFit="1" customWidth="1"/>
    <col min="5" max="5" width="13.19921875" bestFit="1" customWidth="1"/>
    <col min="7" max="7" width="28.3984375" bestFit="1" customWidth="1"/>
    <col min="13" max="13" width="17.296875" bestFit="1" customWidth="1"/>
  </cols>
  <sheetData>
    <row r="1" spans="1:13" x14ac:dyDescent="0.3">
      <c r="A1" s="1" t="s">
        <v>4</v>
      </c>
      <c r="B1" s="1" t="s">
        <v>5</v>
      </c>
      <c r="D1" s="1" t="s">
        <v>4</v>
      </c>
      <c r="E1" s="1" t="s">
        <v>5</v>
      </c>
      <c r="G1" s="13" t="s">
        <v>2099</v>
      </c>
      <c r="H1" s="13" t="s">
        <v>2093</v>
      </c>
      <c r="I1" s="13" t="s">
        <v>2094</v>
      </c>
      <c r="J1" s="13" t="s">
        <v>2095</v>
      </c>
      <c r="K1" s="13" t="s">
        <v>2096</v>
      </c>
      <c r="L1" s="13" t="s">
        <v>2097</v>
      </c>
      <c r="M1" s="13" t="s">
        <v>2098</v>
      </c>
    </row>
    <row r="2" spans="1:13" x14ac:dyDescent="0.3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3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3">
      <c r="A4" t="s">
        <v>20</v>
      </c>
      <c r="B4">
        <v>174</v>
      </c>
      <c r="D4" t="s">
        <v>14</v>
      </c>
      <c r="E4">
        <v>53</v>
      </c>
    </row>
    <row r="5" spans="1:13" x14ac:dyDescent="0.3">
      <c r="A5" t="s">
        <v>20</v>
      </c>
      <c r="B5">
        <v>227</v>
      </c>
      <c r="D5" t="s">
        <v>14</v>
      </c>
      <c r="E5">
        <v>18</v>
      </c>
    </row>
    <row r="6" spans="1:13" x14ac:dyDescent="0.3">
      <c r="A6" t="s">
        <v>20</v>
      </c>
      <c r="B6">
        <v>220</v>
      </c>
      <c r="D6" t="s">
        <v>14</v>
      </c>
      <c r="E6">
        <v>44</v>
      </c>
    </row>
    <row r="7" spans="1:13" x14ac:dyDescent="0.3">
      <c r="A7" t="s">
        <v>20</v>
      </c>
      <c r="B7">
        <v>98</v>
      </c>
      <c r="D7" t="s">
        <v>14</v>
      </c>
      <c r="E7">
        <v>27</v>
      </c>
    </row>
    <row r="8" spans="1:13" x14ac:dyDescent="0.3">
      <c r="A8" t="s">
        <v>20</v>
      </c>
      <c r="B8">
        <v>100</v>
      </c>
      <c r="D8" t="s">
        <v>14</v>
      </c>
      <c r="E8">
        <v>55</v>
      </c>
    </row>
    <row r="9" spans="1:13" x14ac:dyDescent="0.3">
      <c r="A9" t="s">
        <v>20</v>
      </c>
      <c r="B9">
        <v>1249</v>
      </c>
      <c r="D9" t="s">
        <v>14</v>
      </c>
      <c r="E9">
        <v>200</v>
      </c>
    </row>
    <row r="10" spans="1:13" x14ac:dyDescent="0.3">
      <c r="A10" t="s">
        <v>20</v>
      </c>
      <c r="B10">
        <v>1396</v>
      </c>
      <c r="D10" t="s">
        <v>14</v>
      </c>
      <c r="E10">
        <v>452</v>
      </c>
    </row>
    <row r="11" spans="1:13" x14ac:dyDescent="0.3">
      <c r="A11" t="s">
        <v>20</v>
      </c>
      <c r="B11">
        <v>890</v>
      </c>
      <c r="D11" t="s">
        <v>14</v>
      </c>
      <c r="E11">
        <v>674</v>
      </c>
    </row>
    <row r="12" spans="1:13" x14ac:dyDescent="0.3">
      <c r="A12" t="s">
        <v>20</v>
      </c>
      <c r="B12">
        <v>142</v>
      </c>
      <c r="D12" t="s">
        <v>14</v>
      </c>
      <c r="E12">
        <v>558</v>
      </c>
    </row>
    <row r="13" spans="1:13" x14ac:dyDescent="0.3">
      <c r="A13" t="s">
        <v>20</v>
      </c>
      <c r="B13">
        <v>2673</v>
      </c>
      <c r="D13" t="s">
        <v>14</v>
      </c>
      <c r="E13">
        <v>15</v>
      </c>
    </row>
    <row r="14" spans="1:13" x14ac:dyDescent="0.3">
      <c r="A14" t="s">
        <v>20</v>
      </c>
      <c r="B14">
        <v>163</v>
      </c>
      <c r="D14" t="s">
        <v>14</v>
      </c>
      <c r="E14">
        <v>2307</v>
      </c>
    </row>
    <row r="15" spans="1:13" x14ac:dyDescent="0.3">
      <c r="A15" t="s">
        <v>20</v>
      </c>
      <c r="B15">
        <v>2220</v>
      </c>
      <c r="D15" t="s">
        <v>14</v>
      </c>
      <c r="E15">
        <v>88</v>
      </c>
    </row>
    <row r="16" spans="1:13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576">
    <cfRule type="containsText" dxfId="11" priority="13" operator="containsText" text="canceled">
      <formula>NOT(ISERROR(SEARCH("canceled",A1)))</formula>
    </cfRule>
    <cfRule type="containsText" dxfId="10" priority="14" operator="containsText" text="live">
      <formula>NOT(ISERROR(SEARCH("live",A1)))</formula>
    </cfRule>
    <cfRule type="containsText" dxfId="9" priority="15" operator="containsText" text="successful">
      <formula>NOT(ISERROR(SEARCH("successful",A1)))</formula>
    </cfRule>
    <cfRule type="containsText" dxfId="8" priority="16" operator="containsText" text="failed">
      <formula>NOT(ISERROR(SEARCH("failed",A1)))</formula>
    </cfRule>
  </conditionalFormatting>
  <conditionalFormatting sqref="D1:D1047940">
    <cfRule type="containsText" dxfId="7" priority="9" operator="containsText" text="canceled">
      <formula>NOT(ISERROR(SEARCH("canceled",D1)))</formula>
    </cfRule>
    <cfRule type="containsText" dxfId="6" priority="10" operator="containsText" text="live">
      <formula>NOT(ISERROR(SEARCH("live",D1)))</formula>
    </cfRule>
    <cfRule type="containsText" dxfId="5" priority="11" operator="containsText" text="successful">
      <formula>NOT(ISERROR(SEARCH("successful",D1)))</formula>
    </cfRule>
    <cfRule type="containsText" dxfId="4" priority="12" operator="containsText" text="failed">
      <formula>NOT(ISERROR(SEARCH("failed",D1)))</formula>
    </cfRule>
  </conditionalFormatting>
  <conditionalFormatting sqref="G2:G3">
    <cfRule type="containsText" dxfId="3" priority="1" operator="containsText" text="canceled">
      <formula>NOT(ISERROR(SEARCH("canceled",G2)))</formula>
    </cfRule>
    <cfRule type="containsText" dxfId="2" priority="2" operator="containsText" text="live">
      <formula>NOT(ISERROR(SEARCH("live",G2)))</formula>
    </cfRule>
    <cfRule type="containsText" dxfId="1" priority="3" operator="containsText" text="successful">
      <formula>NOT(ISERROR(SEARCH("successful",G2)))</formula>
    </cfRule>
    <cfRule type="containsText" dxfId="0" priority="4" operator="containsText" text="failed">
      <formula>NOT(ISERROR(SEARCH("failed",G2)))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Parent_Category</vt:lpstr>
      <vt:lpstr>Sub_Category</vt:lpstr>
      <vt:lpstr>Dates</vt:lpstr>
      <vt:lpstr>Outcomes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Jacob Alonso</cp:lastModifiedBy>
  <dcterms:created xsi:type="dcterms:W3CDTF">2021-09-29T18:52:28Z</dcterms:created>
  <dcterms:modified xsi:type="dcterms:W3CDTF">2024-06-21T04:46:58Z</dcterms:modified>
</cp:coreProperties>
</file>