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C1DA482D-BA6D-4C66-AFEC-2401F30A09B4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AP3" i="2"/>
  <c r="AQ3" i="2"/>
  <c r="AR3" i="2"/>
  <c r="AS3" i="2"/>
  <c r="AS18" i="2" s="1"/>
  <c r="AT3" i="2"/>
  <c r="AU3" i="2"/>
  <c r="U4" i="2"/>
  <c r="AU4" i="2" s="1"/>
  <c r="AU18" i="2" s="1"/>
  <c r="V4" i="2"/>
  <c r="AN4" i="2"/>
  <c r="AO4" i="2"/>
  <c r="AP4" i="2"/>
  <c r="AQ4" i="2"/>
  <c r="AR4" i="2"/>
  <c r="AS4" i="2"/>
  <c r="AT4" i="2"/>
  <c r="AT18" i="2" s="1"/>
  <c r="U5" i="2"/>
  <c r="V5" i="2"/>
  <c r="AR5" i="2"/>
  <c r="AS5" i="2"/>
  <c r="AT5" i="2"/>
  <c r="AU5" i="2"/>
  <c r="U6" i="2"/>
  <c r="AU6" i="2" s="1"/>
  <c r="V6" i="2"/>
  <c r="AR6" i="2"/>
  <c r="AS6" i="2"/>
  <c r="AT6" i="2"/>
  <c r="U7" i="2"/>
  <c r="V7" i="2"/>
  <c r="AR7" i="2"/>
  <c r="AR18" i="2" s="1"/>
  <c r="AS7" i="2"/>
  <c r="AT7" i="2"/>
  <c r="AU7" i="2"/>
  <c r="U8" i="2"/>
  <c r="V8" i="2"/>
  <c r="AR8" i="2"/>
  <c r="AS8" i="2"/>
  <c r="AT8" i="2"/>
  <c r="AU8" i="2"/>
  <c r="U9" i="2"/>
  <c r="V9" i="2"/>
  <c r="AN9" i="2"/>
  <c r="AO9" i="2"/>
  <c r="AP9" i="2"/>
  <c r="AQ9" i="2"/>
  <c r="AR9" i="2"/>
  <c r="AS9" i="2"/>
  <c r="AT9" i="2"/>
  <c r="AU9" i="2"/>
  <c r="U10" i="2"/>
  <c r="V10" i="2"/>
  <c r="AN10" i="2"/>
  <c r="AO10" i="2"/>
  <c r="AP10" i="2"/>
  <c r="AQ10" i="2"/>
  <c r="AR10" i="2"/>
  <c r="AS10" i="2"/>
  <c r="AT10" i="2"/>
  <c r="AU10" i="2"/>
  <c r="U11" i="2"/>
  <c r="V11" i="2"/>
  <c r="AR11" i="2"/>
  <c r="AS11" i="2"/>
  <c r="AT11" i="2"/>
  <c r="AU11" i="2"/>
  <c r="U12" i="2"/>
  <c r="V12" i="2"/>
  <c r="AR12" i="2"/>
  <c r="AS12" i="2"/>
  <c r="AT12" i="2"/>
  <c r="AU12" i="2"/>
  <c r="U13" i="2"/>
  <c r="V13" i="2"/>
  <c r="AR13" i="2"/>
  <c r="AS13" i="2"/>
  <c r="AT13" i="2"/>
  <c r="AU13" i="2"/>
  <c r="U14" i="2"/>
  <c r="AU14" i="2" s="1"/>
  <c r="V14" i="2"/>
  <c r="AR14" i="2"/>
  <c r="AS14" i="2"/>
  <c r="AT14" i="2"/>
  <c r="U15" i="2"/>
  <c r="V15" i="2"/>
  <c r="AR15" i="2"/>
  <c r="AS15" i="2"/>
  <c r="AT15" i="2"/>
  <c r="AU15" i="2"/>
  <c r="U16" i="2"/>
  <c r="V16" i="2"/>
  <c r="AR16" i="2"/>
  <c r="AS16" i="2"/>
  <c r="AT16" i="2"/>
  <c r="AU16" i="2"/>
  <c r="U17" i="2"/>
  <c r="AU17" i="2" s="1"/>
  <c r="V17" i="2"/>
  <c r="AR17" i="2"/>
  <c r="AS17" i="2"/>
  <c r="AT17" i="2"/>
  <c r="G18" i="2"/>
  <c r="G20" i="2" s="1"/>
  <c r="H18" i="2"/>
  <c r="H20" i="2" s="1"/>
  <c r="I18" i="2"/>
  <c r="J18" i="2"/>
  <c r="K18" i="2"/>
  <c r="L18" i="2"/>
  <c r="M18" i="2"/>
  <c r="N18" i="2"/>
  <c r="O18" i="2"/>
  <c r="O33" i="2" s="1"/>
  <c r="P18" i="2"/>
  <c r="Q18" i="2"/>
  <c r="U18" i="2" s="1"/>
  <c r="R18" i="2"/>
  <c r="S18" i="2"/>
  <c r="T18" i="2"/>
  <c r="T19" i="2" s="1"/>
  <c r="V18" i="2"/>
  <c r="AP18" i="2"/>
  <c r="AP32" i="2" s="1"/>
  <c r="AQ18" i="2"/>
  <c r="N19" i="2"/>
  <c r="P19" i="2"/>
  <c r="Q19" i="2"/>
  <c r="R19" i="2"/>
  <c r="S19" i="2"/>
  <c r="AR19" i="2"/>
  <c r="AS19" i="2"/>
  <c r="I20" i="2"/>
  <c r="I24" i="2" s="1"/>
  <c r="I26" i="2" s="1"/>
  <c r="I28" i="2" s="1"/>
  <c r="I29" i="2" s="1"/>
  <c r="J20" i="2"/>
  <c r="K20" i="2"/>
  <c r="L20" i="2"/>
  <c r="L24" i="2" s="1"/>
  <c r="L26" i="2" s="1"/>
  <c r="L28" i="2" s="1"/>
  <c r="L29" i="2" s="1"/>
  <c r="M20" i="2"/>
  <c r="V20" i="2"/>
  <c r="V19" i="2" s="1"/>
  <c r="AM20" i="2"/>
  <c r="AN20" i="2"/>
  <c r="AN24" i="2" s="1"/>
  <c r="AN26" i="2" s="1"/>
  <c r="AN28" i="2" s="1"/>
  <c r="AN29" i="2" s="1"/>
  <c r="AO20" i="2"/>
  <c r="AQ20" i="2"/>
  <c r="AQ24" i="2" s="1"/>
  <c r="AQ26" i="2" s="1"/>
  <c r="AQ28" i="2" s="1"/>
  <c r="AQ29" i="2" s="1"/>
  <c r="U21" i="2"/>
  <c r="AU21" i="2" s="1"/>
  <c r="AU23" i="2" s="1"/>
  <c r="V21" i="2"/>
  <c r="AR21" i="2"/>
  <c r="AS21" i="2"/>
  <c r="AS23" i="2" s="1"/>
  <c r="AT21" i="2"/>
  <c r="U22" i="2"/>
  <c r="V22" i="2"/>
  <c r="AR22" i="2"/>
  <c r="AR23" i="2" s="1"/>
  <c r="AS22" i="2"/>
  <c r="AT22" i="2"/>
  <c r="AU22" i="2"/>
  <c r="G23" i="2"/>
  <c r="H23" i="2"/>
  <c r="I23" i="2"/>
  <c r="J23" i="2"/>
  <c r="K23" i="2"/>
  <c r="K24" i="2" s="1"/>
  <c r="K26" i="2" s="1"/>
  <c r="K28" i="2" s="1"/>
  <c r="K29" i="2" s="1"/>
  <c r="L23" i="2"/>
  <c r="M23" i="2"/>
  <c r="N23" i="2"/>
  <c r="N24" i="2" s="1"/>
  <c r="N26" i="2" s="1"/>
  <c r="N28" i="2" s="1"/>
  <c r="N29" i="2" s="1"/>
  <c r="O23" i="2"/>
  <c r="O24" i="2" s="1"/>
  <c r="O26" i="2" s="1"/>
  <c r="O28" i="2" s="1"/>
  <c r="O29" i="2" s="1"/>
  <c r="P23" i="2"/>
  <c r="Q23" i="2"/>
  <c r="R23" i="2"/>
  <c r="S23" i="2"/>
  <c r="S24" i="2" s="1"/>
  <c r="S26" i="2" s="1"/>
  <c r="S28" i="2" s="1"/>
  <c r="S29" i="2" s="1"/>
  <c r="T23" i="2"/>
  <c r="V23" i="2"/>
  <c r="V24" i="2" s="1"/>
  <c r="V26" i="2" s="1"/>
  <c r="AM23" i="2"/>
  <c r="AM24" i="2" s="1"/>
  <c r="AM26" i="2" s="1"/>
  <c r="AM28" i="2" s="1"/>
  <c r="AM29" i="2" s="1"/>
  <c r="AN23" i="2"/>
  <c r="AO23" i="2"/>
  <c r="AP23" i="2"/>
  <c r="AQ23" i="2"/>
  <c r="AT23" i="2"/>
  <c r="J24" i="2"/>
  <c r="M24" i="2"/>
  <c r="M26" i="2" s="1"/>
  <c r="M28" i="2" s="1"/>
  <c r="M29" i="2" s="1"/>
  <c r="P24" i="2"/>
  <c r="Q24" i="2"/>
  <c r="R24" i="2"/>
  <c r="T24" i="2"/>
  <c r="AO24" i="2"/>
  <c r="G25" i="2"/>
  <c r="H25" i="2"/>
  <c r="I25" i="2"/>
  <c r="J25" i="2"/>
  <c r="K25" i="2"/>
  <c r="L25" i="2"/>
  <c r="AS25" i="2" s="1"/>
  <c r="M25" i="2"/>
  <c r="U25" i="2"/>
  <c r="V25" i="2" s="1"/>
  <c r="AU25" i="2" s="1"/>
  <c r="AM25" i="2"/>
  <c r="AN25" i="2"/>
  <c r="AO25" i="2"/>
  <c r="AP25" i="2"/>
  <c r="AQ25" i="2"/>
  <c r="AR25" i="2"/>
  <c r="AT25" i="2"/>
  <c r="J26" i="2"/>
  <c r="J28" i="2" s="1"/>
  <c r="J29" i="2" s="1"/>
  <c r="P26" i="2"/>
  <c r="Q26" i="2"/>
  <c r="R26" i="2"/>
  <c r="R28" i="2" s="1"/>
  <c r="R29" i="2" s="1"/>
  <c r="T26" i="2"/>
  <c r="AO26" i="2"/>
  <c r="AR27" i="2"/>
  <c r="AS27" i="2"/>
  <c r="AT27" i="2"/>
  <c r="P28" i="2"/>
  <c r="P29" i="2" s="1"/>
  <c r="Q28" i="2"/>
  <c r="T28" i="2"/>
  <c r="T29" i="2" s="1"/>
  <c r="AO28" i="2"/>
  <c r="Q29" i="2"/>
  <c r="AO29" i="2"/>
  <c r="U30" i="2"/>
  <c r="V30" i="2" s="1"/>
  <c r="AU30" i="2" s="1"/>
  <c r="AR30" i="2"/>
  <c r="AS30" i="2"/>
  <c r="AT30" i="2"/>
  <c r="L32" i="2"/>
  <c r="M32" i="2"/>
  <c r="N32" i="2"/>
  <c r="O32" i="2"/>
  <c r="P32" i="2"/>
  <c r="Q32" i="2"/>
  <c r="R32" i="2"/>
  <c r="T32" i="2"/>
  <c r="V32" i="2"/>
  <c r="AL32" i="2"/>
  <c r="AM32" i="2"/>
  <c r="AN32" i="2"/>
  <c r="AO32" i="2"/>
  <c r="I33" i="2"/>
  <c r="J33" i="2"/>
  <c r="K33" i="2"/>
  <c r="M33" i="2"/>
  <c r="N33" i="2"/>
  <c r="P33" i="2"/>
  <c r="Q33" i="2"/>
  <c r="R33" i="2"/>
  <c r="S33" i="2"/>
  <c r="T33" i="2"/>
  <c r="V33" i="2"/>
  <c r="AM33" i="2"/>
  <c r="AN33" i="2"/>
  <c r="AO33" i="2"/>
  <c r="M36" i="2"/>
  <c r="M41" i="2"/>
  <c r="M43" i="2" s="1"/>
  <c r="M48" i="2"/>
  <c r="M50" i="2"/>
  <c r="M53" i="2" s="1"/>
  <c r="M52" i="2"/>
  <c r="U20" i="2" l="1"/>
  <c r="U19" i="2"/>
  <c r="U32" i="2"/>
  <c r="AR20" i="2"/>
  <c r="AR32" i="2"/>
  <c r="V27" i="2"/>
  <c r="V28" i="2" s="1"/>
  <c r="V29" i="2" s="1"/>
  <c r="H24" i="2"/>
  <c r="H26" i="2" s="1"/>
  <c r="H28" i="2" s="1"/>
  <c r="H29" i="2" s="1"/>
  <c r="H33" i="2"/>
  <c r="AS20" i="2"/>
  <c r="AS32" i="2"/>
  <c r="G24" i="2"/>
  <c r="G26" i="2" s="1"/>
  <c r="G28" i="2" s="1"/>
  <c r="G29" i="2" s="1"/>
  <c r="G33" i="2"/>
  <c r="AU32" i="2"/>
  <c r="AU20" i="2"/>
  <c r="AT20" i="2"/>
  <c r="AT32" i="2"/>
  <c r="AU19" i="2"/>
  <c r="L33" i="2"/>
  <c r="U23" i="2"/>
  <c r="AP20" i="2"/>
  <c r="O19" i="2"/>
  <c r="AT19" i="2" s="1"/>
  <c r="AQ33" i="2"/>
  <c r="AQ32" i="2"/>
  <c r="S32" i="2"/>
  <c r="K32" i="2"/>
  <c r="M35" i="2"/>
  <c r="C7" i="1"/>
  <c r="C6" i="1"/>
  <c r="C5" i="1"/>
  <c r="AT24" i="2" l="1"/>
  <c r="AT26" i="2" s="1"/>
  <c r="AT28" i="2" s="1"/>
  <c r="AT29" i="2" s="1"/>
  <c r="AT33" i="2"/>
  <c r="AU24" i="2"/>
  <c r="AU26" i="2" s="1"/>
  <c r="AU33" i="2"/>
  <c r="AP33" i="2"/>
  <c r="AP24" i="2"/>
  <c r="AP26" i="2" s="1"/>
  <c r="AP28" i="2" s="1"/>
  <c r="AP29" i="2" s="1"/>
  <c r="AR24" i="2"/>
  <c r="AR26" i="2" s="1"/>
  <c r="AR28" i="2" s="1"/>
  <c r="AR29" i="2" s="1"/>
  <c r="AR33" i="2"/>
  <c r="AS24" i="2"/>
  <c r="AS26" i="2" s="1"/>
  <c r="AS28" i="2" s="1"/>
  <c r="AS29" i="2" s="1"/>
  <c r="AS33" i="2"/>
  <c r="U33" i="2"/>
  <c r="U24" i="2"/>
  <c r="U26" i="2" s="1"/>
  <c r="C8" i="1"/>
  <c r="U27" i="2" l="1"/>
  <c r="AU27" i="2" s="1"/>
  <c r="AU28" i="2" s="1"/>
  <c r="AU29" i="2" s="1"/>
  <c r="U28" i="2" l="1"/>
  <c r="U29" i="2" s="1"/>
</calcChain>
</file>

<file path=xl/sharedStrings.xml><?xml version="1.0" encoding="utf-8"?>
<sst xmlns="http://schemas.openxmlformats.org/spreadsheetml/2006/main" count="135" uniqueCount="124">
  <si>
    <t>ABT</t>
  </si>
  <si>
    <t>Price</t>
  </si>
  <si>
    <t>SO</t>
  </si>
  <si>
    <t>MC</t>
  </si>
  <si>
    <t xml:space="preserve">Cash </t>
  </si>
  <si>
    <t>Debt</t>
  </si>
  <si>
    <t>EV</t>
  </si>
  <si>
    <t>Q4'24</t>
  </si>
  <si>
    <t>Creon, Duspatal, Dicetel, Heptral, Transmetil, Samyr, Duphalac, Duphaston, Femoston, TriCor, Serc, Brufen, Sevedol, clarithromycin</t>
  </si>
  <si>
    <t>Pharmaceuticals</t>
  </si>
  <si>
    <t>Rapid diagnostics</t>
  </si>
  <si>
    <t>BinaxNOW, PanBio</t>
  </si>
  <si>
    <t>POC system</t>
  </si>
  <si>
    <t>iSTAT</t>
  </si>
  <si>
    <t>molecular diagnostics/PCR</t>
  </si>
  <si>
    <t>Alinity m, m2000</t>
  </si>
  <si>
    <t>core lab</t>
  </si>
  <si>
    <t>Alinity</t>
  </si>
  <si>
    <t>Diagnostics</t>
  </si>
  <si>
    <t>Enteral Feeding: Glucerna, Osmolite</t>
  </si>
  <si>
    <t>Pediasure</t>
  </si>
  <si>
    <t>Ensure</t>
  </si>
  <si>
    <t>Similac</t>
  </si>
  <si>
    <t>Nutritional</t>
  </si>
  <si>
    <t>Infinity DBS system</t>
  </si>
  <si>
    <t>Proclaim spinal cord stimulator</t>
  </si>
  <si>
    <t>Neuromodulation</t>
  </si>
  <si>
    <t>Tendyne transcatheter mitral valve replacement system</t>
  </si>
  <si>
    <t>Amplatzer Amulet occluder</t>
  </si>
  <si>
    <t>Amplatzer PFO occluder</t>
  </si>
  <si>
    <t>Regent and Masters Series mechanical heart valves</t>
  </si>
  <si>
    <t>Portico Navitor - transcatheter aortic heart valves</t>
  </si>
  <si>
    <t>Epic - aortic valve and mitral valve replacement devices</t>
  </si>
  <si>
    <t>TriClip - tricuspid transcatheter repair</t>
  </si>
  <si>
    <t>MitraClip - transcatheter mitral valve repair system</t>
  </si>
  <si>
    <t>Structural Heart</t>
  </si>
  <si>
    <t>CentriMag - circulatory support system</t>
  </si>
  <si>
    <t>CardioMEMS HF System pulmonary artery sensor</t>
  </si>
  <si>
    <t>HeartMate LVAD</t>
  </si>
  <si>
    <t>Heart Failure</t>
  </si>
  <si>
    <t>ViewFlex intracardiac echo catheter</t>
  </si>
  <si>
    <t>Advisor HD Grid mapping catheter</t>
  </si>
  <si>
    <t>Agilis NxT, Swartz - introducer catheters</t>
  </si>
  <si>
    <t>EnSite cardiac mapping system</t>
  </si>
  <si>
    <t>FlexAbility irrigated ablation catheter</t>
  </si>
  <si>
    <t>TactiFlex, TactiCath ablation catheters</t>
  </si>
  <si>
    <t>Electrophysiology</t>
  </si>
  <si>
    <t>Confirm Rx, Jot Dx, Assert IQ implantable cardiac monitors</t>
  </si>
  <si>
    <t>Quadra Assura ICD-CRT</t>
  </si>
  <si>
    <t>Ellipse, Fortify Assura, Gallant ICD</t>
  </si>
  <si>
    <t>Aveir single and dual-chamber leadless pacemakers</t>
  </si>
  <si>
    <t>Assurity, Endurity pacemakers</t>
  </si>
  <si>
    <t>Rhythm</t>
  </si>
  <si>
    <t>StarClose (clip closure system), Perclose ProGlide, Perclose ProStyle (suture system)</t>
  </si>
  <si>
    <t>XIENCE DES</t>
  </si>
  <si>
    <t>Vascular</t>
  </si>
  <si>
    <t>DexCom</t>
  </si>
  <si>
    <t>FreeStyle, FreeStyle Libre, sensors, test strips</t>
  </si>
  <si>
    <t>Diabetes</t>
  </si>
  <si>
    <t>2017: Closes St. Jude Medical acquisition for $25B.</t>
  </si>
  <si>
    <t>Master</t>
  </si>
  <si>
    <t>L+SE</t>
  </si>
  <si>
    <t>SE+NCI</t>
  </si>
  <si>
    <t>Pension</t>
  </si>
  <si>
    <t>Taxes</t>
  </si>
  <si>
    <t>Dividends</t>
  </si>
  <si>
    <t>AL</t>
  </si>
  <si>
    <t>Salaries</t>
  </si>
  <si>
    <t>AP</t>
  </si>
  <si>
    <t>Assets</t>
  </si>
  <si>
    <t>DT</t>
  </si>
  <si>
    <t>Goodwill</t>
  </si>
  <si>
    <t>PP&amp;E</t>
  </si>
  <si>
    <t>Prepaids</t>
  </si>
  <si>
    <t>Inventories</t>
  </si>
  <si>
    <t>AR</t>
  </si>
  <si>
    <t>Cash</t>
  </si>
  <si>
    <t>Net Debt</t>
  </si>
  <si>
    <t>Gross Margin</t>
  </si>
  <si>
    <t>Revenue Growth</t>
  </si>
  <si>
    <t>Shares</t>
  </si>
  <si>
    <t>EPS</t>
  </si>
  <si>
    <t>Net Income</t>
  </si>
  <si>
    <t>Pretax Income</t>
  </si>
  <si>
    <t>Interest Income</t>
  </si>
  <si>
    <t>Operating Income</t>
  </si>
  <si>
    <t>Operating Expenses</t>
  </si>
  <si>
    <t>R&amp;D</t>
  </si>
  <si>
    <t>SG&amp;A</t>
  </si>
  <si>
    <t>Gross Profit</t>
  </si>
  <si>
    <t>COGS</t>
  </si>
  <si>
    <t>Revenue</t>
  </si>
  <si>
    <t>Adult Nutritionals</t>
  </si>
  <si>
    <t>Pediatric Nutritionals</t>
  </si>
  <si>
    <t>Rapid Diagnostics</t>
  </si>
  <si>
    <t>Core Lab</t>
  </si>
  <si>
    <t>Molecular Dx</t>
  </si>
  <si>
    <t>PoC Dx</t>
  </si>
  <si>
    <t>Pharma</t>
  </si>
  <si>
    <t>Other</t>
  </si>
  <si>
    <t>Q425</t>
  </si>
  <si>
    <t>Q325</t>
  </si>
  <si>
    <t>Q225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</si>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</sst>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b/>
      <sz val="11"/>
      <color theme="1"/>
      <name val="Calibr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" fontId="2" fillId="0" borderId="1" xfId="0" applyNumberFormat="1" applyFont="1" applyBorder="1"/>
    <xf numFmtId="0" fontId="3" fillId="0" borderId="0" xfId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2870</xdr:colOff>
      <xdr:row>0</xdr:row>
      <xdr:rowOff>114300</xdr:rowOff>
    </xdr:from>
    <xdr:to>
      <xdr:col>23</xdr:col>
      <xdr:colOff>2870</xdr:colOff>
      <xdr:row>56</xdr:row>
      <xdr:rowOff>124525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F3CACA5-4C16-4AED-9FE7-CF1A4853D9FF}"/>
            </a:ext>
          </a:extLst>
        </xdr:cNvPr>
        <xdr:cNvCxnSpPr/>
      </xdr:nvCxnSpPr>
      <xdr:spPr>
        <a:xfrm>
          <a:off x="14347520" y="114300"/>
          <a:ext cx="0" cy="1010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601144</xdr:colOff>
      <xdr:row>0</xdr:row>
      <xdr:rowOff>0</xdr:rowOff>
    </xdr:from>
    <xdr:to>
      <xdr:col>46</xdr:col>
      <xdr:colOff>601144</xdr:colOff>
      <xdr:row>73</xdr:row>
      <xdr:rowOff>29308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A884C7-797F-496C-89FE-99EC013F93D4}"/>
            </a:ext>
          </a:extLst>
        </xdr:cNvPr>
        <xdr:cNvCxnSpPr/>
      </xdr:nvCxnSpPr>
      <xdr:spPr>
        <a:xfrm>
          <a:off x="28966594" y="0"/>
          <a:ext cx="0" cy="132023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000%20Med-Devices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workbookViewId="0">
      <selection activeCell="F6" sqref="F6"/>
    </sheetView>
  </sheetViews>
  <sheetFormatPr defaultRowHeight="15"/>
  <cols>
    <col min="1" max="1" width="3.28515625" customWidth="1"/>
    <col min="3" max="3" width="12.140625" customWidth="1"/>
    <col min="4" max="4" width="10.5703125" customWidth="1"/>
  </cols>
  <sheetData>
    <row r="1" spans="1:9">
      <c r="A1" s="6" t="s">
        <v>60</v>
      </c>
    </row>
    <row r="2" spans="1:9">
      <c r="B2" s="1" t="s">
        <v>0</v>
      </c>
    </row>
    <row r="3" spans="1:9">
      <c r="B3" t="s">
        <v>1</v>
      </c>
      <c r="C3" s="2">
        <v>128.99</v>
      </c>
      <c r="D3" s="4">
        <v>45771</v>
      </c>
    </row>
    <row r="4" spans="1:9">
      <c r="B4" t="s">
        <v>2</v>
      </c>
      <c r="C4" s="5">
        <v>1740</v>
      </c>
      <c r="D4" s="3" t="s">
        <v>7</v>
      </c>
    </row>
    <row r="5" spans="1:9">
      <c r="B5" t="s">
        <v>3</v>
      </c>
      <c r="C5" s="2">
        <f>C3*C4</f>
        <v>224442.6</v>
      </c>
      <c r="D5" s="3"/>
    </row>
    <row r="6" spans="1:9">
      <c r="B6" t="s">
        <v>4</v>
      </c>
      <c r="C6" s="2">
        <f>7616+351</f>
        <v>7967</v>
      </c>
      <c r="D6" s="3" t="s">
        <v>7</v>
      </c>
    </row>
    <row r="7" spans="1:9">
      <c r="B7" t="s">
        <v>5</v>
      </c>
      <c r="C7" s="2">
        <f>1500+12625</f>
        <v>14125</v>
      </c>
      <c r="D7" s="3" t="s">
        <v>7</v>
      </c>
    </row>
    <row r="8" spans="1:9">
      <c r="B8" t="s">
        <v>6</v>
      </c>
      <c r="C8" s="2">
        <f>C5-C6+C7</f>
        <v>230600.6</v>
      </c>
    </row>
    <row r="10" spans="1:9">
      <c r="B10" t="s">
        <v>58</v>
      </c>
      <c r="I10" t="s">
        <v>59</v>
      </c>
    </row>
    <row r="11" spans="1:9">
      <c r="C11" t="s">
        <v>57</v>
      </c>
    </row>
    <row r="12" spans="1:9">
      <c r="D12" t="s">
        <v>56</v>
      </c>
    </row>
    <row r="13" spans="1:9">
      <c r="B13" t="s">
        <v>55</v>
      </c>
    </row>
    <row r="14" spans="1:9">
      <c r="C14" t="s">
        <v>54</v>
      </c>
    </row>
    <row r="15" spans="1:9">
      <c r="C15" t="s">
        <v>53</v>
      </c>
    </row>
    <row r="16" spans="1:9">
      <c r="B16" t="s">
        <v>52</v>
      </c>
    </row>
    <row r="17" spans="2:3">
      <c r="C17" t="s">
        <v>51</v>
      </c>
    </row>
    <row r="18" spans="2:3">
      <c r="C18" t="s">
        <v>50</v>
      </c>
    </row>
    <row r="19" spans="2:3">
      <c r="C19" t="s">
        <v>49</v>
      </c>
    </row>
    <row r="20" spans="2:3">
      <c r="C20" t="s">
        <v>48</v>
      </c>
    </row>
    <row r="21" spans="2:3">
      <c r="C21" t="s">
        <v>47</v>
      </c>
    </row>
    <row r="22" spans="2:3">
      <c r="B22" t="s">
        <v>46</v>
      </c>
    </row>
    <row r="23" spans="2:3">
      <c r="C23" t="s">
        <v>45</v>
      </c>
    </row>
    <row r="24" spans="2:3">
      <c r="C24" t="s">
        <v>44</v>
      </c>
    </row>
    <row r="25" spans="2:3">
      <c r="C25" t="s">
        <v>43</v>
      </c>
    </row>
    <row r="26" spans="2:3">
      <c r="C26" t="s">
        <v>42</v>
      </c>
    </row>
    <row r="27" spans="2:3">
      <c r="C27" t="s">
        <v>41</v>
      </c>
    </row>
    <row r="28" spans="2:3">
      <c r="C28" t="s">
        <v>40</v>
      </c>
    </row>
    <row r="30" spans="2:3">
      <c r="B30" t="s">
        <v>39</v>
      </c>
    </row>
    <row r="31" spans="2:3">
      <c r="C31" t="s">
        <v>38</v>
      </c>
    </row>
    <row r="32" spans="2:3">
      <c r="C32" t="s">
        <v>37</v>
      </c>
    </row>
    <row r="33" spans="2:3">
      <c r="C33" t="s">
        <v>36</v>
      </c>
    </row>
    <row r="35" spans="2:3">
      <c r="B35" t="s">
        <v>35</v>
      </c>
    </row>
    <row r="36" spans="2:3">
      <c r="C36" t="s">
        <v>34</v>
      </c>
    </row>
    <row r="37" spans="2:3">
      <c r="C37" t="s">
        <v>33</v>
      </c>
    </row>
    <row r="38" spans="2:3">
      <c r="C38" t="s">
        <v>32</v>
      </c>
    </row>
    <row r="39" spans="2:3">
      <c r="C39" t="s">
        <v>31</v>
      </c>
    </row>
    <row r="40" spans="2:3">
      <c r="C40" t="s">
        <v>30</v>
      </c>
    </row>
    <row r="41" spans="2:3">
      <c r="C41" t="s">
        <v>29</v>
      </c>
    </row>
    <row r="42" spans="2:3">
      <c r="C42" t="s">
        <v>28</v>
      </c>
    </row>
    <row r="43" spans="2:3">
      <c r="C43" t="s">
        <v>27</v>
      </c>
    </row>
    <row r="45" spans="2:3">
      <c r="B45" t="s">
        <v>26</v>
      </c>
    </row>
    <row r="46" spans="2:3">
      <c r="C46" t="s">
        <v>25</v>
      </c>
    </row>
    <row r="47" spans="2:3">
      <c r="C47" t="s">
        <v>24</v>
      </c>
    </row>
    <row r="50" spans="2:4">
      <c r="B50" t="s">
        <v>23</v>
      </c>
    </row>
    <row r="51" spans="2:4">
      <c r="C51" t="s">
        <v>22</v>
      </c>
    </row>
    <row r="52" spans="2:4">
      <c r="C52" t="s">
        <v>21</v>
      </c>
    </row>
    <row r="53" spans="2:4">
      <c r="C53" t="s">
        <v>20</v>
      </c>
    </row>
    <row r="54" spans="2:4">
      <c r="C54" t="s">
        <v>19</v>
      </c>
    </row>
    <row r="56" spans="2:4">
      <c r="B56" t="s">
        <v>18</v>
      </c>
    </row>
    <row r="57" spans="2:4">
      <c r="C57" t="s">
        <v>17</v>
      </c>
      <c r="D57" t="s">
        <v>16</v>
      </c>
    </row>
    <row r="58" spans="2:4">
      <c r="C58" t="s">
        <v>15</v>
      </c>
      <c r="D58" t="s">
        <v>14</v>
      </c>
    </row>
    <row r="59" spans="2:4">
      <c r="C59" t="s">
        <v>13</v>
      </c>
      <c r="D59" t="s">
        <v>12</v>
      </c>
    </row>
    <row r="60" spans="2:4">
      <c r="C60" t="s">
        <v>11</v>
      </c>
      <c r="D60" t="s">
        <v>10</v>
      </c>
    </row>
    <row r="62" spans="2:4">
      <c r="B62" t="s">
        <v>9</v>
      </c>
    </row>
    <row r="63" spans="2:4">
      <c r="C63" t="s">
        <v>8</v>
      </c>
    </row>
  </sheetData>
  <hyperlinks>
    <hyperlink ref="A1" r:id="rId1" xr:uid="{62E48829-7EEF-43CF-AE35-87BB05038D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3A5C-C572-4C44-A745-B751BE8F7CC9}">
  <dimension ref="B2:BA5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23" sqref="Y23"/>
    </sheetView>
  </sheetViews>
  <sheetFormatPr defaultRowHeight="14.25"/>
  <cols>
    <col min="1" max="1" width="2.85546875" style="3" customWidth="1"/>
    <col min="2" max="2" width="20.28515625" style="3" bestFit="1" customWidth="1"/>
    <col min="3" max="14" width="9.140625" style="7"/>
    <col min="15" max="16384" width="9.140625" style="3"/>
  </cols>
  <sheetData>
    <row r="2" spans="2:53">
      <c r="C2" s="7" t="s">
        <v>123</v>
      </c>
      <c r="D2" s="7" t="s">
        <v>122</v>
      </c>
      <c r="E2" s="7" t="s">
        <v>121</v>
      </c>
      <c r="F2" s="7" t="s">
        <v>120</v>
      </c>
      <c r="G2" s="7" t="s">
        <v>119</v>
      </c>
      <c r="H2" s="7" t="s">
        <v>118</v>
      </c>
      <c r="I2" s="7" t="s">
        <v>117</v>
      </c>
      <c r="J2" s="7" t="s">
        <v>116</v>
      </c>
      <c r="K2" s="7" t="s">
        <v>115</v>
      </c>
      <c r="L2" s="7" t="s">
        <v>114</v>
      </c>
      <c r="M2" s="7" t="s">
        <v>113</v>
      </c>
      <c r="N2" s="7" t="s">
        <v>112</v>
      </c>
      <c r="O2" s="7" t="s">
        <v>111</v>
      </c>
      <c r="P2" s="7" t="s">
        <v>110</v>
      </c>
      <c r="Q2" s="7" t="s">
        <v>109</v>
      </c>
      <c r="R2" s="7" t="s">
        <v>108</v>
      </c>
      <c r="S2" s="7" t="s">
        <v>107</v>
      </c>
      <c r="T2" s="7" t="s">
        <v>106</v>
      </c>
      <c r="U2" s="7" t="s">
        <v>105</v>
      </c>
      <c r="V2" s="7" t="s">
        <v>104</v>
      </c>
      <c r="W2" s="7" t="s">
        <v>103</v>
      </c>
      <c r="X2" s="7" t="s">
        <v>102</v>
      </c>
      <c r="Y2" s="7" t="s">
        <v>101</v>
      </c>
      <c r="Z2" s="7" t="s">
        <v>100</v>
      </c>
      <c r="AA2" s="7"/>
      <c r="AB2" s="3">
        <v>2005</v>
      </c>
      <c r="AC2" s="3">
        <f t="shared" ref="AC2:BA2" si="0">+AB2+1</f>
        <v>2006</v>
      </c>
      <c r="AD2" s="3">
        <f t="shared" si="0"/>
        <v>2007</v>
      </c>
      <c r="AE2" s="3">
        <f t="shared" si="0"/>
        <v>2008</v>
      </c>
      <c r="AF2" s="3">
        <f t="shared" si="0"/>
        <v>2009</v>
      </c>
      <c r="AG2" s="3">
        <f t="shared" si="0"/>
        <v>2010</v>
      </c>
      <c r="AH2" s="3">
        <f t="shared" si="0"/>
        <v>2011</v>
      </c>
      <c r="AI2" s="3">
        <f t="shared" si="0"/>
        <v>2012</v>
      </c>
      <c r="AJ2" s="3">
        <f t="shared" si="0"/>
        <v>2013</v>
      </c>
      <c r="AK2" s="3">
        <f t="shared" si="0"/>
        <v>2014</v>
      </c>
      <c r="AL2" s="3">
        <f t="shared" si="0"/>
        <v>2015</v>
      </c>
      <c r="AM2" s="3">
        <f t="shared" si="0"/>
        <v>2016</v>
      </c>
      <c r="AN2" s="3">
        <f t="shared" si="0"/>
        <v>2017</v>
      </c>
      <c r="AO2" s="3">
        <f t="shared" si="0"/>
        <v>2018</v>
      </c>
      <c r="AP2" s="3">
        <f t="shared" si="0"/>
        <v>2019</v>
      </c>
      <c r="AQ2" s="3">
        <f t="shared" si="0"/>
        <v>2020</v>
      </c>
      <c r="AR2" s="3">
        <f t="shared" si="0"/>
        <v>2021</v>
      </c>
      <c r="AS2" s="3">
        <f t="shared" si="0"/>
        <v>2022</v>
      </c>
      <c r="AT2" s="3">
        <f t="shared" si="0"/>
        <v>2023</v>
      </c>
      <c r="AU2" s="3">
        <f t="shared" si="0"/>
        <v>2024</v>
      </c>
      <c r="AV2" s="3">
        <f t="shared" si="0"/>
        <v>2025</v>
      </c>
      <c r="AW2" s="3">
        <f t="shared" si="0"/>
        <v>2026</v>
      </c>
      <c r="AX2" s="3">
        <f t="shared" si="0"/>
        <v>2027</v>
      </c>
      <c r="AY2" s="3">
        <f t="shared" si="0"/>
        <v>2028</v>
      </c>
      <c r="AZ2" s="3">
        <f t="shared" si="0"/>
        <v>2029</v>
      </c>
      <c r="BA2" s="3">
        <f t="shared" si="0"/>
        <v>2030</v>
      </c>
    </row>
    <row r="3" spans="2:53" s="8" customFormat="1">
      <c r="B3" s="8" t="s">
        <v>99</v>
      </c>
      <c r="C3" s="9"/>
      <c r="D3" s="9"/>
      <c r="E3" s="9"/>
      <c r="F3" s="9"/>
      <c r="G3" s="9">
        <v>16</v>
      </c>
      <c r="H3" s="9">
        <v>22</v>
      </c>
      <c r="I3" s="9">
        <v>11</v>
      </c>
      <c r="J3" s="9">
        <v>3</v>
      </c>
      <c r="K3" s="9">
        <v>3</v>
      </c>
      <c r="L3" s="9">
        <v>2</v>
      </c>
      <c r="M3" s="9">
        <v>3</v>
      </c>
      <c r="N3" s="9"/>
      <c r="AP3" s="8">
        <f>31904-31847</f>
        <v>57</v>
      </c>
      <c r="AQ3" s="8">
        <f>34608-34542</f>
        <v>66</v>
      </c>
      <c r="AR3" s="8">
        <f t="shared" ref="AR3:AR17" si="1">SUM(G3:J3)</f>
        <v>52</v>
      </c>
      <c r="AS3" s="8">
        <f t="shared" ref="AS3:AS17" si="2">SUM(K3:N3)</f>
        <v>8</v>
      </c>
      <c r="AT3" s="8">
        <f t="shared" ref="AT3:AT17" si="3">SUM(O3:R3)</f>
        <v>0</v>
      </c>
      <c r="AU3" s="8">
        <f t="shared" ref="AU3:AU17" si="4">SUM(S3:V3)</f>
        <v>0</v>
      </c>
    </row>
    <row r="4" spans="2:53" s="8" customFormat="1">
      <c r="B4" s="8" t="s">
        <v>98</v>
      </c>
      <c r="C4" s="9"/>
      <c r="D4" s="9"/>
      <c r="E4" s="9"/>
      <c r="F4" s="9"/>
      <c r="G4" s="9">
        <v>1070</v>
      </c>
      <c r="H4" s="9">
        <v>1180</v>
      </c>
      <c r="I4" s="9">
        <v>1265</v>
      </c>
      <c r="J4" s="9">
        <v>1203</v>
      </c>
      <c r="K4" s="9">
        <v>1147</v>
      </c>
      <c r="L4" s="9">
        <v>1223</v>
      </c>
      <c r="M4" s="9">
        <v>1326</v>
      </c>
      <c r="N4" s="9">
        <v>1216</v>
      </c>
      <c r="O4" s="8">
        <v>1189</v>
      </c>
      <c r="P4" s="8">
        <v>1287</v>
      </c>
      <c r="Q4" s="8">
        <v>1368</v>
      </c>
      <c r="R4" s="8">
        <v>1222</v>
      </c>
      <c r="S4" s="8">
        <v>1226.4000000000001</v>
      </c>
      <c r="T4" s="8">
        <v>1294</v>
      </c>
      <c r="U4" s="9">
        <f t="shared" ref="U4:U18" si="5">+Q4*1.01</f>
        <v>1381.68</v>
      </c>
      <c r="V4" s="9">
        <f t="shared" ref="V4:V18" si="6">+R4*1.01</f>
        <v>1234.22</v>
      </c>
      <c r="AN4" s="8">
        <f>3307+980</f>
        <v>4287</v>
      </c>
      <c r="AO4" s="8">
        <f>3363+1059</f>
        <v>4422</v>
      </c>
      <c r="AP4" s="8">
        <f>3392+1094</f>
        <v>4486</v>
      </c>
      <c r="AQ4" s="8">
        <f>3209+1094</f>
        <v>4303</v>
      </c>
      <c r="AR4" s="8">
        <f t="shared" si="1"/>
        <v>4718</v>
      </c>
      <c r="AS4" s="8">
        <f t="shared" si="2"/>
        <v>4912</v>
      </c>
      <c r="AT4" s="8">
        <f t="shared" si="3"/>
        <v>5066</v>
      </c>
      <c r="AU4" s="8">
        <f t="shared" si="4"/>
        <v>5136.3</v>
      </c>
    </row>
    <row r="5" spans="2:53" s="8" customFormat="1">
      <c r="B5" s="8" t="s">
        <v>97</v>
      </c>
      <c r="C5" s="9"/>
      <c r="D5" s="9"/>
      <c r="E5" s="9"/>
      <c r="F5" s="9"/>
      <c r="G5" s="9">
        <v>129</v>
      </c>
      <c r="H5" s="9">
        <v>137</v>
      </c>
      <c r="I5" s="9">
        <v>135</v>
      </c>
      <c r="J5" s="9">
        <v>135</v>
      </c>
      <c r="K5" s="9">
        <v>128</v>
      </c>
      <c r="L5" s="9">
        <v>139</v>
      </c>
      <c r="M5" s="9">
        <v>127</v>
      </c>
      <c r="N5" s="9">
        <v>131</v>
      </c>
      <c r="O5" s="8">
        <v>134</v>
      </c>
      <c r="P5" s="8">
        <v>142</v>
      </c>
      <c r="Q5" s="8">
        <v>140</v>
      </c>
      <c r="R5" s="8">
        <v>149</v>
      </c>
      <c r="S5" s="8">
        <v>139.4</v>
      </c>
      <c r="T5" s="8">
        <v>156</v>
      </c>
      <c r="U5" s="9">
        <f t="shared" si="5"/>
        <v>141.4</v>
      </c>
      <c r="V5" s="9">
        <f t="shared" si="6"/>
        <v>150.49</v>
      </c>
      <c r="AN5" s="8">
        <v>550</v>
      </c>
      <c r="AO5" s="8">
        <v>553</v>
      </c>
      <c r="AP5" s="8">
        <v>561</v>
      </c>
      <c r="AQ5" s="8">
        <v>516</v>
      </c>
      <c r="AR5" s="8">
        <f t="shared" si="1"/>
        <v>536</v>
      </c>
      <c r="AS5" s="8">
        <f t="shared" si="2"/>
        <v>525</v>
      </c>
      <c r="AT5" s="8">
        <f t="shared" si="3"/>
        <v>565</v>
      </c>
      <c r="AU5" s="8">
        <f t="shared" si="4"/>
        <v>587.29</v>
      </c>
    </row>
    <row r="6" spans="2:53" s="8" customFormat="1">
      <c r="B6" s="8" t="s">
        <v>96</v>
      </c>
      <c r="C6" s="9"/>
      <c r="D6" s="9"/>
      <c r="E6" s="9"/>
      <c r="F6" s="9"/>
      <c r="G6" s="9">
        <v>447</v>
      </c>
      <c r="H6" s="9">
        <v>290</v>
      </c>
      <c r="I6" s="9">
        <v>345</v>
      </c>
      <c r="J6" s="9">
        <v>345</v>
      </c>
      <c r="K6" s="9">
        <v>420</v>
      </c>
      <c r="L6" s="9">
        <v>212</v>
      </c>
      <c r="M6" s="9">
        <v>183</v>
      </c>
      <c r="N6" s="9">
        <v>180</v>
      </c>
      <c r="O6" s="8">
        <v>147</v>
      </c>
      <c r="P6" s="8">
        <v>141</v>
      </c>
      <c r="Q6" s="8">
        <v>133</v>
      </c>
      <c r="R6" s="8">
        <v>153</v>
      </c>
      <c r="S6" s="8">
        <v>129.4</v>
      </c>
      <c r="T6" s="8">
        <v>127</v>
      </c>
      <c r="U6" s="9">
        <f t="shared" si="5"/>
        <v>134.33000000000001</v>
      </c>
      <c r="V6" s="9">
        <f t="shared" si="6"/>
        <v>154.53</v>
      </c>
      <c r="AN6" s="8">
        <v>463</v>
      </c>
      <c r="AO6" s="8">
        <v>484</v>
      </c>
      <c r="AP6" s="8">
        <v>442</v>
      </c>
      <c r="AQ6" s="8">
        <v>1438</v>
      </c>
      <c r="AR6" s="8">
        <f t="shared" si="1"/>
        <v>1427</v>
      </c>
      <c r="AS6" s="8">
        <f t="shared" si="2"/>
        <v>995</v>
      </c>
      <c r="AT6" s="8">
        <f t="shared" si="3"/>
        <v>574</v>
      </c>
      <c r="AU6" s="8">
        <f t="shared" si="4"/>
        <v>545.26</v>
      </c>
    </row>
    <row r="7" spans="2:53" s="8" customFormat="1">
      <c r="B7" s="8" t="s">
        <v>95</v>
      </c>
      <c r="C7" s="9"/>
      <c r="D7" s="9"/>
      <c r="E7" s="9"/>
      <c r="F7" s="9"/>
      <c r="G7" s="9">
        <v>1182</v>
      </c>
      <c r="H7" s="9">
        <v>1306</v>
      </c>
      <c r="I7" s="9">
        <v>1292</v>
      </c>
      <c r="J7" s="9">
        <v>1348</v>
      </c>
      <c r="K7" s="9">
        <v>1184</v>
      </c>
      <c r="L7" s="9">
        <v>1221</v>
      </c>
      <c r="M7" s="9">
        <v>1219</v>
      </c>
      <c r="N7" s="9">
        <v>1264</v>
      </c>
      <c r="O7" s="8">
        <v>1182</v>
      </c>
      <c r="P7" s="8">
        <v>1293</v>
      </c>
      <c r="Q7" s="8">
        <v>1314</v>
      </c>
      <c r="R7" s="8">
        <v>1370</v>
      </c>
      <c r="S7" s="8">
        <v>1205.4000000000001</v>
      </c>
      <c r="T7" s="8">
        <v>1329</v>
      </c>
      <c r="U7" s="9">
        <f t="shared" si="5"/>
        <v>1327.14</v>
      </c>
      <c r="V7" s="9">
        <f t="shared" si="6"/>
        <v>1383.7</v>
      </c>
      <c r="AN7" s="8">
        <v>4063</v>
      </c>
      <c r="AO7" s="8">
        <v>4386</v>
      </c>
      <c r="AP7" s="8">
        <v>4656</v>
      </c>
      <c r="AQ7" s="8">
        <v>4475</v>
      </c>
      <c r="AR7" s="8">
        <f t="shared" si="1"/>
        <v>5128</v>
      </c>
      <c r="AS7" s="8">
        <f t="shared" si="2"/>
        <v>4888</v>
      </c>
      <c r="AT7" s="8">
        <f t="shared" si="3"/>
        <v>5159</v>
      </c>
      <c r="AU7" s="8">
        <f t="shared" si="4"/>
        <v>5245.24</v>
      </c>
    </row>
    <row r="8" spans="2:53" s="8" customFormat="1">
      <c r="B8" s="8" t="s">
        <v>94</v>
      </c>
      <c r="C8" s="9"/>
      <c r="D8" s="9"/>
      <c r="E8" s="9"/>
      <c r="F8" s="9"/>
      <c r="G8" s="9">
        <v>2256</v>
      </c>
      <c r="H8" s="9">
        <v>1514</v>
      </c>
      <c r="I8" s="9">
        <v>2140</v>
      </c>
      <c r="J8" s="9">
        <v>2643</v>
      </c>
      <c r="K8" s="9">
        <v>3554</v>
      </c>
      <c r="L8" s="9">
        <v>2750</v>
      </c>
      <c r="M8" s="9">
        <v>2142</v>
      </c>
      <c r="N8" s="9">
        <v>1730</v>
      </c>
      <c r="O8" s="8">
        <v>1225</v>
      </c>
      <c r="P8" s="8">
        <v>741</v>
      </c>
      <c r="Q8" s="8">
        <v>862</v>
      </c>
      <c r="R8" s="8">
        <v>862</v>
      </c>
      <c r="S8" s="8">
        <v>741.4</v>
      </c>
      <c r="T8" s="8">
        <v>583</v>
      </c>
      <c r="U8" s="9">
        <f t="shared" si="5"/>
        <v>870.62</v>
      </c>
      <c r="V8" s="9">
        <f t="shared" si="6"/>
        <v>870.62</v>
      </c>
      <c r="AN8" s="8">
        <v>540</v>
      </c>
      <c r="AO8" s="8">
        <v>2072</v>
      </c>
      <c r="AP8" s="8">
        <v>2054</v>
      </c>
      <c r="AQ8" s="8">
        <v>4376</v>
      </c>
      <c r="AR8" s="8">
        <f t="shared" si="1"/>
        <v>8553</v>
      </c>
      <c r="AS8" s="8">
        <f t="shared" si="2"/>
        <v>10176</v>
      </c>
      <c r="AT8" s="8">
        <f t="shared" si="3"/>
        <v>3690</v>
      </c>
      <c r="AU8" s="8">
        <f t="shared" si="4"/>
        <v>3065.64</v>
      </c>
    </row>
    <row r="9" spans="2:53" s="8" customFormat="1">
      <c r="B9" s="8" t="s">
        <v>93</v>
      </c>
      <c r="C9" s="9"/>
      <c r="D9" s="9"/>
      <c r="E9" s="9"/>
      <c r="F9" s="9"/>
      <c r="G9" s="9">
        <v>1066</v>
      </c>
      <c r="H9" s="9">
        <v>1093</v>
      </c>
      <c r="I9" s="9">
        <v>1100</v>
      </c>
      <c r="J9" s="9">
        <v>1039</v>
      </c>
      <c r="K9" s="9">
        <v>847</v>
      </c>
      <c r="L9" s="9">
        <v>925</v>
      </c>
      <c r="M9" s="9">
        <v>827</v>
      </c>
      <c r="N9" s="9">
        <v>882</v>
      </c>
      <c r="O9" s="8">
        <v>924</v>
      </c>
      <c r="P9" s="8">
        <v>1024</v>
      </c>
      <c r="Q9" s="8">
        <v>1001</v>
      </c>
      <c r="R9" s="8">
        <v>985</v>
      </c>
      <c r="S9" s="8">
        <v>1009.4</v>
      </c>
      <c r="T9" s="8">
        <v>1059</v>
      </c>
      <c r="U9" s="9">
        <f t="shared" si="5"/>
        <v>1011.01</v>
      </c>
      <c r="V9" s="9">
        <f t="shared" si="6"/>
        <v>994.85</v>
      </c>
      <c r="AN9" s="8">
        <f>2112+1777</f>
        <v>3889</v>
      </c>
      <c r="AO9" s="8">
        <f>1843+2254</f>
        <v>4097</v>
      </c>
      <c r="AP9" s="8">
        <f>1879+2282</f>
        <v>4161</v>
      </c>
      <c r="AQ9" s="8">
        <f>2140+1987</f>
        <v>4127</v>
      </c>
      <c r="AR9" s="8">
        <f t="shared" si="1"/>
        <v>4298</v>
      </c>
      <c r="AS9" s="8">
        <f t="shared" si="2"/>
        <v>3481</v>
      </c>
      <c r="AT9" s="8">
        <f t="shared" si="3"/>
        <v>3934</v>
      </c>
      <c r="AU9" s="8">
        <f t="shared" si="4"/>
        <v>4074.2599999999998</v>
      </c>
    </row>
    <row r="10" spans="2:53" s="8" customFormat="1">
      <c r="B10" s="8" t="s">
        <v>92</v>
      </c>
      <c r="C10" s="9"/>
      <c r="D10" s="9"/>
      <c r="E10" s="9"/>
      <c r="F10" s="9"/>
      <c r="G10" s="9">
        <v>970</v>
      </c>
      <c r="H10" s="9">
        <v>1015</v>
      </c>
      <c r="I10" s="9">
        <v>1008</v>
      </c>
      <c r="J10" s="9">
        <v>1003</v>
      </c>
      <c r="K10" s="9">
        <v>1047</v>
      </c>
      <c r="L10" s="9">
        <v>1028</v>
      </c>
      <c r="M10" s="9">
        <v>968</v>
      </c>
      <c r="N10" s="9">
        <v>935</v>
      </c>
      <c r="O10" s="8">
        <v>1043</v>
      </c>
      <c r="P10" s="8">
        <v>1052</v>
      </c>
      <c r="Q10" s="8">
        <v>1072</v>
      </c>
      <c r="R10" s="8">
        <v>1053</v>
      </c>
      <c r="S10" s="8">
        <v>1059.4000000000001</v>
      </c>
      <c r="T10" s="8">
        <v>1091</v>
      </c>
      <c r="U10" s="9">
        <f t="shared" si="5"/>
        <v>1082.72</v>
      </c>
      <c r="V10" s="9">
        <f t="shared" si="6"/>
        <v>1063.53</v>
      </c>
      <c r="AN10" s="8">
        <f>1782+1254</f>
        <v>3036</v>
      </c>
      <c r="AO10" s="8">
        <f>1900+1232</f>
        <v>3132</v>
      </c>
      <c r="AP10" s="8">
        <f>1231+2017</f>
        <v>3248</v>
      </c>
      <c r="AQ10" s="8">
        <f>1292+2228</f>
        <v>3520</v>
      </c>
      <c r="AR10" s="8">
        <f t="shared" si="1"/>
        <v>3996</v>
      </c>
      <c r="AS10" s="8">
        <f t="shared" si="2"/>
        <v>3978</v>
      </c>
      <c r="AT10" s="8">
        <f t="shared" si="3"/>
        <v>4220</v>
      </c>
      <c r="AU10" s="8">
        <f t="shared" si="4"/>
        <v>4296.6499999999996</v>
      </c>
    </row>
    <row r="11" spans="2:53" s="8" customFormat="1">
      <c r="B11" s="8" t="s">
        <v>26</v>
      </c>
      <c r="C11" s="9"/>
      <c r="D11" s="9"/>
      <c r="E11" s="9"/>
      <c r="F11" s="9"/>
      <c r="G11" s="9">
        <v>184</v>
      </c>
      <c r="H11" s="9">
        <v>210</v>
      </c>
      <c r="I11" s="9">
        <v>190</v>
      </c>
      <c r="J11" s="9">
        <v>197</v>
      </c>
      <c r="K11" s="9">
        <v>179</v>
      </c>
      <c r="L11" s="9">
        <v>197</v>
      </c>
      <c r="M11" s="9">
        <v>192</v>
      </c>
      <c r="N11" s="9">
        <v>202</v>
      </c>
      <c r="O11" s="8">
        <v>196</v>
      </c>
      <c r="P11" s="8">
        <v>227</v>
      </c>
      <c r="Q11" s="8">
        <v>227</v>
      </c>
      <c r="R11" s="8">
        <v>240</v>
      </c>
      <c r="S11" s="8">
        <v>226</v>
      </c>
      <c r="T11" s="8">
        <v>243</v>
      </c>
      <c r="U11" s="9">
        <f t="shared" si="5"/>
        <v>229.27</v>
      </c>
      <c r="V11" s="9">
        <f t="shared" si="6"/>
        <v>242.4</v>
      </c>
      <c r="AN11" s="8">
        <v>808</v>
      </c>
      <c r="AO11" s="8">
        <v>864</v>
      </c>
      <c r="AP11" s="8">
        <v>831</v>
      </c>
      <c r="AQ11" s="8">
        <v>702</v>
      </c>
      <c r="AR11" s="8">
        <f t="shared" si="1"/>
        <v>781</v>
      </c>
      <c r="AS11" s="8">
        <f t="shared" si="2"/>
        <v>770</v>
      </c>
      <c r="AT11" s="8">
        <f t="shared" si="3"/>
        <v>890</v>
      </c>
      <c r="AU11" s="8">
        <f t="shared" si="4"/>
        <v>940.67</v>
      </c>
    </row>
    <row r="12" spans="2:53" s="8" customFormat="1">
      <c r="B12" s="8" t="s">
        <v>39</v>
      </c>
      <c r="C12" s="9"/>
      <c r="D12" s="9"/>
      <c r="E12" s="9"/>
      <c r="F12" s="9"/>
      <c r="G12" s="9">
        <v>194</v>
      </c>
      <c r="H12" s="9">
        <v>227</v>
      </c>
      <c r="I12" s="9">
        <v>229</v>
      </c>
      <c r="J12" s="9">
        <v>239</v>
      </c>
      <c r="K12" s="9">
        <v>221</v>
      </c>
      <c r="L12" s="9">
        <v>241</v>
      </c>
      <c r="M12" s="9">
        <v>228</v>
      </c>
      <c r="N12" s="9">
        <v>230</v>
      </c>
      <c r="O12" s="8">
        <v>281</v>
      </c>
      <c r="P12" s="8">
        <v>295</v>
      </c>
      <c r="Q12" s="8">
        <v>284</v>
      </c>
      <c r="R12" s="8">
        <v>301</v>
      </c>
      <c r="S12" s="8">
        <v>305</v>
      </c>
      <c r="T12" s="8">
        <v>321</v>
      </c>
      <c r="U12" s="9">
        <f t="shared" si="5"/>
        <v>286.83999999999997</v>
      </c>
      <c r="V12" s="9">
        <f t="shared" si="6"/>
        <v>304.01</v>
      </c>
      <c r="AN12" s="8">
        <v>643</v>
      </c>
      <c r="AO12" s="8">
        <v>646</v>
      </c>
      <c r="AP12" s="8">
        <v>769</v>
      </c>
      <c r="AQ12" s="8">
        <v>740</v>
      </c>
      <c r="AR12" s="8">
        <f t="shared" si="1"/>
        <v>889</v>
      </c>
      <c r="AS12" s="8">
        <f t="shared" si="2"/>
        <v>920</v>
      </c>
      <c r="AT12" s="8">
        <f t="shared" si="3"/>
        <v>1161</v>
      </c>
      <c r="AU12" s="8">
        <f t="shared" si="4"/>
        <v>1216.8499999999999</v>
      </c>
    </row>
    <row r="13" spans="2:53" s="8" customFormat="1">
      <c r="B13" s="8" t="s">
        <v>35</v>
      </c>
      <c r="C13" s="9"/>
      <c r="D13" s="9"/>
      <c r="E13" s="9"/>
      <c r="F13" s="9"/>
      <c r="G13" s="9">
        <v>377</v>
      </c>
      <c r="H13" s="9">
        <v>422</v>
      </c>
      <c r="I13" s="9">
        <v>392</v>
      </c>
      <c r="J13" s="9">
        <v>419</v>
      </c>
      <c r="K13" s="9">
        <v>411</v>
      </c>
      <c r="L13" s="9">
        <v>440</v>
      </c>
      <c r="M13" s="9">
        <v>420</v>
      </c>
      <c r="N13" s="9">
        <v>441</v>
      </c>
      <c r="O13" s="8">
        <v>461</v>
      </c>
      <c r="P13" s="8">
        <v>498</v>
      </c>
      <c r="Q13" s="8">
        <v>487</v>
      </c>
      <c r="R13" s="8">
        <v>498</v>
      </c>
      <c r="S13" s="8">
        <v>515</v>
      </c>
      <c r="T13" s="8">
        <v>564</v>
      </c>
      <c r="U13" s="9">
        <f t="shared" si="5"/>
        <v>491.87</v>
      </c>
      <c r="V13" s="9">
        <f t="shared" si="6"/>
        <v>502.98</v>
      </c>
      <c r="AN13" s="8">
        <v>1083</v>
      </c>
      <c r="AO13" s="8">
        <v>1239</v>
      </c>
      <c r="AP13" s="8">
        <v>1400</v>
      </c>
      <c r="AQ13" s="8">
        <v>1247</v>
      </c>
      <c r="AR13" s="8">
        <f t="shared" si="1"/>
        <v>1610</v>
      </c>
      <c r="AS13" s="8">
        <f t="shared" si="2"/>
        <v>1712</v>
      </c>
      <c r="AT13" s="8">
        <f t="shared" si="3"/>
        <v>1944</v>
      </c>
      <c r="AU13" s="8">
        <f t="shared" si="4"/>
        <v>2073.85</v>
      </c>
    </row>
    <row r="14" spans="2:53" s="8" customFormat="1">
      <c r="B14" s="8" t="s">
        <v>46</v>
      </c>
      <c r="C14" s="9"/>
      <c r="D14" s="9"/>
      <c r="E14" s="9"/>
      <c r="F14" s="9"/>
      <c r="G14" s="9">
        <v>431</v>
      </c>
      <c r="H14" s="9">
        <v>487</v>
      </c>
      <c r="I14" s="9">
        <v>485</v>
      </c>
      <c r="J14" s="9">
        <v>504</v>
      </c>
      <c r="K14" s="9">
        <v>485</v>
      </c>
      <c r="L14" s="9">
        <v>486</v>
      </c>
      <c r="M14" s="9">
        <v>469</v>
      </c>
      <c r="N14" s="9">
        <v>487</v>
      </c>
      <c r="O14" s="8">
        <v>505</v>
      </c>
      <c r="P14" s="8">
        <v>553</v>
      </c>
      <c r="Q14" s="8">
        <v>544</v>
      </c>
      <c r="R14" s="8">
        <v>593</v>
      </c>
      <c r="S14" s="8">
        <v>587</v>
      </c>
      <c r="T14" s="8">
        <v>627</v>
      </c>
      <c r="U14" s="9">
        <f t="shared" si="5"/>
        <v>549.44000000000005</v>
      </c>
      <c r="V14" s="9">
        <f t="shared" si="6"/>
        <v>598.92999999999995</v>
      </c>
      <c r="AN14" s="8">
        <v>1382</v>
      </c>
      <c r="AO14" s="8">
        <v>1561</v>
      </c>
      <c r="AP14" s="8">
        <v>1721</v>
      </c>
      <c r="AQ14" s="8">
        <v>1578</v>
      </c>
      <c r="AR14" s="8">
        <f t="shared" si="1"/>
        <v>1907</v>
      </c>
      <c r="AS14" s="8">
        <f t="shared" si="2"/>
        <v>1927</v>
      </c>
      <c r="AT14" s="8">
        <f t="shared" si="3"/>
        <v>2195</v>
      </c>
      <c r="AU14" s="8">
        <f t="shared" si="4"/>
        <v>2362.37</v>
      </c>
    </row>
    <row r="15" spans="2:53" s="8" customFormat="1">
      <c r="B15" s="8" t="s">
        <v>52</v>
      </c>
      <c r="C15" s="9"/>
      <c r="D15" s="9"/>
      <c r="E15" s="9"/>
      <c r="F15" s="9"/>
      <c r="G15" s="9">
        <v>519</v>
      </c>
      <c r="H15" s="9">
        <v>567</v>
      </c>
      <c r="I15" s="9">
        <v>571</v>
      </c>
      <c r="J15" s="9">
        <v>541</v>
      </c>
      <c r="K15" s="9">
        <v>524</v>
      </c>
      <c r="L15" s="9">
        <v>548</v>
      </c>
      <c r="M15" s="9">
        <v>533</v>
      </c>
      <c r="N15" s="9">
        <v>514</v>
      </c>
      <c r="O15" s="8">
        <v>527</v>
      </c>
      <c r="P15" s="8">
        <v>583</v>
      </c>
      <c r="Q15" s="8">
        <v>563</v>
      </c>
      <c r="R15" s="8">
        <v>582</v>
      </c>
      <c r="S15" s="8">
        <v>562</v>
      </c>
      <c r="T15" s="8">
        <v>607</v>
      </c>
      <c r="U15" s="9">
        <f t="shared" si="5"/>
        <v>568.63</v>
      </c>
      <c r="V15" s="9">
        <f t="shared" si="6"/>
        <v>587.82000000000005</v>
      </c>
      <c r="AN15" s="8">
        <v>2103</v>
      </c>
      <c r="AO15" s="8">
        <v>2198</v>
      </c>
      <c r="AP15" s="8">
        <v>2144</v>
      </c>
      <c r="AQ15" s="8">
        <v>1914</v>
      </c>
      <c r="AR15" s="8">
        <f t="shared" si="1"/>
        <v>2198</v>
      </c>
      <c r="AS15" s="8">
        <f t="shared" si="2"/>
        <v>2119</v>
      </c>
      <c r="AT15" s="8">
        <f t="shared" si="3"/>
        <v>2255</v>
      </c>
      <c r="AU15" s="8">
        <f t="shared" si="4"/>
        <v>2325.4500000000003</v>
      </c>
    </row>
    <row r="16" spans="2:53" s="8" customFormat="1">
      <c r="B16" s="8" t="s">
        <v>55</v>
      </c>
      <c r="C16" s="9"/>
      <c r="D16" s="9"/>
      <c r="E16" s="9"/>
      <c r="F16" s="9"/>
      <c r="G16" s="9">
        <v>635</v>
      </c>
      <c r="H16" s="9">
        <v>697</v>
      </c>
      <c r="I16" s="9">
        <v>644</v>
      </c>
      <c r="J16" s="9">
        <v>678</v>
      </c>
      <c r="K16" s="9">
        <v>619</v>
      </c>
      <c r="L16" s="9">
        <v>653</v>
      </c>
      <c r="M16" s="9">
        <v>606</v>
      </c>
      <c r="N16" s="9">
        <v>605</v>
      </c>
      <c r="O16" s="8">
        <v>617</v>
      </c>
      <c r="P16" s="8">
        <v>715</v>
      </c>
      <c r="Q16" s="8">
        <v>672</v>
      </c>
      <c r="R16" s="8">
        <v>677</v>
      </c>
      <c r="S16" s="8">
        <v>689</v>
      </c>
      <c r="T16" s="8">
        <v>724</v>
      </c>
      <c r="U16" s="9">
        <f t="shared" si="5"/>
        <v>678.72</v>
      </c>
      <c r="V16" s="9">
        <f t="shared" si="6"/>
        <v>683.77</v>
      </c>
      <c r="AN16" s="8">
        <v>2892</v>
      </c>
      <c r="AO16" s="8">
        <v>2929</v>
      </c>
      <c r="AP16" s="8">
        <v>2850</v>
      </c>
      <c r="AQ16" s="8">
        <v>2339</v>
      </c>
      <c r="AR16" s="8">
        <f t="shared" si="1"/>
        <v>2654</v>
      </c>
      <c r="AS16" s="8">
        <f t="shared" si="2"/>
        <v>2483</v>
      </c>
      <c r="AT16" s="8">
        <f t="shared" si="3"/>
        <v>2681</v>
      </c>
      <c r="AU16" s="8">
        <f t="shared" si="4"/>
        <v>2775.4900000000002</v>
      </c>
    </row>
    <row r="17" spans="2:47" s="8" customFormat="1">
      <c r="B17" s="8" t="s">
        <v>58</v>
      </c>
      <c r="C17" s="9"/>
      <c r="D17" s="9"/>
      <c r="E17" s="9"/>
      <c r="F17" s="9"/>
      <c r="G17" s="9">
        <v>980</v>
      </c>
      <c r="H17" s="9">
        <v>1056</v>
      </c>
      <c r="I17" s="9">
        <v>1121</v>
      </c>
      <c r="J17" s="9">
        <v>1171</v>
      </c>
      <c r="K17" s="9">
        <v>1126</v>
      </c>
      <c r="L17" s="9">
        <v>1192</v>
      </c>
      <c r="M17" s="9">
        <v>1167</v>
      </c>
      <c r="N17" s="9">
        <v>1271</v>
      </c>
      <c r="O17" s="8">
        <v>1313</v>
      </c>
      <c r="P17" s="8">
        <v>1424</v>
      </c>
      <c r="Q17" s="8">
        <v>1472</v>
      </c>
      <c r="R17" s="8">
        <v>1552</v>
      </c>
      <c r="S17" s="8">
        <v>1569</v>
      </c>
      <c r="T17" s="8">
        <v>1648</v>
      </c>
      <c r="U17" s="9">
        <f t="shared" si="5"/>
        <v>1486.72</v>
      </c>
      <c r="V17" s="9">
        <f t="shared" si="6"/>
        <v>1567.52</v>
      </c>
      <c r="AO17" s="8">
        <v>1933</v>
      </c>
      <c r="AP17" s="8">
        <v>2524</v>
      </c>
      <c r="AQ17" s="8">
        <v>3267</v>
      </c>
      <c r="AR17" s="8">
        <f t="shared" si="1"/>
        <v>4328</v>
      </c>
      <c r="AS17" s="8">
        <f t="shared" si="2"/>
        <v>4756</v>
      </c>
      <c r="AT17" s="8">
        <f t="shared" si="3"/>
        <v>5761</v>
      </c>
      <c r="AU17" s="8">
        <f t="shared" si="4"/>
        <v>6271.24</v>
      </c>
    </row>
    <row r="18" spans="2:47" s="14" customFormat="1" ht="15">
      <c r="B18" s="14" t="s">
        <v>91</v>
      </c>
      <c r="C18" s="15"/>
      <c r="D18" s="15"/>
      <c r="E18" s="15"/>
      <c r="F18" s="15"/>
      <c r="G18" s="15">
        <f t="shared" ref="G18:L18" si="7">SUM(G3:G17)</f>
        <v>10456</v>
      </c>
      <c r="H18" s="15">
        <f t="shared" si="7"/>
        <v>10223</v>
      </c>
      <c r="I18" s="15">
        <f t="shared" si="7"/>
        <v>10928</v>
      </c>
      <c r="J18" s="15">
        <f t="shared" si="7"/>
        <v>11468</v>
      </c>
      <c r="K18" s="15">
        <f t="shared" si="7"/>
        <v>11895</v>
      </c>
      <c r="L18" s="15">
        <f t="shared" si="7"/>
        <v>11257</v>
      </c>
      <c r="M18" s="15">
        <f t="shared" ref="M18:T18" si="8">SUM(M4:M17)</f>
        <v>10407</v>
      </c>
      <c r="N18" s="15">
        <f t="shared" si="8"/>
        <v>10088</v>
      </c>
      <c r="O18" s="15">
        <f t="shared" si="8"/>
        <v>9744</v>
      </c>
      <c r="P18" s="15">
        <f t="shared" si="8"/>
        <v>9975</v>
      </c>
      <c r="Q18" s="15">
        <f t="shared" si="8"/>
        <v>10139</v>
      </c>
      <c r="R18" s="15">
        <f t="shared" si="8"/>
        <v>10237</v>
      </c>
      <c r="S18" s="15">
        <f t="shared" si="8"/>
        <v>9963.8000000000011</v>
      </c>
      <c r="T18" s="15">
        <f t="shared" si="8"/>
        <v>10373</v>
      </c>
      <c r="U18" s="15">
        <f t="shared" si="5"/>
        <v>10240.39</v>
      </c>
      <c r="V18" s="15">
        <f t="shared" si="6"/>
        <v>10339.370000000001</v>
      </c>
      <c r="AK18" s="14">
        <v>20247</v>
      </c>
      <c r="AL18" s="14">
        <v>20405</v>
      </c>
      <c r="AM18" s="14">
        <v>20853</v>
      </c>
      <c r="AN18" s="14">
        <v>27390</v>
      </c>
      <c r="AO18" s="14">
        <v>30578</v>
      </c>
      <c r="AP18" s="14">
        <f t="shared" ref="AP18:AU18" si="9">SUM(AP3:AP17)</f>
        <v>31904</v>
      </c>
      <c r="AQ18" s="14">
        <f t="shared" si="9"/>
        <v>34608</v>
      </c>
      <c r="AR18" s="14">
        <f t="shared" si="9"/>
        <v>43075</v>
      </c>
      <c r="AS18" s="14">
        <f t="shared" si="9"/>
        <v>43650</v>
      </c>
      <c r="AT18" s="14">
        <f t="shared" si="9"/>
        <v>40095</v>
      </c>
      <c r="AU18" s="14">
        <f t="shared" si="9"/>
        <v>40916.55999999999</v>
      </c>
    </row>
    <row r="19" spans="2:47" s="8" customFormat="1">
      <c r="B19" s="8" t="s">
        <v>90</v>
      </c>
      <c r="C19" s="9"/>
      <c r="D19" s="9"/>
      <c r="E19" s="9"/>
      <c r="F19" s="9"/>
      <c r="G19" s="9">
        <v>4401</v>
      </c>
      <c r="H19" s="9">
        <v>4947</v>
      </c>
      <c r="I19" s="9">
        <v>4423</v>
      </c>
      <c r="J19" s="9">
        <v>4766</v>
      </c>
      <c r="K19" s="9">
        <v>4987</v>
      </c>
      <c r="L19" s="9">
        <v>4933</v>
      </c>
      <c r="M19" s="9">
        <v>4629</v>
      </c>
      <c r="N19" s="9">
        <f t="shared" ref="N19:V19" si="10">+N18-N20</f>
        <v>4474</v>
      </c>
      <c r="O19" s="8">
        <f t="shared" si="10"/>
        <v>4299</v>
      </c>
      <c r="P19" s="8">
        <f t="shared" si="10"/>
        <v>4449</v>
      </c>
      <c r="Q19" s="8">
        <f t="shared" si="10"/>
        <v>4555</v>
      </c>
      <c r="R19" s="8">
        <f t="shared" si="10"/>
        <v>4515</v>
      </c>
      <c r="S19" s="8">
        <f t="shared" si="10"/>
        <v>4416.8000000000011</v>
      </c>
      <c r="T19" s="8">
        <f t="shared" si="10"/>
        <v>4564</v>
      </c>
      <c r="U19" s="8">
        <f t="shared" si="10"/>
        <v>4505.7715999999991</v>
      </c>
      <c r="V19" s="8">
        <f t="shared" si="10"/>
        <v>4549.3227999999999</v>
      </c>
      <c r="AM19" s="8">
        <v>9094</v>
      </c>
      <c r="AN19" s="8">
        <v>12409</v>
      </c>
      <c r="AO19" s="8">
        <v>12706</v>
      </c>
      <c r="AP19" s="8">
        <v>13231</v>
      </c>
      <c r="AQ19" s="8">
        <v>15003</v>
      </c>
      <c r="AR19" s="8">
        <f>SUM(G19:J19)</f>
        <v>18537</v>
      </c>
      <c r="AS19" s="8">
        <f>SUM(K19:N19)</f>
        <v>19023</v>
      </c>
      <c r="AT19" s="8">
        <f>SUM(O19:R19)</f>
        <v>17818</v>
      </c>
      <c r="AU19" s="8">
        <f>SUM(S19:V19)</f>
        <v>18035.894399999997</v>
      </c>
    </row>
    <row r="20" spans="2:47" s="8" customFormat="1">
      <c r="B20" s="8" t="s">
        <v>89</v>
      </c>
      <c r="C20" s="9"/>
      <c r="D20" s="9"/>
      <c r="E20" s="9"/>
      <c r="F20" s="9"/>
      <c r="G20" s="9">
        <f t="shared" ref="G20:M20" si="11">+G18-G19</f>
        <v>6055</v>
      </c>
      <c r="H20" s="9">
        <f t="shared" si="11"/>
        <v>5276</v>
      </c>
      <c r="I20" s="9">
        <f t="shared" si="11"/>
        <v>6505</v>
      </c>
      <c r="J20" s="9">
        <f t="shared" si="11"/>
        <v>6702</v>
      </c>
      <c r="K20" s="9">
        <f t="shared" si="11"/>
        <v>6908</v>
      </c>
      <c r="L20" s="9">
        <f t="shared" si="11"/>
        <v>6324</v>
      </c>
      <c r="M20" s="9">
        <f t="shared" si="11"/>
        <v>5778</v>
      </c>
      <c r="N20" s="9">
        <v>5614</v>
      </c>
      <c r="O20" s="8">
        <v>5445</v>
      </c>
      <c r="P20" s="8">
        <v>5526</v>
      </c>
      <c r="Q20" s="8">
        <v>5584</v>
      </c>
      <c r="R20" s="8">
        <v>5722</v>
      </c>
      <c r="S20" s="8">
        <v>5547</v>
      </c>
      <c r="T20" s="8">
        <v>5809</v>
      </c>
      <c r="U20" s="8">
        <f>+U18*0.56</f>
        <v>5734.6184000000003</v>
      </c>
      <c r="V20" s="8">
        <f>+V18*0.56</f>
        <v>5790.0472000000009</v>
      </c>
      <c r="AM20" s="8">
        <f t="shared" ref="AM20:AU20" si="12">+AM18-AM19</f>
        <v>11759</v>
      </c>
      <c r="AN20" s="8">
        <f t="shared" si="12"/>
        <v>14981</v>
      </c>
      <c r="AO20" s="8">
        <f t="shared" si="12"/>
        <v>17872</v>
      </c>
      <c r="AP20" s="8">
        <f t="shared" si="12"/>
        <v>18673</v>
      </c>
      <c r="AQ20" s="8">
        <f t="shared" si="12"/>
        <v>19605</v>
      </c>
      <c r="AR20" s="8">
        <f t="shared" si="12"/>
        <v>24538</v>
      </c>
      <c r="AS20" s="8">
        <f t="shared" si="12"/>
        <v>24627</v>
      </c>
      <c r="AT20" s="8">
        <f t="shared" si="12"/>
        <v>22277</v>
      </c>
      <c r="AU20" s="8">
        <f t="shared" si="12"/>
        <v>22880.665599999993</v>
      </c>
    </row>
    <row r="21" spans="2:47" s="8" customFormat="1">
      <c r="B21" s="8" t="s">
        <v>88</v>
      </c>
      <c r="C21" s="9"/>
      <c r="D21" s="9"/>
      <c r="E21" s="9"/>
      <c r="F21" s="9"/>
      <c r="G21" s="9">
        <v>2783</v>
      </c>
      <c r="H21" s="9">
        <v>2726</v>
      </c>
      <c r="I21" s="9">
        <v>2767</v>
      </c>
      <c r="J21" s="9">
        <v>3048</v>
      </c>
      <c r="K21" s="9">
        <v>2787</v>
      </c>
      <c r="L21" s="9">
        <v>2757</v>
      </c>
      <c r="M21" s="9">
        <v>2731</v>
      </c>
      <c r="N21" s="9">
        <v>2829</v>
      </c>
      <c r="O21" s="8">
        <v>2762</v>
      </c>
      <c r="P21" s="8">
        <v>2718</v>
      </c>
      <c r="Q21" s="8">
        <v>2680</v>
      </c>
      <c r="R21" s="8">
        <v>2689</v>
      </c>
      <c r="S21" s="8">
        <v>2925</v>
      </c>
      <c r="T21" s="8">
        <v>2879</v>
      </c>
      <c r="U21" s="8">
        <f>+Q21</f>
        <v>2680</v>
      </c>
      <c r="V21" s="8">
        <f>+R21</f>
        <v>2689</v>
      </c>
      <c r="AM21" s="8">
        <v>6736</v>
      </c>
      <c r="AN21" s="8">
        <v>9182</v>
      </c>
      <c r="AO21" s="8">
        <v>9744</v>
      </c>
      <c r="AP21" s="8">
        <v>9765</v>
      </c>
      <c r="AQ21" s="8">
        <v>9696</v>
      </c>
      <c r="AR21" s="8">
        <f>SUM(G21:J21)</f>
        <v>11324</v>
      </c>
      <c r="AS21" s="8">
        <f>SUM(K21:N21)</f>
        <v>11104</v>
      </c>
      <c r="AT21" s="8">
        <f>SUM(O21:R21)</f>
        <v>10849</v>
      </c>
      <c r="AU21" s="8">
        <f>SUM(S21:V21)</f>
        <v>11173</v>
      </c>
    </row>
    <row r="22" spans="2:47" s="8" customFormat="1">
      <c r="B22" s="8" t="s">
        <v>87</v>
      </c>
      <c r="C22" s="9"/>
      <c r="D22" s="9"/>
      <c r="E22" s="9"/>
      <c r="F22" s="9"/>
      <c r="G22" s="9">
        <v>654</v>
      </c>
      <c r="H22" s="9">
        <v>654</v>
      </c>
      <c r="I22" s="9">
        <v>672</v>
      </c>
      <c r="J22" s="9">
        <v>762</v>
      </c>
      <c r="K22" s="9">
        <v>697</v>
      </c>
      <c r="L22" s="9">
        <v>684</v>
      </c>
      <c r="M22" s="9">
        <v>782</v>
      </c>
      <c r="N22" s="9">
        <v>654</v>
      </c>
      <c r="O22" s="8">
        <v>628</v>
      </c>
      <c r="P22" s="8">
        <v>643</v>
      </c>
      <c r="Q22" s="8">
        <v>626</v>
      </c>
      <c r="R22" s="8">
        <v>622</v>
      </c>
      <c r="S22" s="8">
        <v>663</v>
      </c>
      <c r="T22" s="8">
        <v>657</v>
      </c>
      <c r="U22" s="8">
        <f>+Q22</f>
        <v>626</v>
      </c>
      <c r="V22" s="8">
        <f>+R22</f>
        <v>622</v>
      </c>
      <c r="AM22" s="8">
        <v>1447</v>
      </c>
      <c r="AN22" s="8">
        <v>2260</v>
      </c>
      <c r="AO22" s="8">
        <v>2300</v>
      </c>
      <c r="AP22" s="8">
        <v>2440</v>
      </c>
      <c r="AQ22" s="8">
        <v>2420</v>
      </c>
      <c r="AR22" s="8">
        <f>SUM(G22:J22)</f>
        <v>2742</v>
      </c>
      <c r="AS22" s="8">
        <f>SUM(K22:N22)</f>
        <v>2817</v>
      </c>
      <c r="AT22" s="8">
        <f>SUM(O22:R22)</f>
        <v>2519</v>
      </c>
      <c r="AU22" s="8">
        <f>SUM(S22:V22)</f>
        <v>2568</v>
      </c>
    </row>
    <row r="23" spans="2:47" s="8" customFormat="1">
      <c r="B23" s="8" t="s">
        <v>86</v>
      </c>
      <c r="C23" s="9"/>
      <c r="D23" s="9"/>
      <c r="E23" s="9"/>
      <c r="F23" s="9"/>
      <c r="G23" s="9">
        <f t="shared" ref="G23:V23" si="13">+G21+G22</f>
        <v>3437</v>
      </c>
      <c r="H23" s="9">
        <f t="shared" si="13"/>
        <v>3380</v>
      </c>
      <c r="I23" s="9">
        <f t="shared" si="13"/>
        <v>3439</v>
      </c>
      <c r="J23" s="9">
        <f t="shared" si="13"/>
        <v>3810</v>
      </c>
      <c r="K23" s="9">
        <f t="shared" si="13"/>
        <v>3484</v>
      </c>
      <c r="L23" s="9">
        <f t="shared" si="13"/>
        <v>3441</v>
      </c>
      <c r="M23" s="9">
        <f t="shared" si="13"/>
        <v>3513</v>
      </c>
      <c r="N23" s="9">
        <f t="shared" si="13"/>
        <v>3483</v>
      </c>
      <c r="O23" s="9">
        <f t="shared" si="13"/>
        <v>3390</v>
      </c>
      <c r="P23" s="8">
        <f t="shared" si="13"/>
        <v>3361</v>
      </c>
      <c r="Q23" s="8">
        <f t="shared" si="13"/>
        <v>3306</v>
      </c>
      <c r="R23" s="8">
        <f t="shared" si="13"/>
        <v>3311</v>
      </c>
      <c r="S23" s="8">
        <f t="shared" si="13"/>
        <v>3588</v>
      </c>
      <c r="T23" s="8">
        <f t="shared" si="13"/>
        <v>3536</v>
      </c>
      <c r="U23" s="8">
        <f t="shared" si="13"/>
        <v>3306</v>
      </c>
      <c r="V23" s="8">
        <f t="shared" si="13"/>
        <v>3311</v>
      </c>
      <c r="AM23" s="9">
        <f t="shared" ref="AM23:AU23" si="14">+AM21+AM22</f>
        <v>8183</v>
      </c>
      <c r="AN23" s="9">
        <f t="shared" si="14"/>
        <v>11442</v>
      </c>
      <c r="AO23" s="9">
        <f t="shared" si="14"/>
        <v>12044</v>
      </c>
      <c r="AP23" s="9">
        <f t="shared" si="14"/>
        <v>12205</v>
      </c>
      <c r="AQ23" s="9">
        <f t="shared" si="14"/>
        <v>12116</v>
      </c>
      <c r="AR23" s="9">
        <f t="shared" si="14"/>
        <v>14066</v>
      </c>
      <c r="AS23" s="9">
        <f t="shared" si="14"/>
        <v>13921</v>
      </c>
      <c r="AT23" s="9">
        <f t="shared" si="14"/>
        <v>13368</v>
      </c>
      <c r="AU23" s="9">
        <f t="shared" si="14"/>
        <v>13741</v>
      </c>
    </row>
    <row r="24" spans="2:47" s="8" customFormat="1">
      <c r="B24" s="8" t="s">
        <v>85</v>
      </c>
      <c r="C24" s="9"/>
      <c r="D24" s="9"/>
      <c r="E24" s="9"/>
      <c r="F24" s="9"/>
      <c r="G24" s="9">
        <f t="shared" ref="G24:V24" si="15">+G20-G23</f>
        <v>2618</v>
      </c>
      <c r="H24" s="9">
        <f t="shared" si="15"/>
        <v>1896</v>
      </c>
      <c r="I24" s="9">
        <f t="shared" si="15"/>
        <v>3066</v>
      </c>
      <c r="J24" s="9">
        <f t="shared" si="15"/>
        <v>2892</v>
      </c>
      <c r="K24" s="9">
        <f t="shared" si="15"/>
        <v>3424</v>
      </c>
      <c r="L24" s="9">
        <f t="shared" si="15"/>
        <v>2883</v>
      </c>
      <c r="M24" s="9">
        <f t="shared" si="15"/>
        <v>2265</v>
      </c>
      <c r="N24" s="9">
        <f t="shared" si="15"/>
        <v>2131</v>
      </c>
      <c r="O24" s="9">
        <f t="shared" si="15"/>
        <v>2055</v>
      </c>
      <c r="P24" s="8">
        <f t="shared" si="15"/>
        <v>2165</v>
      </c>
      <c r="Q24" s="8">
        <f t="shared" si="15"/>
        <v>2278</v>
      </c>
      <c r="R24" s="8">
        <f t="shared" si="15"/>
        <v>2411</v>
      </c>
      <c r="S24" s="8">
        <f t="shared" si="15"/>
        <v>1959</v>
      </c>
      <c r="T24" s="8">
        <f t="shared" si="15"/>
        <v>2273</v>
      </c>
      <c r="U24" s="8">
        <f t="shared" si="15"/>
        <v>2428.6184000000003</v>
      </c>
      <c r="V24" s="8">
        <f t="shared" si="15"/>
        <v>2479.0472000000009</v>
      </c>
      <c r="AM24" s="9">
        <f t="shared" ref="AM24:AU24" si="16">+AM20-AM23</f>
        <v>3576</v>
      </c>
      <c r="AN24" s="9">
        <f t="shared" si="16"/>
        <v>3539</v>
      </c>
      <c r="AO24" s="9">
        <f t="shared" si="16"/>
        <v>5828</v>
      </c>
      <c r="AP24" s="9">
        <f t="shared" si="16"/>
        <v>6468</v>
      </c>
      <c r="AQ24" s="9">
        <f t="shared" si="16"/>
        <v>7489</v>
      </c>
      <c r="AR24" s="9">
        <f t="shared" si="16"/>
        <v>10472</v>
      </c>
      <c r="AS24" s="9">
        <f t="shared" si="16"/>
        <v>10706</v>
      </c>
      <c r="AT24" s="9">
        <f t="shared" si="16"/>
        <v>8909</v>
      </c>
      <c r="AU24" s="9">
        <f t="shared" si="16"/>
        <v>9139.665599999993</v>
      </c>
    </row>
    <row r="25" spans="2:47">
      <c r="B25" s="8" t="s">
        <v>84</v>
      </c>
      <c r="G25" s="7">
        <f>-135+11+61</f>
        <v>-63</v>
      </c>
      <c r="H25" s="7">
        <f>-134+11+79</f>
        <v>-44</v>
      </c>
      <c r="I25" s="7">
        <f>-133+10+74</f>
        <v>-49</v>
      </c>
      <c r="J25" s="7">
        <f>-120+63</f>
        <v>-57</v>
      </c>
      <c r="K25" s="7">
        <f>-131+14+78</f>
        <v>-39</v>
      </c>
      <c r="L25" s="7">
        <f>-132+26+82</f>
        <v>-24</v>
      </c>
      <c r="M25" s="7">
        <f>-141+55+93</f>
        <v>7</v>
      </c>
      <c r="N25" s="9">
        <v>92</v>
      </c>
      <c r="O25" s="3">
        <v>111</v>
      </c>
      <c r="P25" s="3">
        <v>119</v>
      </c>
      <c r="Q25" s="3">
        <v>106</v>
      </c>
      <c r="R25" s="8">
        <v>118</v>
      </c>
      <c r="S25" s="8">
        <v>137</v>
      </c>
      <c r="T25" s="8">
        <v>135</v>
      </c>
      <c r="U25" s="8">
        <f>+T25</f>
        <v>135</v>
      </c>
      <c r="V25" s="8">
        <f>+U25</f>
        <v>135</v>
      </c>
      <c r="AM25" s="3">
        <f>-99+786</f>
        <v>687</v>
      </c>
      <c r="AN25" s="8">
        <f>-904+124-1413</f>
        <v>-2193</v>
      </c>
      <c r="AO25" s="3">
        <f>-826+105+139</f>
        <v>-582</v>
      </c>
      <c r="AP25" s="3">
        <f>-670+94+191</f>
        <v>-385</v>
      </c>
      <c r="AQ25" s="3">
        <f>-546+46+103</f>
        <v>-397</v>
      </c>
      <c r="AR25" s="8">
        <f>SUM(G25:J25)</f>
        <v>-213</v>
      </c>
      <c r="AS25" s="8">
        <f>SUM(K25:N25)</f>
        <v>36</v>
      </c>
      <c r="AT25" s="8">
        <f>SUM(O25:R25)</f>
        <v>454</v>
      </c>
      <c r="AU25" s="8">
        <f>SUM(S25:V25)</f>
        <v>542</v>
      </c>
    </row>
    <row r="26" spans="2:47">
      <c r="B26" s="8" t="s">
        <v>83</v>
      </c>
      <c r="G26" s="9">
        <f t="shared" ref="G26:V26" si="17">+G24+G25</f>
        <v>2555</v>
      </c>
      <c r="H26" s="9">
        <f t="shared" si="17"/>
        <v>1852</v>
      </c>
      <c r="I26" s="9">
        <f t="shared" si="17"/>
        <v>3017</v>
      </c>
      <c r="J26" s="9">
        <f t="shared" si="17"/>
        <v>2835</v>
      </c>
      <c r="K26" s="9">
        <f t="shared" si="17"/>
        <v>3385</v>
      </c>
      <c r="L26" s="9">
        <f t="shared" si="17"/>
        <v>2859</v>
      </c>
      <c r="M26" s="9">
        <f t="shared" si="17"/>
        <v>2272</v>
      </c>
      <c r="N26" s="9">
        <f t="shared" si="17"/>
        <v>2223</v>
      </c>
      <c r="O26" s="9">
        <f t="shared" si="17"/>
        <v>2166</v>
      </c>
      <c r="P26" s="8">
        <f t="shared" si="17"/>
        <v>2284</v>
      </c>
      <c r="Q26" s="8">
        <f t="shared" si="17"/>
        <v>2384</v>
      </c>
      <c r="R26" s="8">
        <f t="shared" si="17"/>
        <v>2529</v>
      </c>
      <c r="S26" s="8">
        <f t="shared" si="17"/>
        <v>2096</v>
      </c>
      <c r="T26" s="8">
        <f t="shared" si="17"/>
        <v>2408</v>
      </c>
      <c r="U26" s="8">
        <f t="shared" si="17"/>
        <v>2563.6184000000003</v>
      </c>
      <c r="V26" s="8">
        <f t="shared" si="17"/>
        <v>2614.0472000000009</v>
      </c>
      <c r="AM26" s="8">
        <f t="shared" ref="AM26:AU26" si="18">+AM24+AM25</f>
        <v>4263</v>
      </c>
      <c r="AN26" s="8">
        <f t="shared" si="18"/>
        <v>1346</v>
      </c>
      <c r="AO26" s="8">
        <f t="shared" si="18"/>
        <v>5246</v>
      </c>
      <c r="AP26" s="8">
        <f t="shared" si="18"/>
        <v>6083</v>
      </c>
      <c r="AQ26" s="8">
        <f t="shared" si="18"/>
        <v>7092</v>
      </c>
      <c r="AR26" s="8">
        <f t="shared" si="18"/>
        <v>10259</v>
      </c>
      <c r="AS26" s="8">
        <f t="shared" si="18"/>
        <v>10742</v>
      </c>
      <c r="AT26" s="8">
        <f t="shared" si="18"/>
        <v>9363</v>
      </c>
      <c r="AU26" s="8">
        <f t="shared" si="18"/>
        <v>9681.665599999993</v>
      </c>
    </row>
    <row r="27" spans="2:47">
      <c r="B27" s="8" t="s">
        <v>64</v>
      </c>
      <c r="G27" s="7">
        <v>250</v>
      </c>
      <c r="H27" s="7">
        <v>159</v>
      </c>
      <c r="I27" s="7">
        <v>393</v>
      </c>
      <c r="J27" s="7">
        <v>398</v>
      </c>
      <c r="K27" s="7">
        <v>429</v>
      </c>
      <c r="L27" s="7">
        <v>334</v>
      </c>
      <c r="M27" s="7">
        <v>323</v>
      </c>
      <c r="N27" s="9">
        <v>360</v>
      </c>
      <c r="O27" s="7">
        <v>295</v>
      </c>
      <c r="P27" s="3">
        <v>309</v>
      </c>
      <c r="Q27" s="3">
        <v>325</v>
      </c>
      <c r="R27" s="3">
        <v>341</v>
      </c>
      <c r="S27" s="3">
        <v>306</v>
      </c>
      <c r="T27" s="3">
        <v>353</v>
      </c>
      <c r="U27" s="8">
        <f>+U26*0.15</f>
        <v>384.54276000000004</v>
      </c>
      <c r="V27" s="8">
        <f>+V26*0.15</f>
        <v>392.10708000000011</v>
      </c>
      <c r="AM27" s="3">
        <v>350</v>
      </c>
      <c r="AN27" s="3">
        <v>0</v>
      </c>
      <c r="AO27" s="3">
        <v>539</v>
      </c>
      <c r="AP27" s="3">
        <v>390</v>
      </c>
      <c r="AQ27" s="3">
        <v>497</v>
      </c>
      <c r="AR27" s="8">
        <f>SUM(G27:J27)</f>
        <v>1200</v>
      </c>
      <c r="AS27" s="8">
        <f>SUM(K27:N27)</f>
        <v>1446</v>
      </c>
      <c r="AT27" s="8">
        <f>SUM(O27:R27)</f>
        <v>1270</v>
      </c>
      <c r="AU27" s="8">
        <f>SUM(S27:V27)</f>
        <v>1435.64984</v>
      </c>
    </row>
    <row r="28" spans="2:47">
      <c r="B28" s="8" t="s">
        <v>82</v>
      </c>
      <c r="G28" s="9">
        <f t="shared" ref="G28:V28" si="19">+G26-G27</f>
        <v>2305</v>
      </c>
      <c r="H28" s="9">
        <f t="shared" si="19"/>
        <v>1693</v>
      </c>
      <c r="I28" s="9">
        <f t="shared" si="19"/>
        <v>2624</v>
      </c>
      <c r="J28" s="9">
        <f t="shared" si="19"/>
        <v>2437</v>
      </c>
      <c r="K28" s="9">
        <f t="shared" si="19"/>
        <v>2956</v>
      </c>
      <c r="L28" s="9">
        <f t="shared" si="19"/>
        <v>2525</v>
      </c>
      <c r="M28" s="9">
        <f t="shared" si="19"/>
        <v>1949</v>
      </c>
      <c r="N28" s="9">
        <f t="shared" si="19"/>
        <v>1863</v>
      </c>
      <c r="O28" s="9">
        <f t="shared" si="19"/>
        <v>1871</v>
      </c>
      <c r="P28" s="8">
        <f t="shared" si="19"/>
        <v>1975</v>
      </c>
      <c r="Q28" s="8">
        <f t="shared" si="19"/>
        <v>2059</v>
      </c>
      <c r="R28" s="8">
        <f t="shared" si="19"/>
        <v>2188</v>
      </c>
      <c r="S28" s="8">
        <f t="shared" si="19"/>
        <v>1790</v>
      </c>
      <c r="T28" s="8">
        <f t="shared" si="19"/>
        <v>2055</v>
      </c>
      <c r="U28" s="8">
        <f t="shared" si="19"/>
        <v>2179.07564</v>
      </c>
      <c r="V28" s="8">
        <f t="shared" si="19"/>
        <v>2221.9401200000007</v>
      </c>
      <c r="AM28" s="8">
        <f t="shared" ref="AM28:AU28" si="20">+AM26-AM27</f>
        <v>3913</v>
      </c>
      <c r="AN28" s="8">
        <f t="shared" si="20"/>
        <v>1346</v>
      </c>
      <c r="AO28" s="8">
        <f t="shared" si="20"/>
        <v>4707</v>
      </c>
      <c r="AP28" s="8">
        <f t="shared" si="20"/>
        <v>5693</v>
      </c>
      <c r="AQ28" s="8">
        <f t="shared" si="20"/>
        <v>6595</v>
      </c>
      <c r="AR28" s="8">
        <f t="shared" si="20"/>
        <v>9059</v>
      </c>
      <c r="AS28" s="8">
        <f t="shared" si="20"/>
        <v>9296</v>
      </c>
      <c r="AT28" s="8">
        <f t="shared" si="20"/>
        <v>8093</v>
      </c>
      <c r="AU28" s="8">
        <f t="shared" si="20"/>
        <v>8246.015759999993</v>
      </c>
    </row>
    <row r="29" spans="2:47">
      <c r="B29" s="8" t="s">
        <v>81</v>
      </c>
      <c r="G29" s="10" t="e">
        <f t="shared" ref="G29:V29" si="21">+G28/G30</f>
        <v>#DIV/0!</v>
      </c>
      <c r="H29" s="10">
        <f t="shared" si="21"/>
        <v>0.94408064779657819</v>
      </c>
      <c r="I29" s="10">
        <f t="shared" si="21"/>
        <v>1.4667420160659677</v>
      </c>
      <c r="J29" s="10">
        <f t="shared" si="21"/>
        <v>1.3675645342312008</v>
      </c>
      <c r="K29" s="10">
        <f t="shared" si="21"/>
        <v>1.6657819313377762</v>
      </c>
      <c r="L29" s="10">
        <f t="shared" si="21"/>
        <v>1.4302197213988626</v>
      </c>
      <c r="M29" s="10">
        <f t="shared" si="21"/>
        <v>1.1050926684557563</v>
      </c>
      <c r="N29" s="10">
        <f t="shared" si="21"/>
        <v>1.0621436716077537</v>
      </c>
      <c r="O29" s="10">
        <f t="shared" si="21"/>
        <v>1.0679223744292237</v>
      </c>
      <c r="P29" s="11">
        <f t="shared" si="21"/>
        <v>1.1279268989149058</v>
      </c>
      <c r="Q29" s="11">
        <f t="shared" si="21"/>
        <v>1.1779176201372998</v>
      </c>
      <c r="R29" s="11">
        <f t="shared" si="21"/>
        <v>1.2517162471395882</v>
      </c>
      <c r="S29" s="11">
        <f t="shared" si="21"/>
        <v>1.0228571428571429</v>
      </c>
      <c r="T29" s="11">
        <f t="shared" si="21"/>
        <v>1.1736150770988008</v>
      </c>
      <c r="U29" s="11">
        <f t="shared" si="21"/>
        <v>1.2444749514563107</v>
      </c>
      <c r="V29" s="11">
        <f t="shared" si="21"/>
        <v>1.268954951456311</v>
      </c>
      <c r="AM29" s="11">
        <f t="shared" ref="AM29:AU29" si="22">+AM28/AM30</f>
        <v>2.6385704652730952</v>
      </c>
      <c r="AN29" s="11">
        <f t="shared" si="22"/>
        <v>0.76958261863922239</v>
      </c>
      <c r="AO29" s="11">
        <f t="shared" si="22"/>
        <v>2.659322033898305</v>
      </c>
      <c r="AP29" s="11">
        <f t="shared" si="22"/>
        <v>3.1965188096574959</v>
      </c>
      <c r="AQ29" s="11">
        <f t="shared" si="22"/>
        <v>3.692609182530795</v>
      </c>
      <c r="AR29" s="11">
        <f t="shared" si="22"/>
        <v>5.0662922391419682</v>
      </c>
      <c r="AS29" s="11">
        <f t="shared" si="22"/>
        <v>5.2686032675428587</v>
      </c>
      <c r="AT29" s="11">
        <f t="shared" si="22"/>
        <v>4.625232176025146</v>
      </c>
      <c r="AU29" s="11">
        <f t="shared" si="22"/>
        <v>4.7099904383835458</v>
      </c>
    </row>
    <row r="30" spans="2:47" s="8" customFormat="1">
      <c r="B30" s="8" t="s">
        <v>80</v>
      </c>
      <c r="C30" s="9"/>
      <c r="D30" s="9"/>
      <c r="E30" s="9"/>
      <c r="F30" s="9"/>
      <c r="G30" s="9"/>
      <c r="H30" s="9">
        <v>1793.279</v>
      </c>
      <c r="I30" s="9">
        <v>1788.999</v>
      </c>
      <c r="J30" s="9">
        <v>1782</v>
      </c>
      <c r="K30" s="9">
        <v>1774.5419999999999</v>
      </c>
      <c r="L30" s="9">
        <v>1765.463</v>
      </c>
      <c r="M30" s="9">
        <v>1763.653</v>
      </c>
      <c r="N30" s="9">
        <v>1754</v>
      </c>
      <c r="O30" s="8">
        <v>1752</v>
      </c>
      <c r="P30" s="8">
        <v>1751</v>
      </c>
      <c r="Q30" s="8">
        <v>1748</v>
      </c>
      <c r="R30" s="8">
        <v>1748</v>
      </c>
      <c r="S30" s="8">
        <v>1750</v>
      </c>
      <c r="T30" s="8">
        <v>1751</v>
      </c>
      <c r="U30" s="8">
        <f>+T30</f>
        <v>1751</v>
      </c>
      <c r="V30" s="8">
        <f>+U30</f>
        <v>1751</v>
      </c>
      <c r="AM30" s="8">
        <v>1483</v>
      </c>
      <c r="AN30" s="8">
        <v>1749</v>
      </c>
      <c r="AO30" s="8">
        <v>1770</v>
      </c>
      <c r="AP30" s="8">
        <v>1781</v>
      </c>
      <c r="AQ30" s="8">
        <v>1786</v>
      </c>
      <c r="AR30" s="8">
        <f>AVERAGE(G30:J30)</f>
        <v>1788.0926666666667</v>
      </c>
      <c r="AS30" s="8">
        <f>AVERAGE(K30:N30)</f>
        <v>1764.4145000000001</v>
      </c>
      <c r="AT30" s="8">
        <f>AVERAGE(O30:R30)</f>
        <v>1749.75</v>
      </c>
      <c r="AU30" s="8">
        <f>AVERAGE(S30:V30)</f>
        <v>1750.75</v>
      </c>
    </row>
    <row r="32" spans="2:47" s="16" customFormat="1" ht="15">
      <c r="B32" s="14" t="s">
        <v>79</v>
      </c>
      <c r="C32" s="17"/>
      <c r="D32" s="17"/>
      <c r="E32" s="17"/>
      <c r="F32" s="17"/>
      <c r="G32" s="17"/>
      <c r="H32" s="17"/>
      <c r="I32" s="17"/>
      <c r="J32" s="17"/>
      <c r="K32" s="18">
        <f>K18/G18-1</f>
        <v>0.13762433052792655</v>
      </c>
      <c r="L32" s="18">
        <f>L18/H18-1</f>
        <v>0.10114447813753302</v>
      </c>
      <c r="M32" s="18">
        <f>M18/I18-1</f>
        <v>-4.767569546120054E-2</v>
      </c>
      <c r="N32" s="18">
        <f>N18/J18-1</f>
        <v>-0.12033484478549006</v>
      </c>
      <c r="O32" s="19">
        <f t="shared" ref="O32:V32" si="23">+O18/K18-1</f>
        <v>-0.18083228247162675</v>
      </c>
      <c r="P32" s="19">
        <f t="shared" si="23"/>
        <v>-0.11388469396819756</v>
      </c>
      <c r="Q32" s="19">
        <f t="shared" si="23"/>
        <v>-2.57518977611223E-2</v>
      </c>
      <c r="R32" s="19">
        <f t="shared" si="23"/>
        <v>1.4770023790642295E-2</v>
      </c>
      <c r="S32" s="19">
        <f t="shared" si="23"/>
        <v>2.2557471264367912E-2</v>
      </c>
      <c r="T32" s="19">
        <f t="shared" si="23"/>
        <v>3.9899749373433657E-2</v>
      </c>
      <c r="U32" s="19">
        <f t="shared" si="23"/>
        <v>1.0000000000000009E-2</v>
      </c>
      <c r="V32" s="19">
        <f t="shared" si="23"/>
        <v>1.0000000000000009E-2</v>
      </c>
      <c r="AL32" s="19">
        <f t="shared" ref="AL32:AU32" si="24">+AL18/AK18-1</f>
        <v>7.8036252284288121E-3</v>
      </c>
      <c r="AM32" s="19">
        <f t="shared" si="24"/>
        <v>2.1955403087478453E-2</v>
      </c>
      <c r="AN32" s="19">
        <f t="shared" si="24"/>
        <v>0.31348007480938</v>
      </c>
      <c r="AO32" s="19">
        <f t="shared" si="24"/>
        <v>0.11639284410368744</v>
      </c>
      <c r="AP32" s="19">
        <f t="shared" si="24"/>
        <v>4.3364510432337022E-2</v>
      </c>
      <c r="AQ32" s="19">
        <f t="shared" si="24"/>
        <v>8.4754262788365065E-2</v>
      </c>
      <c r="AR32" s="19">
        <f t="shared" si="24"/>
        <v>0.2446544151641239</v>
      </c>
      <c r="AS32" s="19">
        <f t="shared" si="24"/>
        <v>1.3348810214741658E-2</v>
      </c>
      <c r="AT32" s="19">
        <f t="shared" si="24"/>
        <v>-8.1443298969072209E-2</v>
      </c>
      <c r="AU32" s="19">
        <f t="shared" si="24"/>
        <v>2.0490335453298147E-2</v>
      </c>
    </row>
    <row r="33" spans="2:47">
      <c r="B33" s="8" t="s">
        <v>78</v>
      </c>
      <c r="G33" s="12">
        <f t="shared" ref="G33:V33" si="25">+G20/G18</f>
        <v>0.57909334353481257</v>
      </c>
      <c r="H33" s="12">
        <f t="shared" si="25"/>
        <v>0.51609116697642565</v>
      </c>
      <c r="I33" s="12">
        <f t="shared" si="25"/>
        <v>0.59525988286969256</v>
      </c>
      <c r="J33" s="12">
        <f t="shared" si="25"/>
        <v>0.58440878967561916</v>
      </c>
      <c r="K33" s="12">
        <f t="shared" si="25"/>
        <v>0.58074821353509876</v>
      </c>
      <c r="L33" s="12">
        <f t="shared" si="25"/>
        <v>0.56178377898196674</v>
      </c>
      <c r="M33" s="12">
        <f t="shared" si="25"/>
        <v>0.55520322859613724</v>
      </c>
      <c r="N33" s="12">
        <f t="shared" si="25"/>
        <v>0.55650277557494054</v>
      </c>
      <c r="O33" s="13">
        <f t="shared" si="25"/>
        <v>0.55880541871921185</v>
      </c>
      <c r="P33" s="13">
        <f t="shared" si="25"/>
        <v>0.55398496240601502</v>
      </c>
      <c r="Q33" s="13">
        <f t="shared" si="25"/>
        <v>0.55074464937370549</v>
      </c>
      <c r="R33" s="13">
        <f t="shared" si="25"/>
        <v>0.55895281820845955</v>
      </c>
      <c r="S33" s="13">
        <f t="shared" si="25"/>
        <v>0.55671530942010072</v>
      </c>
      <c r="T33" s="13">
        <f t="shared" si="25"/>
        <v>0.56001156849513156</v>
      </c>
      <c r="U33" s="13">
        <f t="shared" si="25"/>
        <v>0.56000000000000005</v>
      </c>
      <c r="V33" s="13">
        <f t="shared" si="25"/>
        <v>0.56000000000000005</v>
      </c>
      <c r="AM33" s="13">
        <f t="shared" ref="AM33:AU33" si="26">+AM20/AM18</f>
        <v>0.56389967870330404</v>
      </c>
      <c r="AN33" s="13">
        <f t="shared" si="26"/>
        <v>0.54695144213216507</v>
      </c>
      <c r="AO33" s="13">
        <f t="shared" si="26"/>
        <v>0.58447249656615863</v>
      </c>
      <c r="AP33" s="13">
        <f t="shared" si="26"/>
        <v>0.58528711133400202</v>
      </c>
      <c r="AQ33" s="13">
        <f t="shared" si="26"/>
        <v>0.56648751733703195</v>
      </c>
      <c r="AR33" s="13">
        <f t="shared" si="26"/>
        <v>0.56965757399883921</v>
      </c>
      <c r="AS33" s="13">
        <f t="shared" si="26"/>
        <v>0.56419243986254297</v>
      </c>
      <c r="AT33" s="13">
        <f t="shared" si="26"/>
        <v>0.55560543708691856</v>
      </c>
      <c r="AU33" s="13">
        <f t="shared" si="26"/>
        <v>0.55920306105889639</v>
      </c>
    </row>
    <row r="35" spans="2:47">
      <c r="B35" s="3" t="s">
        <v>77</v>
      </c>
      <c r="M35" s="9">
        <f>+M36-M50</f>
        <v>-5743</v>
      </c>
    </row>
    <row r="36" spans="2:47" s="8" customFormat="1">
      <c r="B36" s="8" t="s">
        <v>76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f>9594+313+764</f>
        <v>10671</v>
      </c>
      <c r="N36" s="9"/>
    </row>
    <row r="37" spans="2:47" s="8" customFormat="1">
      <c r="B37" s="8" t="s">
        <v>75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6408</v>
      </c>
      <c r="N37" s="9"/>
    </row>
    <row r="38" spans="2:47" s="8" customFormat="1">
      <c r="B38" s="8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5734</v>
      </c>
      <c r="N38" s="9"/>
    </row>
    <row r="39" spans="2:47" s="8" customFormat="1">
      <c r="B39" s="8" t="s">
        <v>73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2796</v>
      </c>
      <c r="N39" s="9"/>
    </row>
    <row r="40" spans="2:47" s="8" customFormat="1">
      <c r="B40" s="8" t="s">
        <v>72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8689</v>
      </c>
      <c r="N40" s="9"/>
    </row>
    <row r="41" spans="2:47" s="8" customFormat="1">
      <c r="B41" s="8" t="s">
        <v>71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>
        <f>10850+22284</f>
        <v>33134</v>
      </c>
      <c r="N41" s="9"/>
    </row>
    <row r="42" spans="2:47" s="8" customFormat="1">
      <c r="B42" s="8" t="s">
        <v>70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5369</v>
      </c>
      <c r="N42" s="9"/>
    </row>
    <row r="43" spans="2:47" s="8" customFormat="1">
      <c r="B43" s="8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f>SUM(M36:M42)</f>
        <v>72801</v>
      </c>
      <c r="N43" s="9"/>
    </row>
    <row r="44" spans="2:47" s="8" customFormat="1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47" s="8" customFormat="1">
      <c r="B45" s="8" t="s">
        <v>68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4133</v>
      </c>
      <c r="N45" s="9"/>
    </row>
    <row r="46" spans="2:47" s="8" customFormat="1">
      <c r="B46" s="8" t="s">
        <v>67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>
        <v>1426</v>
      </c>
      <c r="N46" s="9"/>
    </row>
    <row r="47" spans="2:47" s="8" customFormat="1">
      <c r="B47" s="8" t="s">
        <v>66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5475</v>
      </c>
      <c r="N47" s="9"/>
    </row>
    <row r="48" spans="2:47" s="8" customFormat="1">
      <c r="B48" s="8" t="s">
        <v>65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f>820</f>
        <v>820</v>
      </c>
      <c r="N48" s="9"/>
    </row>
    <row r="49" spans="2:14" s="8" customFormat="1">
      <c r="B49" s="8" t="s">
        <v>64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394</v>
      </c>
      <c r="N49" s="9"/>
    </row>
    <row r="50" spans="2:14" s="8" customFormat="1">
      <c r="B50" s="8" t="s">
        <v>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>
        <f>1117+15297</f>
        <v>16414</v>
      </c>
      <c r="N50" s="9"/>
    </row>
    <row r="51" spans="2:14" s="8" customFormat="1">
      <c r="B51" s="8" t="s">
        <v>63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8255</v>
      </c>
      <c r="N51" s="9"/>
    </row>
    <row r="52" spans="2:14" s="8" customFormat="1">
      <c r="B52" s="8" t="s">
        <v>62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f>35884</f>
        <v>35884</v>
      </c>
      <c r="N52" s="9"/>
    </row>
    <row r="53" spans="2:14" s="8" customFormat="1">
      <c r="B53" s="8" t="s">
        <v>61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f>SUM(M45:M52)</f>
        <v>72801</v>
      </c>
      <c r="N53" s="9"/>
    </row>
  </sheetData>
  <pageMargins left="0.7" right="0.7" top="0.75" bottom="0.75" header="0.3" footer="0.3"/>
  <ignoredErrors>
    <ignoredError sqref="AR3:AU17 AR27:AU30" formulaRange="1"/>
    <ignoredError sqref="AR18:AU26" formula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BFCA-4E0B-4279-9473-C648D951BFDF}">
  <dimension ref="H1"/>
  <sheetViews>
    <sheetView workbookViewId="0">
      <selection activeCell="E20" sqref="E20"/>
    </sheetView>
  </sheetViews>
  <sheetFormatPr defaultRowHeight="15"/>
  <cols>
    <col min="8" max="8" width="3.28515625" customWidth="1"/>
  </cols>
  <sheetData>
    <row r="1" spans="8:8">
      <c r="H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2025-05-10T09:02:14Z</dcterms:modified>
</cp:coreProperties>
</file>