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5340D3-D533-4E95-971E-5710198F3D30}" xr6:coauthVersionLast="47" xr6:coauthVersionMax="47" xr10:uidLastSave="{00000000-0000-0000-0000-000000000000}"/>
  <bookViews>
    <workbookView xWindow="28680" yWindow="-120" windowWidth="29040" windowHeight="15720" activeTab="1" xr2:uid="{AE47EA50-A1C9-422B-BA52-17EB40FFC9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0" i="2"/>
  <c r="E13" i="2"/>
  <c r="E10" i="2"/>
  <c r="D13" i="2"/>
  <c r="D10" i="2"/>
  <c r="C13" i="2"/>
  <c r="C10" i="2"/>
  <c r="C26" i="2"/>
  <c r="C11" i="2"/>
  <c r="C5" i="2"/>
  <c r="C7" i="2" s="1"/>
  <c r="D26" i="2"/>
  <c r="D11" i="2"/>
  <c r="D5" i="2"/>
  <c r="D7" i="2" s="1"/>
  <c r="E26" i="2"/>
  <c r="E11" i="2"/>
  <c r="E5" i="2"/>
  <c r="E7" i="2" s="1"/>
  <c r="F26" i="2"/>
  <c r="F11" i="2"/>
  <c r="F5" i="2"/>
  <c r="F7" i="2" s="1"/>
  <c r="H13" i="2"/>
  <c r="H10" i="2"/>
  <c r="H11" i="2" s="1"/>
  <c r="I13" i="2"/>
  <c r="I10" i="2"/>
  <c r="I11" i="2" s="1"/>
  <c r="G13" i="2"/>
  <c r="G10" i="2"/>
  <c r="G11" i="2" s="1"/>
  <c r="G26" i="2"/>
  <c r="G5" i="2"/>
  <c r="G7" i="2" s="1"/>
  <c r="H26" i="2"/>
  <c r="H5" i="2"/>
  <c r="H7" i="2" s="1"/>
  <c r="I26" i="2"/>
  <c r="I5" i="2"/>
  <c r="I7" i="2" s="1"/>
  <c r="J13" i="2"/>
  <c r="J10" i="2"/>
  <c r="J11" i="2" s="1"/>
  <c r="J26" i="2"/>
  <c r="J5" i="2"/>
  <c r="J7" i="2" s="1"/>
  <c r="K13" i="2"/>
  <c r="K10" i="2"/>
  <c r="K11" i="2" s="1"/>
  <c r="K26" i="2"/>
  <c r="K5" i="2"/>
  <c r="K7" i="2" s="1"/>
  <c r="L13" i="2"/>
  <c r="L10" i="2"/>
  <c r="L11" i="2" s="1"/>
  <c r="L26" i="2"/>
  <c r="L5" i="2"/>
  <c r="L7" i="2" s="1"/>
  <c r="M13" i="2"/>
  <c r="M10" i="2"/>
  <c r="M11" i="2" s="1"/>
  <c r="M26" i="2"/>
  <c r="M5" i="2"/>
  <c r="M7" i="2" s="1"/>
  <c r="N13" i="2"/>
  <c r="N10" i="2"/>
  <c r="N11" i="2" s="1"/>
  <c r="N26" i="2"/>
  <c r="N5" i="2"/>
  <c r="N7" i="2" s="1"/>
  <c r="O13" i="2"/>
  <c r="O10" i="2"/>
  <c r="O11" i="2" s="1"/>
  <c r="O26" i="2"/>
  <c r="O5" i="2"/>
  <c r="O7" i="2" s="1"/>
  <c r="P13" i="2"/>
  <c r="P10" i="2"/>
  <c r="P11" i="2" s="1"/>
  <c r="P26" i="2"/>
  <c r="P5" i="2"/>
  <c r="P7" i="2" s="1"/>
  <c r="Q13" i="2"/>
  <c r="Q10" i="2"/>
  <c r="Q11" i="2" s="1"/>
  <c r="Q26" i="2"/>
  <c r="Q5" i="2"/>
  <c r="Q7" i="2" s="1"/>
  <c r="R13" i="2"/>
  <c r="R10" i="2"/>
  <c r="R11" i="2" s="1"/>
  <c r="R26" i="2"/>
  <c r="R5" i="2"/>
  <c r="R7" i="2" s="1"/>
  <c r="U26" i="2"/>
  <c r="T26" i="2"/>
  <c r="S26" i="2"/>
  <c r="M6" i="1"/>
  <c r="M7" i="1"/>
  <c r="U13" i="2"/>
  <c r="T13" i="2"/>
  <c r="S13" i="2"/>
  <c r="U10" i="2"/>
  <c r="U11" i="2" s="1"/>
  <c r="T10" i="2"/>
  <c r="T11" i="2" s="1"/>
  <c r="S10" i="2"/>
  <c r="S11" i="2" s="1"/>
  <c r="U5" i="2"/>
  <c r="U7" i="2" s="1"/>
  <c r="U21" i="2" s="1"/>
  <c r="T5" i="2"/>
  <c r="T7" i="2" s="1"/>
  <c r="T21" i="2" s="1"/>
  <c r="S5" i="2"/>
  <c r="S7" i="2" s="1"/>
  <c r="S21" i="2" s="1"/>
  <c r="M4" i="1"/>
  <c r="C21" i="2" l="1"/>
  <c r="C12" i="2"/>
  <c r="C14" i="2" s="1"/>
  <c r="C16" i="2" s="1"/>
  <c r="C17" i="2" s="1"/>
  <c r="D21" i="2"/>
  <c r="D12" i="2"/>
  <c r="D14" i="2" s="1"/>
  <c r="D16" i="2" s="1"/>
  <c r="D17" i="2" s="1"/>
  <c r="E21" i="2"/>
  <c r="E12" i="2"/>
  <c r="E14" i="2" s="1"/>
  <c r="E16" i="2" s="1"/>
  <c r="E17" i="2" s="1"/>
  <c r="F21" i="2"/>
  <c r="F12" i="2"/>
  <c r="F14" i="2" s="1"/>
  <c r="F16" i="2" s="1"/>
  <c r="F17" i="2" s="1"/>
  <c r="G12" i="2"/>
  <c r="G14" i="2" s="1"/>
  <c r="G16" i="2" s="1"/>
  <c r="G17" i="2" s="1"/>
  <c r="G21" i="2"/>
  <c r="H12" i="2"/>
  <c r="H14" i="2" s="1"/>
  <c r="H16" i="2" s="1"/>
  <c r="H17" i="2" s="1"/>
  <c r="H21" i="2"/>
  <c r="I21" i="2"/>
  <c r="I12" i="2"/>
  <c r="I14" i="2" s="1"/>
  <c r="I16" i="2" s="1"/>
  <c r="I17" i="2" s="1"/>
  <c r="J21" i="2"/>
  <c r="J12" i="2"/>
  <c r="J14" i="2" s="1"/>
  <c r="J16" i="2" s="1"/>
  <c r="J17" i="2" s="1"/>
  <c r="K21" i="2"/>
  <c r="K12" i="2"/>
  <c r="K14" i="2" s="1"/>
  <c r="K16" i="2" s="1"/>
  <c r="K17" i="2" s="1"/>
  <c r="L12" i="2"/>
  <c r="L14" i="2" s="1"/>
  <c r="L16" i="2" s="1"/>
  <c r="L17" i="2" s="1"/>
  <c r="L21" i="2"/>
  <c r="M12" i="2"/>
  <c r="M14" i="2" s="1"/>
  <c r="M16" i="2" s="1"/>
  <c r="M17" i="2" s="1"/>
  <c r="M21" i="2"/>
  <c r="N21" i="2"/>
  <c r="N12" i="2"/>
  <c r="N14" i="2" s="1"/>
  <c r="N16" i="2" s="1"/>
  <c r="N17" i="2" s="1"/>
  <c r="O21" i="2"/>
  <c r="O12" i="2"/>
  <c r="O14" i="2" s="1"/>
  <c r="O16" i="2" s="1"/>
  <c r="O17" i="2" s="1"/>
  <c r="P21" i="2"/>
  <c r="P12" i="2"/>
  <c r="P14" i="2" s="1"/>
  <c r="P16" i="2" s="1"/>
  <c r="P17" i="2" s="1"/>
  <c r="Q21" i="2"/>
  <c r="Q12" i="2"/>
  <c r="Q14" i="2" s="1"/>
  <c r="Q16" i="2" s="1"/>
  <c r="Q17" i="2" s="1"/>
  <c r="S12" i="2"/>
  <c r="S14" i="2" s="1"/>
  <c r="S16" i="2" s="1"/>
  <c r="S17" i="2" s="1"/>
  <c r="T12" i="2"/>
  <c r="T14" i="2" s="1"/>
  <c r="T16" i="2" s="1"/>
  <c r="T17" i="2" s="1"/>
  <c r="R21" i="2"/>
  <c r="R12" i="2"/>
  <c r="R14" i="2" s="1"/>
  <c r="R16" i="2" s="1"/>
  <c r="R17" i="2" s="1"/>
  <c r="U12" i="2"/>
  <c r="U14" i="2" s="1"/>
  <c r="U16" i="2" s="1"/>
  <c r="U17" i="2" s="1"/>
</calcChain>
</file>

<file path=xl/sharedStrings.xml><?xml version="1.0" encoding="utf-8"?>
<sst xmlns="http://schemas.openxmlformats.org/spreadsheetml/2006/main" count="67" uniqueCount="63">
  <si>
    <t>Price</t>
  </si>
  <si>
    <t>Shares</t>
  </si>
  <si>
    <t>MC</t>
  </si>
  <si>
    <t>Cash</t>
  </si>
  <si>
    <t>Debt</t>
  </si>
  <si>
    <t>EV</t>
  </si>
  <si>
    <t>Founder</t>
  </si>
  <si>
    <t>Construction</t>
  </si>
  <si>
    <t>Asphalt pavers</t>
  </si>
  <si>
    <t>Backhoe Loaders</t>
  </si>
  <si>
    <t>Cold Planers</t>
  </si>
  <si>
    <t>Compactors</t>
  </si>
  <si>
    <t>Compact Track Loaders</t>
  </si>
  <si>
    <t>Forestry Machines</t>
  </si>
  <si>
    <t>Material Handlers</t>
  </si>
  <si>
    <t>Motor Graders</t>
  </si>
  <si>
    <t>Pipelayers</t>
  </si>
  <si>
    <t>Road Reclaimers</t>
  </si>
  <si>
    <t>Skid Steer Loaders</t>
  </si>
  <si>
    <t>Telehandlers</t>
  </si>
  <si>
    <t>Track-type Loaders</t>
  </si>
  <si>
    <t>Track Excavators</t>
  </si>
  <si>
    <t>Wheel Excavators</t>
  </si>
  <si>
    <t>Wheel Roaders</t>
  </si>
  <si>
    <t>Resources</t>
  </si>
  <si>
    <t>Electric Rope Shovels</t>
  </si>
  <si>
    <t>Draglines</t>
  </si>
  <si>
    <t>Hydraulic Shovels</t>
  </si>
  <si>
    <t>Rotary Drills</t>
  </si>
  <si>
    <t>Hard Rock Vehicles</t>
  </si>
  <si>
    <t>Large Track-Type Tractors</t>
  </si>
  <si>
    <t>Large Mining Trucks</t>
  </si>
  <si>
    <t>Large Wheel Loaders</t>
  </si>
  <si>
    <t>Off-Highway Trucks</t>
  </si>
  <si>
    <t>Wide-body Trucks</t>
  </si>
  <si>
    <t>Articulated Trucks</t>
  </si>
  <si>
    <t>Wheel Tractor Scrapers</t>
  </si>
  <si>
    <t>Wheel Dozers</t>
  </si>
  <si>
    <t>Fleet Management</t>
  </si>
  <si>
    <t>Soil Compactors</t>
  </si>
  <si>
    <t>Landfill Compactors</t>
  </si>
  <si>
    <t>Machinery Components</t>
  </si>
  <si>
    <t>Machinery</t>
  </si>
  <si>
    <t>Financial</t>
  </si>
  <si>
    <t>Revenues</t>
  </si>
  <si>
    <t>COGS</t>
  </si>
  <si>
    <t>Gross Margin</t>
  </si>
  <si>
    <t>Gross Profit</t>
  </si>
  <si>
    <t>SG&amp;A</t>
  </si>
  <si>
    <t>R&amp;D</t>
  </si>
  <si>
    <t>Operating Expenses</t>
  </si>
  <si>
    <t>Interest Expense</t>
  </si>
  <si>
    <t>Operating Income</t>
  </si>
  <si>
    <t>Interest+Other</t>
  </si>
  <si>
    <t>Pretax Income</t>
  </si>
  <si>
    <t>Taxes</t>
  </si>
  <si>
    <t>Net Income</t>
  </si>
  <si>
    <t>EPS</t>
  </si>
  <si>
    <t>Q424</t>
  </si>
  <si>
    <t>CFFO</t>
  </si>
  <si>
    <t>CX</t>
  </si>
  <si>
    <t>FCF</t>
  </si>
  <si>
    <t>Heavy Machinery/Industrials, Semi's/Equipment, and some financials are incredibly cyclical with their earnings and 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</si>
</sst>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Model!$C$2:$U$2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Model!$C$26:$U$26</c:f>
              <c:numCache>
                <c:formatCode>#,##0</c:formatCode>
                <c:ptCount val="19"/>
                <c:pt idx="0">
                  <c:v>4206</c:v>
                </c:pt>
                <c:pt idx="1">
                  <c:v>6235</c:v>
                </c:pt>
                <c:pt idx="2">
                  <c:v>2342</c:v>
                </c:pt>
                <c:pt idx="3">
                  <c:v>4995</c:v>
                </c:pt>
                <c:pt idx="4">
                  <c:v>3434</c:v>
                </c:pt>
                <c:pt idx="5">
                  <c:v>4495</c:v>
                </c:pt>
                <c:pt idx="6">
                  <c:v>1891</c:v>
                </c:pt>
                <c:pt idx="7">
                  <c:v>7669</c:v>
                </c:pt>
                <c:pt idx="8">
                  <c:v>6518</c:v>
                </c:pt>
                <c:pt idx="9">
                  <c:v>5311</c:v>
                </c:pt>
                <c:pt idx="10">
                  <c:v>4530</c:v>
                </c:pt>
                <c:pt idx="11">
                  <c:v>4808</c:v>
                </c:pt>
                <c:pt idx="12">
                  <c:v>5282</c:v>
                </c:pt>
                <c:pt idx="13">
                  <c:v>5856</c:v>
                </c:pt>
                <c:pt idx="14">
                  <c:v>5349</c:v>
                </c:pt>
                <c:pt idx="15">
                  <c:v>6105</c:v>
                </c:pt>
                <c:pt idx="16">
                  <c:v>6470</c:v>
                </c:pt>
                <c:pt idx="17">
                  <c:v>11288</c:v>
                </c:pt>
                <c:pt idx="18">
                  <c:v>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A-4C84-AB8E-55446598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849727"/>
        <c:axId val="403191839"/>
      </c:lineChart>
      <c:catAx>
        <c:axId val="13168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1839"/>
        <c:crosses val="autoZero"/>
        <c:auto val="1"/>
        <c:lblAlgn val="ctr"/>
        <c:lblOffset val="100"/>
        <c:noMultiLvlLbl val="0"/>
      </c:catAx>
      <c:valAx>
        <c:axId val="4031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4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705970</xdr:colOff>
      <xdr:row>27</xdr:row>
      <xdr:rowOff>0</xdr:rowOff>
    </xdr:from>
    <xdr:to>
      <xdr:col>21</xdr:col>
      <xdr:colOff>123265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87FB7-724E-42DD-B44C-737C3287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D7E9-F398-48FC-9F4B-974E055F0861}">
  <dimension ref="B2:N38"/>
  <sheetViews>
    <sheetView zoomScale="115" zoomScaleNormal="115" workbookViewId="0">
      <selection activeCell="F20" sqref="F20"/>
    </sheetView>
  </sheetViews>
  <sheetFormatPr defaultColWidth="8.7109375" defaultRowHeight="12.75" x14ac:dyDescent="0.2"/>
  <cols>
    <col min="1" max="16384" width="8.7109375" style="1"/>
  </cols>
  <sheetData>
    <row r="2" spans="2:14" x14ac:dyDescent="0.2">
      <c r="B2" s="4" t="s">
        <v>7</v>
      </c>
      <c r="L2" s="1" t="s">
        <v>0</v>
      </c>
      <c r="M2" s="2">
        <v>325</v>
      </c>
    </row>
    <row r="3" spans="2:14" x14ac:dyDescent="0.2">
      <c r="B3" s="1" t="s">
        <v>8</v>
      </c>
      <c r="L3" s="1" t="s">
        <v>1</v>
      </c>
      <c r="M3" s="3">
        <v>477.93202400000001</v>
      </c>
      <c r="N3" s="7" t="s">
        <v>58</v>
      </c>
    </row>
    <row r="4" spans="2:14" x14ac:dyDescent="0.2">
      <c r="B4" s="1" t="s">
        <v>9</v>
      </c>
      <c r="L4" s="1" t="s">
        <v>2</v>
      </c>
      <c r="M4" s="3">
        <f>+M2*M3</f>
        <v>155327.90780000002</v>
      </c>
    </row>
    <row r="5" spans="2:14" x14ac:dyDescent="0.2">
      <c r="B5" s="1" t="s">
        <v>10</v>
      </c>
      <c r="L5" s="1" t="s">
        <v>3</v>
      </c>
      <c r="M5" s="3">
        <v>6889</v>
      </c>
      <c r="N5" s="7" t="s">
        <v>58</v>
      </c>
    </row>
    <row r="6" spans="2:14" x14ac:dyDescent="0.2">
      <c r="B6" s="1" t="s">
        <v>11</v>
      </c>
      <c r="L6" s="1" t="s">
        <v>4</v>
      </c>
      <c r="M6" s="3">
        <f>8564+46</f>
        <v>8610</v>
      </c>
      <c r="N6" s="7" t="s">
        <v>58</v>
      </c>
    </row>
    <row r="7" spans="2:14" x14ac:dyDescent="0.2">
      <c r="B7" s="1" t="s">
        <v>12</v>
      </c>
      <c r="L7" s="1" t="s">
        <v>5</v>
      </c>
      <c r="M7" s="3">
        <f>+M4-M5+M6</f>
        <v>157048.90780000002</v>
      </c>
    </row>
    <row r="8" spans="2:14" x14ac:dyDescent="0.2">
      <c r="B8" s="1" t="s">
        <v>13</v>
      </c>
    </row>
    <row r="9" spans="2:14" x14ac:dyDescent="0.2">
      <c r="B9" s="1" t="s">
        <v>14</v>
      </c>
    </row>
    <row r="10" spans="2:14" x14ac:dyDescent="0.2">
      <c r="B10" s="1" t="s">
        <v>15</v>
      </c>
      <c r="L10" s="1" t="s">
        <v>6</v>
      </c>
      <c r="M10" s="1">
        <v>1925</v>
      </c>
    </row>
    <row r="11" spans="2:14" x14ac:dyDescent="0.2">
      <c r="B11" s="1" t="s">
        <v>16</v>
      </c>
    </row>
    <row r="12" spans="2:14" x14ac:dyDescent="0.2">
      <c r="B12" s="1" t="s">
        <v>17</v>
      </c>
    </row>
    <row r="13" spans="2:14" x14ac:dyDescent="0.2">
      <c r="B13" s="1" t="s">
        <v>18</v>
      </c>
    </row>
    <row r="14" spans="2:14" x14ac:dyDescent="0.2">
      <c r="B14" s="1" t="s">
        <v>19</v>
      </c>
    </row>
    <row r="15" spans="2:14" x14ac:dyDescent="0.2">
      <c r="B15" s="1" t="s">
        <v>20</v>
      </c>
    </row>
    <row r="16" spans="2:14" x14ac:dyDescent="0.2">
      <c r="B16" s="1" t="s">
        <v>21</v>
      </c>
    </row>
    <row r="17" spans="2:2" x14ac:dyDescent="0.2">
      <c r="B17" s="1" t="s">
        <v>22</v>
      </c>
    </row>
    <row r="18" spans="2:2" x14ac:dyDescent="0.2">
      <c r="B18" s="1" t="s">
        <v>23</v>
      </c>
    </row>
    <row r="20" spans="2:2" x14ac:dyDescent="0.2">
      <c r="B20" s="4" t="s">
        <v>24</v>
      </c>
    </row>
    <row r="21" spans="2:2" x14ac:dyDescent="0.2">
      <c r="B21" s="1" t="s">
        <v>25</v>
      </c>
    </row>
    <row r="22" spans="2:2" x14ac:dyDescent="0.2">
      <c r="B22" s="1" t="s">
        <v>26</v>
      </c>
    </row>
    <row r="23" spans="2:2" x14ac:dyDescent="0.2">
      <c r="B23" s="1" t="s">
        <v>27</v>
      </c>
    </row>
    <row r="24" spans="2:2" x14ac:dyDescent="0.2">
      <c r="B24" s="1" t="s">
        <v>28</v>
      </c>
    </row>
    <row r="25" spans="2:2" x14ac:dyDescent="0.2">
      <c r="B25" s="1" t="s">
        <v>29</v>
      </c>
    </row>
    <row r="26" spans="2:2" x14ac:dyDescent="0.2">
      <c r="B26" s="1" t="s">
        <v>30</v>
      </c>
    </row>
    <row r="27" spans="2:2" x14ac:dyDescent="0.2">
      <c r="B27" s="1" t="s">
        <v>31</v>
      </c>
    </row>
    <row r="28" spans="2:2" x14ac:dyDescent="0.2">
      <c r="B28" s="1" t="s">
        <v>32</v>
      </c>
    </row>
    <row r="29" spans="2:2" x14ac:dyDescent="0.2">
      <c r="B29" s="1" t="s">
        <v>33</v>
      </c>
    </row>
    <row r="30" spans="2:2" x14ac:dyDescent="0.2">
      <c r="B30" s="1" t="s">
        <v>34</v>
      </c>
    </row>
    <row r="31" spans="2:2" x14ac:dyDescent="0.2">
      <c r="B31" s="1" t="s">
        <v>35</v>
      </c>
    </row>
    <row r="32" spans="2:2" x14ac:dyDescent="0.2">
      <c r="B32" s="1" t="s">
        <v>36</v>
      </c>
    </row>
    <row r="33" spans="2:2" x14ac:dyDescent="0.2">
      <c r="B33" s="1" t="s">
        <v>37</v>
      </c>
    </row>
    <row r="34" spans="2:2" x14ac:dyDescent="0.2">
      <c r="B34" s="1" t="s">
        <v>38</v>
      </c>
    </row>
    <row r="35" spans="2:2" x14ac:dyDescent="0.2">
      <c r="B35" s="1" t="s">
        <v>40</v>
      </c>
    </row>
    <row r="36" spans="2:2" x14ac:dyDescent="0.2">
      <c r="B36" s="1" t="s">
        <v>39</v>
      </c>
    </row>
    <row r="37" spans="2:2" x14ac:dyDescent="0.2">
      <c r="B37" s="1" t="s">
        <v>41</v>
      </c>
    </row>
    <row r="38" spans="2:2" x14ac:dyDescent="0.2">
      <c r="B38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382A-E853-4D20-B258-2123FE60C7FD}">
  <dimension ref="A1:U5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7109375" defaultRowHeight="12.75" x14ac:dyDescent="0.2"/>
  <cols>
    <col min="1" max="1" width="4.5703125" style="1" bestFit="1" customWidth="1"/>
    <col min="2" max="2" width="17.42578125" style="1" customWidth="1"/>
    <col min="3" max="16384" width="8.7109375" style="1"/>
  </cols>
  <sheetData>
    <row r="1" spans="1:21" x14ac:dyDescent="0.2">
      <c r="A1" s="8"/>
    </row>
    <row r="2" spans="1:21" x14ac:dyDescent="0.2"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>
        <v>2014</v>
      </c>
      <c r="L2" s="1">
        <v>2015</v>
      </c>
      <c r="M2" s="1">
        <v>2016</v>
      </c>
      <c r="N2" s="1">
        <v>2017</v>
      </c>
      <c r="O2" s="1">
        <v>2018</v>
      </c>
      <c r="P2" s="1">
        <v>2019</v>
      </c>
      <c r="Q2" s="1">
        <v>2020</v>
      </c>
      <c r="R2" s="1">
        <v>2021</v>
      </c>
      <c r="S2" s="1">
        <v>2022</v>
      </c>
      <c r="T2" s="1">
        <v>2023</v>
      </c>
      <c r="U2" s="1">
        <v>2024</v>
      </c>
    </row>
    <row r="3" spans="1:21" s="3" customFormat="1" x14ac:dyDescent="0.2">
      <c r="B3" s="3" t="s">
        <v>42</v>
      </c>
      <c r="C3" s="3">
        <v>38869</v>
      </c>
      <c r="D3" s="3">
        <v>41962</v>
      </c>
      <c r="E3" s="3">
        <v>48044</v>
      </c>
      <c r="F3" s="3">
        <v>29540</v>
      </c>
      <c r="G3" s="3">
        <v>39867</v>
      </c>
      <c r="H3" s="3">
        <v>57392</v>
      </c>
      <c r="I3" s="3">
        <v>63068</v>
      </c>
      <c r="J3" s="3">
        <v>52694</v>
      </c>
      <c r="K3" s="3">
        <v>52142</v>
      </c>
      <c r="L3" s="3">
        <v>44147</v>
      </c>
      <c r="M3" s="3">
        <v>35773</v>
      </c>
      <c r="N3" s="3">
        <v>42676</v>
      </c>
      <c r="O3" s="3">
        <v>51822</v>
      </c>
      <c r="P3" s="3">
        <v>50755</v>
      </c>
      <c r="Q3" s="3">
        <v>39022</v>
      </c>
      <c r="R3" s="3">
        <v>48188</v>
      </c>
      <c r="S3" s="3">
        <v>56574</v>
      </c>
      <c r="T3" s="3">
        <v>63869</v>
      </c>
      <c r="U3" s="3">
        <v>61363</v>
      </c>
    </row>
    <row r="4" spans="1:21" s="3" customFormat="1" x14ac:dyDescent="0.2">
      <c r="B4" s="3" t="s">
        <v>43</v>
      </c>
      <c r="C4" s="3">
        <v>2648</v>
      </c>
      <c r="D4" s="3">
        <v>2996</v>
      </c>
      <c r="E4" s="3">
        <v>3280</v>
      </c>
      <c r="F4" s="3">
        <v>2856</v>
      </c>
      <c r="G4" s="3">
        <v>2721</v>
      </c>
      <c r="H4" s="3">
        <v>2746</v>
      </c>
      <c r="I4" s="3">
        <v>2807</v>
      </c>
      <c r="J4" s="3">
        <v>2962</v>
      </c>
      <c r="K4" s="3">
        <v>3042</v>
      </c>
      <c r="L4" s="3">
        <v>2864</v>
      </c>
      <c r="M4" s="3">
        <v>2764</v>
      </c>
      <c r="N4" s="3">
        <v>2786</v>
      </c>
      <c r="O4" s="3">
        <v>2900</v>
      </c>
      <c r="P4" s="3">
        <v>3045</v>
      </c>
      <c r="Q4" s="3">
        <v>2726</v>
      </c>
      <c r="R4" s="3">
        <v>2783</v>
      </c>
      <c r="S4" s="3">
        <v>2853</v>
      </c>
      <c r="T4" s="3">
        <v>3191</v>
      </c>
      <c r="U4" s="3">
        <v>3446</v>
      </c>
    </row>
    <row r="5" spans="1:21" s="5" customFormat="1" x14ac:dyDescent="0.2">
      <c r="B5" s="5" t="s">
        <v>44</v>
      </c>
      <c r="C5" s="5">
        <f t="shared" ref="C5:U5" si="0">+C3+C4</f>
        <v>41517</v>
      </c>
      <c r="D5" s="5">
        <f t="shared" si="0"/>
        <v>44958</v>
      </c>
      <c r="E5" s="5">
        <f t="shared" si="0"/>
        <v>51324</v>
      </c>
      <c r="F5" s="5">
        <f t="shared" si="0"/>
        <v>32396</v>
      </c>
      <c r="G5" s="5">
        <f t="shared" si="0"/>
        <v>42588</v>
      </c>
      <c r="H5" s="5">
        <f t="shared" si="0"/>
        <v>60138</v>
      </c>
      <c r="I5" s="5">
        <f t="shared" si="0"/>
        <v>65875</v>
      </c>
      <c r="J5" s="5">
        <f t="shared" si="0"/>
        <v>55656</v>
      </c>
      <c r="K5" s="5">
        <f t="shared" si="0"/>
        <v>55184</v>
      </c>
      <c r="L5" s="5">
        <f t="shared" si="0"/>
        <v>47011</v>
      </c>
      <c r="M5" s="5">
        <f t="shared" si="0"/>
        <v>38537</v>
      </c>
      <c r="N5" s="5">
        <f t="shared" si="0"/>
        <v>45462</v>
      </c>
      <c r="O5" s="5">
        <f t="shared" si="0"/>
        <v>54722</v>
      </c>
      <c r="P5" s="5">
        <f t="shared" si="0"/>
        <v>53800</v>
      </c>
      <c r="Q5" s="5">
        <f t="shared" si="0"/>
        <v>41748</v>
      </c>
      <c r="R5" s="5">
        <f t="shared" si="0"/>
        <v>50971</v>
      </c>
      <c r="S5" s="5">
        <f t="shared" si="0"/>
        <v>59427</v>
      </c>
      <c r="T5" s="5">
        <f t="shared" si="0"/>
        <v>67060</v>
      </c>
      <c r="U5" s="5">
        <f t="shared" si="0"/>
        <v>64809</v>
      </c>
    </row>
    <row r="6" spans="1:21" s="3" customFormat="1" x14ac:dyDescent="0.2">
      <c r="B6" s="3" t="s">
        <v>45</v>
      </c>
      <c r="C6" s="3">
        <v>29549</v>
      </c>
      <c r="D6" s="3">
        <v>32626</v>
      </c>
      <c r="E6" s="3">
        <v>38415</v>
      </c>
      <c r="F6" s="3">
        <v>23886</v>
      </c>
      <c r="G6" s="3">
        <v>30367</v>
      </c>
      <c r="H6" s="3">
        <v>43578</v>
      </c>
      <c r="I6" s="3">
        <v>47055</v>
      </c>
      <c r="J6" s="3">
        <v>40727</v>
      </c>
      <c r="K6" s="3">
        <v>40718</v>
      </c>
      <c r="L6" s="3">
        <v>33546</v>
      </c>
      <c r="M6" s="3">
        <v>28044</v>
      </c>
      <c r="N6" s="3">
        <v>31260</v>
      </c>
      <c r="O6" s="3">
        <v>36997</v>
      </c>
      <c r="P6" s="3">
        <v>36630</v>
      </c>
      <c r="Q6" s="3">
        <v>29082</v>
      </c>
      <c r="R6" s="3">
        <v>35513</v>
      </c>
      <c r="S6" s="3">
        <v>41350</v>
      </c>
      <c r="T6" s="3">
        <v>42767</v>
      </c>
      <c r="U6" s="3">
        <v>40199</v>
      </c>
    </row>
    <row r="7" spans="1:21" s="3" customFormat="1" x14ac:dyDescent="0.2">
      <c r="B7" s="3" t="s">
        <v>47</v>
      </c>
      <c r="C7" s="3">
        <f t="shared" ref="C7:U7" si="1">+C5-C6</f>
        <v>11968</v>
      </c>
      <c r="D7" s="3">
        <f t="shared" si="1"/>
        <v>12332</v>
      </c>
      <c r="E7" s="3">
        <f t="shared" si="1"/>
        <v>12909</v>
      </c>
      <c r="F7" s="3">
        <f t="shared" si="1"/>
        <v>8510</v>
      </c>
      <c r="G7" s="3">
        <f t="shared" si="1"/>
        <v>12221</v>
      </c>
      <c r="H7" s="3">
        <f t="shared" si="1"/>
        <v>16560</v>
      </c>
      <c r="I7" s="3">
        <f t="shared" si="1"/>
        <v>18820</v>
      </c>
      <c r="J7" s="3">
        <f t="shared" si="1"/>
        <v>14929</v>
      </c>
      <c r="K7" s="3">
        <f t="shared" si="1"/>
        <v>14466</v>
      </c>
      <c r="L7" s="3">
        <f t="shared" si="1"/>
        <v>13465</v>
      </c>
      <c r="M7" s="3">
        <f t="shared" si="1"/>
        <v>10493</v>
      </c>
      <c r="N7" s="3">
        <f t="shared" si="1"/>
        <v>14202</v>
      </c>
      <c r="O7" s="3">
        <f t="shared" si="1"/>
        <v>17725</v>
      </c>
      <c r="P7" s="3">
        <f t="shared" si="1"/>
        <v>17170</v>
      </c>
      <c r="Q7" s="3">
        <f t="shared" si="1"/>
        <v>12666</v>
      </c>
      <c r="R7" s="3">
        <f t="shared" si="1"/>
        <v>15458</v>
      </c>
      <c r="S7" s="3">
        <f t="shared" si="1"/>
        <v>18077</v>
      </c>
      <c r="T7" s="3">
        <f t="shared" si="1"/>
        <v>24293</v>
      </c>
      <c r="U7" s="3">
        <f t="shared" si="1"/>
        <v>24610</v>
      </c>
    </row>
    <row r="8" spans="1:21" x14ac:dyDescent="0.2">
      <c r="B8" s="1" t="s">
        <v>48</v>
      </c>
      <c r="C8" s="3">
        <v>3706</v>
      </c>
      <c r="D8" s="3">
        <v>3821</v>
      </c>
      <c r="E8" s="3">
        <v>4399</v>
      </c>
      <c r="F8" s="3">
        <v>3645</v>
      </c>
      <c r="G8" s="3">
        <v>4248</v>
      </c>
      <c r="H8" s="3">
        <v>5203</v>
      </c>
      <c r="I8" s="3">
        <v>5919</v>
      </c>
      <c r="J8" s="3">
        <v>5547</v>
      </c>
      <c r="K8" s="3">
        <v>6529</v>
      </c>
      <c r="L8" s="3">
        <v>4951</v>
      </c>
      <c r="M8" s="3">
        <v>4383</v>
      </c>
      <c r="N8" s="3">
        <v>4999</v>
      </c>
      <c r="O8" s="3">
        <v>5478</v>
      </c>
      <c r="P8" s="3">
        <v>5162</v>
      </c>
      <c r="Q8" s="3">
        <v>4642</v>
      </c>
      <c r="R8" s="3">
        <v>5365</v>
      </c>
      <c r="S8" s="3">
        <v>5651</v>
      </c>
      <c r="T8" s="3">
        <v>6371</v>
      </c>
      <c r="U8" s="3">
        <v>6667</v>
      </c>
    </row>
    <row r="9" spans="1:21" x14ac:dyDescent="0.2">
      <c r="B9" s="1" t="s">
        <v>49</v>
      </c>
      <c r="C9" s="3">
        <v>1347</v>
      </c>
      <c r="D9" s="3">
        <v>1404</v>
      </c>
      <c r="E9" s="3">
        <v>1728</v>
      </c>
      <c r="F9" s="3">
        <v>1421</v>
      </c>
      <c r="G9" s="3">
        <v>1905</v>
      </c>
      <c r="H9" s="3">
        <v>2297</v>
      </c>
      <c r="I9" s="3">
        <v>2466</v>
      </c>
      <c r="J9" s="3">
        <v>2046</v>
      </c>
      <c r="K9" s="3">
        <v>2380</v>
      </c>
      <c r="L9" s="3">
        <v>2119</v>
      </c>
      <c r="M9" s="3">
        <v>1853</v>
      </c>
      <c r="N9" s="3">
        <v>1842</v>
      </c>
      <c r="O9" s="3">
        <v>1850</v>
      </c>
      <c r="P9" s="3">
        <v>1693</v>
      </c>
      <c r="Q9" s="3">
        <v>1415</v>
      </c>
      <c r="R9" s="3">
        <v>1686</v>
      </c>
      <c r="S9" s="3">
        <v>1814</v>
      </c>
      <c r="T9" s="3">
        <v>2108</v>
      </c>
      <c r="U9" s="3">
        <v>2107</v>
      </c>
    </row>
    <row r="10" spans="1:21" x14ac:dyDescent="0.2">
      <c r="B10" s="1" t="s">
        <v>53</v>
      </c>
      <c r="C10" s="3">
        <f>1023+971</f>
        <v>1994</v>
      </c>
      <c r="D10" s="3">
        <f>1132+1054</f>
        <v>2186</v>
      </c>
      <c r="E10" s="3">
        <f>1153+1181</f>
        <v>2334</v>
      </c>
      <c r="F10" s="3">
        <f>1045+1822</f>
        <v>2867</v>
      </c>
      <c r="G10" s="3">
        <f>914+1191</f>
        <v>2105</v>
      </c>
      <c r="H10" s="3">
        <f>826+1081</f>
        <v>1907</v>
      </c>
      <c r="I10" s="3">
        <f>797+485</f>
        <v>1282</v>
      </c>
      <c r="J10" s="3">
        <f>727+981</f>
        <v>1708</v>
      </c>
      <c r="K10" s="3">
        <f>624+1619</f>
        <v>2243</v>
      </c>
      <c r="L10" s="3">
        <f>587+2023</f>
        <v>2610</v>
      </c>
      <c r="M10" s="3">
        <f>596+1904</f>
        <v>2500</v>
      </c>
      <c r="N10" s="3">
        <f>646+2255</f>
        <v>2901</v>
      </c>
      <c r="O10" s="3">
        <f>722+1382</f>
        <v>2104</v>
      </c>
      <c r="P10" s="3">
        <f>754+1271</f>
        <v>2025</v>
      </c>
      <c r="Q10" s="3">
        <f>589+1467</f>
        <v>2056</v>
      </c>
      <c r="R10" s="3">
        <f>455+1074</f>
        <v>1529</v>
      </c>
      <c r="S10" s="3">
        <f>565+1218</f>
        <v>1783</v>
      </c>
      <c r="T10" s="3">
        <f>1030+1818</f>
        <v>2848</v>
      </c>
      <c r="U10" s="3">
        <f>1286+1478</f>
        <v>2764</v>
      </c>
    </row>
    <row r="11" spans="1:21" x14ac:dyDescent="0.2">
      <c r="B11" s="1" t="s">
        <v>50</v>
      </c>
      <c r="C11" s="3">
        <f t="shared" ref="C11:S11" si="2">+C10+C9+C8</f>
        <v>7047</v>
      </c>
      <c r="D11" s="3">
        <f t="shared" si="2"/>
        <v>7411</v>
      </c>
      <c r="E11" s="3">
        <f t="shared" si="2"/>
        <v>8461</v>
      </c>
      <c r="F11" s="3">
        <f t="shared" si="2"/>
        <v>7933</v>
      </c>
      <c r="G11" s="3">
        <f t="shared" si="2"/>
        <v>8258</v>
      </c>
      <c r="H11" s="3">
        <f t="shared" si="2"/>
        <v>9407</v>
      </c>
      <c r="I11" s="3">
        <f t="shared" si="2"/>
        <v>9667</v>
      </c>
      <c r="J11" s="3">
        <f t="shared" si="2"/>
        <v>9301</v>
      </c>
      <c r="K11" s="3">
        <f t="shared" si="2"/>
        <v>11152</v>
      </c>
      <c r="L11" s="3">
        <f t="shared" si="2"/>
        <v>9680</v>
      </c>
      <c r="M11" s="3">
        <f t="shared" si="2"/>
        <v>8736</v>
      </c>
      <c r="N11" s="3">
        <f t="shared" si="2"/>
        <v>9742</v>
      </c>
      <c r="O11" s="3">
        <f t="shared" si="2"/>
        <v>9432</v>
      </c>
      <c r="P11" s="3">
        <f t="shared" si="2"/>
        <v>8880</v>
      </c>
      <c r="Q11" s="3">
        <f t="shared" si="2"/>
        <v>8113</v>
      </c>
      <c r="R11" s="3">
        <f t="shared" si="2"/>
        <v>8580</v>
      </c>
      <c r="S11" s="3">
        <f t="shared" si="2"/>
        <v>9248</v>
      </c>
      <c r="T11" s="3">
        <f t="shared" ref="T11:U11" si="3">+T10+T9+T8</f>
        <v>11327</v>
      </c>
      <c r="U11" s="3">
        <f t="shared" si="3"/>
        <v>11538</v>
      </c>
    </row>
    <row r="12" spans="1:21" x14ac:dyDescent="0.2">
      <c r="B12" s="1" t="s">
        <v>52</v>
      </c>
      <c r="C12" s="3">
        <f t="shared" ref="C12:S12" si="4">+C7-C11</f>
        <v>4921</v>
      </c>
      <c r="D12" s="3">
        <f t="shared" si="4"/>
        <v>4921</v>
      </c>
      <c r="E12" s="3">
        <f t="shared" si="4"/>
        <v>4448</v>
      </c>
      <c r="F12" s="3">
        <f t="shared" si="4"/>
        <v>577</v>
      </c>
      <c r="G12" s="3">
        <f t="shared" si="4"/>
        <v>3963</v>
      </c>
      <c r="H12" s="3">
        <f t="shared" si="4"/>
        <v>7153</v>
      </c>
      <c r="I12" s="3">
        <f t="shared" si="4"/>
        <v>9153</v>
      </c>
      <c r="J12" s="3">
        <f t="shared" si="4"/>
        <v>5628</v>
      </c>
      <c r="K12" s="3">
        <f t="shared" si="4"/>
        <v>3314</v>
      </c>
      <c r="L12" s="3">
        <f t="shared" si="4"/>
        <v>3785</v>
      </c>
      <c r="M12" s="3">
        <f t="shared" si="4"/>
        <v>1757</v>
      </c>
      <c r="N12" s="3">
        <f t="shared" si="4"/>
        <v>4460</v>
      </c>
      <c r="O12" s="3">
        <f t="shared" si="4"/>
        <v>8293</v>
      </c>
      <c r="P12" s="3">
        <f t="shared" si="4"/>
        <v>8290</v>
      </c>
      <c r="Q12" s="3">
        <f t="shared" si="4"/>
        <v>4553</v>
      </c>
      <c r="R12" s="3">
        <f t="shared" si="4"/>
        <v>6878</v>
      </c>
      <c r="S12" s="3">
        <f t="shared" si="4"/>
        <v>8829</v>
      </c>
      <c r="T12" s="3">
        <f t="shared" ref="T12:U12" si="5">+T7-T11</f>
        <v>12966</v>
      </c>
      <c r="U12" s="3">
        <f t="shared" si="5"/>
        <v>13072</v>
      </c>
    </row>
    <row r="13" spans="1:21" s="3" customFormat="1" x14ac:dyDescent="0.2">
      <c r="B13" s="3" t="s">
        <v>51</v>
      </c>
      <c r="C13" s="3">
        <f>-274+214</f>
        <v>-60</v>
      </c>
      <c r="D13" s="3">
        <f>-288+320</f>
        <v>32</v>
      </c>
      <c r="E13" s="3">
        <f>-274+299</f>
        <v>25</v>
      </c>
      <c r="F13" s="3">
        <f>-389+381</f>
        <v>-8</v>
      </c>
      <c r="G13" s="3">
        <f>-343+130</f>
        <v>-213</v>
      </c>
      <c r="H13" s="3">
        <f>-396-32</f>
        <v>-428</v>
      </c>
      <c r="I13" s="3">
        <f>-467+130</f>
        <v>-337</v>
      </c>
      <c r="J13" s="3">
        <f>-465-35</f>
        <v>-500</v>
      </c>
      <c r="K13" s="3">
        <f>-484+322</f>
        <v>-162</v>
      </c>
      <c r="L13" s="3">
        <f>-507+161</f>
        <v>-346</v>
      </c>
      <c r="M13" s="3">
        <f>508-518</f>
        <v>-10</v>
      </c>
      <c r="N13" s="3">
        <f>-531+153</f>
        <v>-378</v>
      </c>
      <c r="O13" s="3">
        <f>-404-67</f>
        <v>-471</v>
      </c>
      <c r="P13" s="3">
        <f>-421-57</f>
        <v>-478</v>
      </c>
      <c r="Q13" s="3">
        <f>-514-44</f>
        <v>-558</v>
      </c>
      <c r="R13" s="3">
        <f>-488+1814</f>
        <v>1326</v>
      </c>
      <c r="S13" s="3">
        <f>-443+1291</f>
        <v>848</v>
      </c>
      <c r="T13" s="3">
        <f>-511+595</f>
        <v>84</v>
      </c>
      <c r="U13" s="3">
        <f>-512+813</f>
        <v>301</v>
      </c>
    </row>
    <row r="14" spans="1:21" x14ac:dyDescent="0.2">
      <c r="B14" s="1" t="s">
        <v>54</v>
      </c>
      <c r="C14" s="3">
        <f t="shared" ref="C14:U14" si="6">+C12+C13</f>
        <v>4861</v>
      </c>
      <c r="D14" s="3">
        <f t="shared" si="6"/>
        <v>4953</v>
      </c>
      <c r="E14" s="3">
        <f t="shared" si="6"/>
        <v>4473</v>
      </c>
      <c r="F14" s="3">
        <f t="shared" si="6"/>
        <v>569</v>
      </c>
      <c r="G14" s="3">
        <f t="shared" si="6"/>
        <v>3750</v>
      </c>
      <c r="H14" s="3">
        <f t="shared" si="6"/>
        <v>6725</v>
      </c>
      <c r="I14" s="3">
        <f t="shared" si="6"/>
        <v>8816</v>
      </c>
      <c r="J14" s="3">
        <f t="shared" si="6"/>
        <v>5128</v>
      </c>
      <c r="K14" s="3">
        <f t="shared" si="6"/>
        <v>3152</v>
      </c>
      <c r="L14" s="3">
        <f t="shared" si="6"/>
        <v>3439</v>
      </c>
      <c r="M14" s="3">
        <f t="shared" si="6"/>
        <v>1747</v>
      </c>
      <c r="N14" s="3">
        <f t="shared" si="6"/>
        <v>4082</v>
      </c>
      <c r="O14" s="3">
        <f t="shared" si="6"/>
        <v>7822</v>
      </c>
      <c r="P14" s="3">
        <f t="shared" si="6"/>
        <v>7812</v>
      </c>
      <c r="Q14" s="3">
        <f t="shared" si="6"/>
        <v>3995</v>
      </c>
      <c r="R14" s="3">
        <f t="shared" si="6"/>
        <v>8204</v>
      </c>
      <c r="S14" s="3">
        <f t="shared" si="6"/>
        <v>9677</v>
      </c>
      <c r="T14" s="3">
        <f t="shared" si="6"/>
        <v>13050</v>
      </c>
      <c r="U14" s="3">
        <f t="shared" si="6"/>
        <v>13373</v>
      </c>
    </row>
    <row r="15" spans="1:21" x14ac:dyDescent="0.2">
      <c r="B15" s="1" t="s">
        <v>55</v>
      </c>
      <c r="C15" s="3">
        <v>1405</v>
      </c>
      <c r="D15" s="3">
        <v>1485</v>
      </c>
      <c r="E15" s="3">
        <v>953</v>
      </c>
      <c r="F15" s="3">
        <v>0</v>
      </c>
      <c r="G15" s="3">
        <v>968</v>
      </c>
      <c r="H15" s="3">
        <v>1720</v>
      </c>
      <c r="I15" s="3">
        <v>2528</v>
      </c>
      <c r="J15" s="3">
        <v>1319</v>
      </c>
      <c r="K15" s="3">
        <v>692</v>
      </c>
      <c r="L15" s="3">
        <v>916</v>
      </c>
      <c r="M15" s="3">
        <v>192</v>
      </c>
      <c r="N15" s="3">
        <v>3339</v>
      </c>
      <c r="O15" s="3">
        <v>1698</v>
      </c>
      <c r="P15" s="3">
        <v>1746</v>
      </c>
      <c r="Q15" s="3">
        <v>1006</v>
      </c>
      <c r="R15" s="3">
        <v>1742</v>
      </c>
      <c r="S15" s="3">
        <v>2067</v>
      </c>
      <c r="T15" s="3">
        <v>2781</v>
      </c>
      <c r="U15" s="3">
        <v>2629</v>
      </c>
    </row>
    <row r="16" spans="1:21" x14ac:dyDescent="0.2">
      <c r="B16" s="1" t="s">
        <v>56</v>
      </c>
      <c r="C16" s="3">
        <f t="shared" ref="C16:U16" si="7">+C14-C15</f>
        <v>3456</v>
      </c>
      <c r="D16" s="3">
        <f t="shared" si="7"/>
        <v>3468</v>
      </c>
      <c r="E16" s="3">
        <f t="shared" si="7"/>
        <v>3520</v>
      </c>
      <c r="F16" s="3">
        <f t="shared" si="7"/>
        <v>569</v>
      </c>
      <c r="G16" s="3">
        <f t="shared" si="7"/>
        <v>2782</v>
      </c>
      <c r="H16" s="3">
        <f t="shared" si="7"/>
        <v>5005</v>
      </c>
      <c r="I16" s="3">
        <f t="shared" si="7"/>
        <v>6288</v>
      </c>
      <c r="J16" s="3">
        <f t="shared" si="7"/>
        <v>3809</v>
      </c>
      <c r="K16" s="3">
        <f t="shared" si="7"/>
        <v>2460</v>
      </c>
      <c r="L16" s="3">
        <f t="shared" si="7"/>
        <v>2523</v>
      </c>
      <c r="M16" s="3">
        <f t="shared" si="7"/>
        <v>1555</v>
      </c>
      <c r="N16" s="3">
        <f t="shared" si="7"/>
        <v>743</v>
      </c>
      <c r="O16" s="3">
        <f t="shared" si="7"/>
        <v>6124</v>
      </c>
      <c r="P16" s="3">
        <f t="shared" si="7"/>
        <v>6066</v>
      </c>
      <c r="Q16" s="3">
        <f t="shared" si="7"/>
        <v>2989</v>
      </c>
      <c r="R16" s="3">
        <f t="shared" si="7"/>
        <v>6462</v>
      </c>
      <c r="S16" s="3">
        <f t="shared" si="7"/>
        <v>7610</v>
      </c>
      <c r="T16" s="3">
        <f t="shared" si="7"/>
        <v>10269</v>
      </c>
      <c r="U16" s="3">
        <f t="shared" si="7"/>
        <v>10744</v>
      </c>
    </row>
    <row r="17" spans="2:21" x14ac:dyDescent="0.2">
      <c r="B17" s="1" t="s">
        <v>57</v>
      </c>
      <c r="C17" s="2">
        <f t="shared" ref="C17:S17" si="8">+C16/C18</f>
        <v>5.0541093887101498</v>
      </c>
      <c r="D17" s="2">
        <f t="shared" si="8"/>
        <v>5.2585291887793781</v>
      </c>
      <c r="E17" s="2">
        <f t="shared" si="8"/>
        <v>5.6059882146838671</v>
      </c>
      <c r="F17" s="2">
        <f t="shared" si="8"/>
        <v>0.90894568690095845</v>
      </c>
      <c r="G17" s="2">
        <f t="shared" si="8"/>
        <v>4.2773677736777369</v>
      </c>
      <c r="H17" s="2">
        <f t="shared" si="8"/>
        <v>7.5138868037832154</v>
      </c>
      <c r="I17" s="2">
        <f t="shared" si="8"/>
        <v>9.3906810035842287</v>
      </c>
      <c r="J17" s="2">
        <f t="shared" si="8"/>
        <v>5.7834801093228059</v>
      </c>
      <c r="K17" s="2">
        <f t="shared" si="8"/>
        <v>3.9115916679917317</v>
      </c>
      <c r="L17" s="2">
        <f t="shared" si="8"/>
        <v>4.1959088641277233</v>
      </c>
      <c r="M17" s="2">
        <f t="shared" si="8"/>
        <v>2.6613041245935309</v>
      </c>
      <c r="N17" s="2">
        <f t="shared" si="8"/>
        <v>1.2397797430335393</v>
      </c>
      <c r="O17" s="2">
        <f t="shared" si="8"/>
        <v>10.216883550216885</v>
      </c>
      <c r="P17" s="2">
        <f t="shared" si="8"/>
        <v>10.688986784140969</v>
      </c>
      <c r="Q17" s="2">
        <f t="shared" si="8"/>
        <v>5.448414145096609</v>
      </c>
      <c r="R17" s="2">
        <f t="shared" si="8"/>
        <v>11.781221513217867</v>
      </c>
      <c r="S17" s="2">
        <f t="shared" si="8"/>
        <v>14.347662141779789</v>
      </c>
      <c r="T17" s="2">
        <f t="shared" ref="T17:U17" si="9">+T16/T18</f>
        <v>19.99415887850467</v>
      </c>
      <c r="U17" s="2">
        <f t="shared" si="9"/>
        <v>21.953412341642828</v>
      </c>
    </row>
    <row r="18" spans="2:21" x14ac:dyDescent="0.2">
      <c r="B18" s="1" t="s">
        <v>1</v>
      </c>
      <c r="C18" s="3">
        <v>683.8</v>
      </c>
      <c r="D18" s="3">
        <v>659.5</v>
      </c>
      <c r="E18" s="3">
        <v>627.9</v>
      </c>
      <c r="F18" s="3">
        <v>626</v>
      </c>
      <c r="G18" s="3">
        <v>650.4</v>
      </c>
      <c r="H18" s="3">
        <v>666.1</v>
      </c>
      <c r="I18" s="3">
        <v>669.6</v>
      </c>
      <c r="J18" s="3">
        <v>658.6</v>
      </c>
      <c r="K18" s="3">
        <v>628.9</v>
      </c>
      <c r="L18" s="3">
        <v>601.29999999999995</v>
      </c>
      <c r="M18" s="3">
        <v>584.29999999999995</v>
      </c>
      <c r="N18" s="3">
        <v>599.29999999999995</v>
      </c>
      <c r="O18" s="3">
        <v>599.4</v>
      </c>
      <c r="P18" s="3">
        <v>567.5</v>
      </c>
      <c r="Q18" s="3">
        <v>548.6</v>
      </c>
      <c r="R18" s="3">
        <v>548.5</v>
      </c>
      <c r="S18" s="3">
        <v>530.4</v>
      </c>
      <c r="T18" s="3">
        <v>513.6</v>
      </c>
      <c r="U18" s="3">
        <v>489.4</v>
      </c>
    </row>
    <row r="21" spans="2:21" x14ac:dyDescent="0.2">
      <c r="B21" s="1" t="s">
        <v>46</v>
      </c>
      <c r="C21" s="6">
        <f t="shared" ref="C21:U21" si="10">C7/C5</f>
        <v>0.28826745670448251</v>
      </c>
      <c r="D21" s="6">
        <f t="shared" si="10"/>
        <v>0.27430045820543619</v>
      </c>
      <c r="E21" s="6">
        <f t="shared" si="10"/>
        <v>0.25151975683890576</v>
      </c>
      <c r="F21" s="6">
        <f t="shared" si="10"/>
        <v>0.2626867514507964</v>
      </c>
      <c r="G21" s="6">
        <f t="shared" si="10"/>
        <v>0.2869587677279985</v>
      </c>
      <c r="H21" s="6">
        <f t="shared" si="10"/>
        <v>0.27536665668961391</v>
      </c>
      <c r="I21" s="6">
        <f t="shared" si="10"/>
        <v>0.28569259962049337</v>
      </c>
      <c r="J21" s="6">
        <f t="shared" si="10"/>
        <v>0.26823702745436251</v>
      </c>
      <c r="K21" s="6">
        <f t="shared" si="10"/>
        <v>0.26214120034792693</v>
      </c>
      <c r="L21" s="6">
        <f t="shared" si="10"/>
        <v>0.28642232668949819</v>
      </c>
      <c r="M21" s="6">
        <f t="shared" si="10"/>
        <v>0.27228377922516023</v>
      </c>
      <c r="N21" s="6">
        <f t="shared" si="10"/>
        <v>0.31239276758611589</v>
      </c>
      <c r="O21" s="6">
        <f t="shared" si="10"/>
        <v>0.32390994481195862</v>
      </c>
      <c r="P21" s="6">
        <f t="shared" si="10"/>
        <v>0.31914498141263942</v>
      </c>
      <c r="Q21" s="6">
        <f t="shared" si="10"/>
        <v>0.30339177924691002</v>
      </c>
      <c r="R21" s="6">
        <f t="shared" si="10"/>
        <v>0.30327048713974614</v>
      </c>
      <c r="S21" s="6">
        <f t="shared" si="10"/>
        <v>0.30418833190300704</v>
      </c>
      <c r="T21" s="6">
        <f t="shared" si="10"/>
        <v>0.36225767968983003</v>
      </c>
      <c r="U21" s="6">
        <f t="shared" si="10"/>
        <v>0.3797312101714268</v>
      </c>
    </row>
    <row r="24" spans="2:21" s="3" customFormat="1" x14ac:dyDescent="0.2">
      <c r="B24" s="3" t="s">
        <v>59</v>
      </c>
      <c r="C24" s="3">
        <v>5799</v>
      </c>
      <c r="D24" s="3">
        <v>7935</v>
      </c>
      <c r="E24" s="3">
        <v>4787</v>
      </c>
      <c r="F24" s="3">
        <v>6343</v>
      </c>
      <c r="G24" s="3">
        <v>5009</v>
      </c>
      <c r="H24" s="3">
        <v>7010</v>
      </c>
      <c r="I24" s="3">
        <v>5241</v>
      </c>
      <c r="J24" s="3">
        <v>10191</v>
      </c>
      <c r="K24" s="3">
        <v>8057</v>
      </c>
      <c r="L24" s="3">
        <v>6699</v>
      </c>
      <c r="M24" s="3">
        <v>5639</v>
      </c>
      <c r="N24" s="3">
        <v>5706</v>
      </c>
      <c r="O24" s="3">
        <v>6558</v>
      </c>
      <c r="P24" s="3">
        <v>6912</v>
      </c>
      <c r="Q24" s="3">
        <v>6327</v>
      </c>
      <c r="R24" s="3">
        <v>7198</v>
      </c>
      <c r="S24" s="3">
        <v>7766</v>
      </c>
      <c r="T24" s="3">
        <v>12885</v>
      </c>
      <c r="U24" s="3">
        <v>12035</v>
      </c>
    </row>
    <row r="25" spans="2:21" s="3" customFormat="1" x14ac:dyDescent="0.2">
      <c r="B25" s="3" t="s">
        <v>60</v>
      </c>
      <c r="C25" s="3">
        <v>1593</v>
      </c>
      <c r="D25" s="3">
        <v>1700</v>
      </c>
      <c r="E25" s="3">
        <v>2445</v>
      </c>
      <c r="F25" s="3">
        <v>1348</v>
      </c>
      <c r="G25" s="3">
        <v>1575</v>
      </c>
      <c r="H25" s="3">
        <v>2515</v>
      </c>
      <c r="I25" s="3">
        <v>3350</v>
      </c>
      <c r="J25" s="3">
        <v>2522</v>
      </c>
      <c r="K25" s="3">
        <v>1539</v>
      </c>
      <c r="L25" s="3">
        <v>1388</v>
      </c>
      <c r="M25" s="3">
        <v>1109</v>
      </c>
      <c r="N25" s="3">
        <v>898</v>
      </c>
      <c r="O25" s="3">
        <v>1276</v>
      </c>
      <c r="P25" s="3">
        <v>1056</v>
      </c>
      <c r="Q25" s="3">
        <v>978</v>
      </c>
      <c r="R25" s="3">
        <v>1093</v>
      </c>
      <c r="S25" s="3">
        <v>1296</v>
      </c>
      <c r="T25" s="3">
        <v>1597</v>
      </c>
      <c r="U25" s="3">
        <v>1988</v>
      </c>
    </row>
    <row r="26" spans="2:21" s="3" customFormat="1" x14ac:dyDescent="0.2">
      <c r="B26" s="3" t="s">
        <v>61</v>
      </c>
      <c r="C26" s="3">
        <f t="shared" ref="C26:U26" si="11">+C24-C25</f>
        <v>4206</v>
      </c>
      <c r="D26" s="3">
        <f t="shared" si="11"/>
        <v>6235</v>
      </c>
      <c r="E26" s="3">
        <f t="shared" si="11"/>
        <v>2342</v>
      </c>
      <c r="F26" s="3">
        <f t="shared" si="11"/>
        <v>4995</v>
      </c>
      <c r="G26" s="3">
        <f t="shared" si="11"/>
        <v>3434</v>
      </c>
      <c r="H26" s="3">
        <f t="shared" si="11"/>
        <v>4495</v>
      </c>
      <c r="I26" s="3">
        <f t="shared" si="11"/>
        <v>1891</v>
      </c>
      <c r="J26" s="3">
        <f t="shared" si="11"/>
        <v>7669</v>
      </c>
      <c r="K26" s="3">
        <f t="shared" si="11"/>
        <v>6518</v>
      </c>
      <c r="L26" s="3">
        <f t="shared" si="11"/>
        <v>5311</v>
      </c>
      <c r="M26" s="3">
        <f t="shared" si="11"/>
        <v>4530</v>
      </c>
      <c r="N26" s="3">
        <f t="shared" si="11"/>
        <v>4808</v>
      </c>
      <c r="O26" s="3">
        <f t="shared" si="11"/>
        <v>5282</v>
      </c>
      <c r="P26" s="3">
        <f t="shared" si="11"/>
        <v>5856</v>
      </c>
      <c r="Q26" s="3">
        <f t="shared" si="11"/>
        <v>5349</v>
      </c>
      <c r="R26" s="3">
        <f t="shared" si="11"/>
        <v>6105</v>
      </c>
      <c r="S26" s="3">
        <f t="shared" si="11"/>
        <v>6470</v>
      </c>
      <c r="T26" s="3">
        <f t="shared" si="11"/>
        <v>11288</v>
      </c>
      <c r="U26" s="3">
        <f t="shared" si="11"/>
        <v>10047</v>
      </c>
    </row>
    <row r="52" spans="3:3" x14ac:dyDescent="0.2">
      <c r="C52" s="1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Jacob H</cp:lastModifiedBy>
  <dcterms:created xsi:type="dcterms:W3CDTF">2025-03-31T13:32:05Z</dcterms:created>
  <dcterms:modified xsi:type="dcterms:W3CDTF">2025-04-02T08:19:15Z</dcterms:modified>
</cp:coreProperties>
</file>