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Consumer Discretionary\"/>
    </mc:Choice>
  </mc:AlternateContent>
  <xr:revisionPtr revIDLastSave="0" documentId="13_ncr:1_{167AB02E-1CC9-4EFB-8B20-3D4724E2E298}" xr6:coauthVersionLast="47" xr6:coauthVersionMax="47" xr10:uidLastSave="{00000000-0000-0000-0000-000000000000}"/>
  <bookViews>
    <workbookView xWindow="29040" yWindow="1035" windowWidth="21495" windowHeight="11895" xr2:uid="{00000000-000D-0000-FFFF-FFFF00000000}"/>
  </bookViews>
  <sheets>
    <sheet name="Main" sheetId="1" r:id="rId1"/>
    <sheet name="Model" sheetId="2" r:id="rId2"/>
    <sheet name="Debt Evalua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8" i="2" l="1"/>
  <c r="O78" i="2"/>
  <c r="N70" i="2"/>
  <c r="N68" i="2"/>
  <c r="P68" i="2"/>
  <c r="S7" i="1"/>
  <c r="S6" i="1"/>
  <c r="S5" i="1"/>
  <c r="O7" i="1"/>
  <c r="O6" i="1"/>
  <c r="O5" i="1"/>
  <c r="K7" i="1"/>
  <c r="K6" i="1"/>
  <c r="K5" i="1"/>
  <c r="S8" i="1" l="1"/>
  <c r="O8" i="1"/>
  <c r="K8" i="1"/>
  <c r="AA52" i="2"/>
  <c r="AA54" i="2" s="1"/>
  <c r="AA43" i="2"/>
  <c r="AA5" i="2"/>
  <c r="AA12" i="2" s="1"/>
  <c r="AA14" i="2" s="1"/>
  <c r="L69" i="2"/>
  <c r="K69" i="2"/>
  <c r="J69" i="2"/>
  <c r="I69" i="2"/>
  <c r="H69" i="2"/>
  <c r="G69" i="2"/>
  <c r="F69" i="2"/>
  <c r="E69" i="2"/>
  <c r="D69" i="2"/>
  <c r="C69" i="2"/>
  <c r="M69" i="2"/>
  <c r="O75" i="2" s="1"/>
  <c r="H62" i="2"/>
  <c r="G63" i="2"/>
  <c r="AA28" i="2" l="1"/>
  <c r="AA19" i="2"/>
  <c r="AA22" i="2" s="1"/>
  <c r="AA24" i="2" s="1"/>
  <c r="AA26" i="2" l="1"/>
  <c r="AA29" i="2"/>
  <c r="I62" i="2" l="1"/>
  <c r="J62" i="2" s="1"/>
  <c r="AD10" i="2"/>
  <c r="H67" i="2"/>
  <c r="I67" i="2" s="1"/>
  <c r="J67" i="2" s="1"/>
  <c r="H61" i="2"/>
  <c r="I61" i="2" s="1"/>
  <c r="J61" i="2" s="1"/>
  <c r="H60" i="2"/>
  <c r="I60" i="2" s="1"/>
  <c r="J60" i="2" s="1"/>
  <c r="H59" i="2"/>
  <c r="I59" i="2" s="1"/>
  <c r="J59" i="2" s="1"/>
  <c r="H57" i="2"/>
  <c r="I57" i="2" s="1"/>
  <c r="J57" i="2" s="1"/>
  <c r="L67" i="2"/>
  <c r="M67" i="2" s="1"/>
  <c r="L57" i="2"/>
  <c r="M57" i="2" s="1"/>
  <c r="L61" i="2"/>
  <c r="M61" i="2" s="1"/>
  <c r="L62" i="2"/>
  <c r="M62" i="2" s="1"/>
  <c r="L60" i="2"/>
  <c r="M60" i="2" s="1"/>
  <c r="L59" i="2"/>
  <c r="M59" i="2" s="1"/>
  <c r="H63" i="2" l="1"/>
  <c r="I63" i="2" s="1"/>
  <c r="G58" i="2"/>
  <c r="H58" i="2" s="1"/>
  <c r="I58" i="2" s="1"/>
  <c r="J58" i="2" s="1"/>
  <c r="K63" i="2"/>
  <c r="L63" i="2" s="1"/>
  <c r="M63" i="2" s="1"/>
  <c r="K58" i="2"/>
  <c r="L58" i="2" s="1"/>
  <c r="M58" i="2" s="1"/>
  <c r="L52" i="2"/>
  <c r="L54" i="2" s="1"/>
  <c r="K52" i="2"/>
  <c r="K54" i="2" s="1"/>
  <c r="J52" i="2"/>
  <c r="J54" i="2" s="1"/>
  <c r="I52" i="2"/>
  <c r="I54" i="2" s="1"/>
  <c r="H52" i="2"/>
  <c r="H54" i="2" s="1"/>
  <c r="G52" i="2"/>
  <c r="G54" i="2" s="1"/>
  <c r="F52" i="2"/>
  <c r="F54" i="2" s="1"/>
  <c r="E52" i="2"/>
  <c r="E54" i="2" s="1"/>
  <c r="D52" i="2"/>
  <c r="D54" i="2" s="1"/>
  <c r="C52" i="2"/>
  <c r="C54" i="2" s="1"/>
  <c r="M52" i="2"/>
  <c r="M54" i="2" s="1"/>
  <c r="L43" i="2"/>
  <c r="K43" i="2"/>
  <c r="J43" i="2"/>
  <c r="I43" i="2"/>
  <c r="H43" i="2"/>
  <c r="G43" i="2"/>
  <c r="F43" i="2"/>
  <c r="E43" i="2"/>
  <c r="D43" i="2"/>
  <c r="C43" i="2"/>
  <c r="M43" i="2"/>
  <c r="G6" i="1"/>
  <c r="C6" i="1"/>
  <c r="AC2" i="2"/>
  <c r="AB5" i="2"/>
  <c r="AB12" i="2" s="1"/>
  <c r="AB14" i="2" s="1"/>
  <c r="AC5" i="2"/>
  <c r="AC12" i="2" s="1"/>
  <c r="AC14" i="2" s="1"/>
  <c r="AC19" i="2" s="1"/>
  <c r="AC22" i="2" s="1"/>
  <c r="AC24" i="2" s="1"/>
  <c r="AB6" i="2"/>
  <c r="AC6" i="2"/>
  <c r="AB7" i="2"/>
  <c r="AC7" i="2"/>
  <c r="AB10" i="2"/>
  <c r="AC10" i="2"/>
  <c r="AB43" i="2"/>
  <c r="AC43" i="2"/>
  <c r="AB47" i="2"/>
  <c r="AB52" i="2" s="1"/>
  <c r="AB54" i="2" s="1"/>
  <c r="AC52" i="2"/>
  <c r="AC54" i="2" s="1"/>
  <c r="AE7" i="2"/>
  <c r="AD7" i="2"/>
  <c r="AF7" i="2"/>
  <c r="AE6" i="2"/>
  <c r="AD6" i="2"/>
  <c r="AF6" i="2"/>
  <c r="AD43" i="2"/>
  <c r="AE52" i="2"/>
  <c r="AE54" i="2" s="1"/>
  <c r="AD52" i="2"/>
  <c r="AD54" i="2" s="1"/>
  <c r="AE43" i="2"/>
  <c r="AF52" i="2"/>
  <c r="AF54" i="2" s="1"/>
  <c r="AF43" i="2"/>
  <c r="AE5" i="2"/>
  <c r="AE12" i="2" s="1"/>
  <c r="AD5" i="2"/>
  <c r="AD12" i="2" s="1"/>
  <c r="AF5" i="2"/>
  <c r="AF12" i="2" s="1"/>
  <c r="J63" i="2" l="1"/>
  <c r="AB19" i="2"/>
  <c r="AB22" i="2" s="1"/>
  <c r="AB24" i="2" s="1"/>
  <c r="AB26" i="2" s="1"/>
  <c r="AB28" i="2"/>
  <c r="AC28" i="2"/>
  <c r="AC29" i="2"/>
  <c r="AC26" i="2"/>
  <c r="AB29" i="2" l="1"/>
  <c r="AE10" i="2" l="1"/>
  <c r="AF10" i="2"/>
  <c r="AD14" i="2"/>
  <c r="AD28" i="2" s="1"/>
  <c r="AF18" i="2"/>
  <c r="AF25" i="2"/>
  <c r="AE25" i="2"/>
  <c r="G8" i="1"/>
  <c r="J13" i="2"/>
  <c r="AF13" i="2" s="1"/>
  <c r="J21" i="2"/>
  <c r="AF21" i="2" s="1"/>
  <c r="F23" i="2"/>
  <c r="AE23" i="2" s="1"/>
  <c r="F21" i="2"/>
  <c r="AE21" i="2" s="1"/>
  <c r="F20" i="2"/>
  <c r="AE20" i="2" s="1"/>
  <c r="F17" i="2"/>
  <c r="AE17" i="2" s="1"/>
  <c r="F16" i="2"/>
  <c r="AE16" i="2" s="1"/>
  <c r="F15" i="2"/>
  <c r="AE15" i="2" s="1"/>
  <c r="AE18" i="2"/>
  <c r="C7" i="1"/>
  <c r="G7" i="1"/>
  <c r="G5" i="1"/>
  <c r="F13" i="2"/>
  <c r="J23" i="2"/>
  <c r="AF23" i="2" s="1"/>
  <c r="J20" i="2"/>
  <c r="AF20" i="2" s="1"/>
  <c r="J17" i="2"/>
  <c r="AF17" i="2" s="1"/>
  <c r="J16" i="2"/>
  <c r="AF16" i="2" s="1"/>
  <c r="J15" i="2"/>
  <c r="AF15" i="2" s="1"/>
  <c r="L7" i="2"/>
  <c r="K7" i="2"/>
  <c r="I7" i="2"/>
  <c r="H7" i="2"/>
  <c r="G7" i="2"/>
  <c r="M7" i="2"/>
  <c r="L6" i="2"/>
  <c r="K6" i="2"/>
  <c r="I6" i="2"/>
  <c r="H6" i="2"/>
  <c r="G6" i="2"/>
  <c r="M6" i="2"/>
  <c r="F4" i="2"/>
  <c r="F3" i="2"/>
  <c r="C5" i="2"/>
  <c r="C12" i="2" s="1"/>
  <c r="J4" i="2"/>
  <c r="J3" i="2"/>
  <c r="L5" i="2"/>
  <c r="L12" i="2" s="1"/>
  <c r="K5" i="2"/>
  <c r="K12" i="2" s="1"/>
  <c r="I5" i="2"/>
  <c r="I12" i="2" s="1"/>
  <c r="I14" i="2" s="1"/>
  <c r="H5" i="2"/>
  <c r="H12" i="2" s="1"/>
  <c r="H14" i="2" s="1"/>
  <c r="G5" i="2"/>
  <c r="G12" i="2" s="1"/>
  <c r="E5" i="2"/>
  <c r="E12" i="2" s="1"/>
  <c r="E14" i="2" s="1"/>
  <c r="D5" i="2"/>
  <c r="D12" i="2" s="1"/>
  <c r="D14" i="2" s="1"/>
  <c r="M5" i="2"/>
  <c r="M12" i="2" s="1"/>
  <c r="M10" i="2"/>
  <c r="L10" i="2"/>
  <c r="K10" i="2"/>
  <c r="J10" i="2"/>
  <c r="I10" i="2"/>
  <c r="H10" i="2"/>
  <c r="G10" i="2"/>
  <c r="L14" i="2" l="1"/>
  <c r="L19" i="2" s="1"/>
  <c r="L22" i="2" s="1"/>
  <c r="L24" i="2" s="1"/>
  <c r="P12" i="2"/>
  <c r="P14" i="2" s="1"/>
  <c r="M14" i="2"/>
  <c r="M28" i="2" s="1"/>
  <c r="Q12" i="2"/>
  <c r="Q14" i="2" s="1"/>
  <c r="K14" i="2"/>
  <c r="K19" i="2" s="1"/>
  <c r="K22" i="2" s="1"/>
  <c r="K24" i="2" s="1"/>
  <c r="K56" i="2" s="1"/>
  <c r="K64" i="2" s="1"/>
  <c r="K66" i="2" s="1"/>
  <c r="K68" i="2" s="1"/>
  <c r="O12" i="2"/>
  <c r="O14" i="2" s="1"/>
  <c r="I28" i="2"/>
  <c r="I19" i="2"/>
  <c r="I22" i="2" s="1"/>
  <c r="I24" i="2" s="1"/>
  <c r="I56" i="2" s="1"/>
  <c r="AD19" i="2"/>
  <c r="AD22" i="2" s="1"/>
  <c r="AD24" i="2" s="1"/>
  <c r="AD26" i="2" s="1"/>
  <c r="H28" i="2"/>
  <c r="H19" i="2"/>
  <c r="H22" i="2" s="1"/>
  <c r="H24" i="2" s="1"/>
  <c r="H56" i="2" s="1"/>
  <c r="H64" i="2" s="1"/>
  <c r="H66" i="2" s="1"/>
  <c r="H68" i="2" s="1"/>
  <c r="H70" i="2" s="1"/>
  <c r="G14" i="2"/>
  <c r="J12" i="2"/>
  <c r="D19" i="2"/>
  <c r="D22" i="2" s="1"/>
  <c r="D24" i="2" s="1"/>
  <c r="D56" i="2" s="1"/>
  <c r="D64" i="2" s="1"/>
  <c r="D66" i="2" s="1"/>
  <c r="D68" i="2" s="1"/>
  <c r="D70" i="2" s="1"/>
  <c r="D28" i="2"/>
  <c r="E19" i="2"/>
  <c r="E22" i="2" s="1"/>
  <c r="E24" i="2" s="1"/>
  <c r="E56" i="2" s="1"/>
  <c r="E64" i="2" s="1"/>
  <c r="E66" i="2" s="1"/>
  <c r="E68" i="2" s="1"/>
  <c r="E70" i="2" s="1"/>
  <c r="E28" i="2"/>
  <c r="C14" i="2"/>
  <c r="F12" i="2"/>
  <c r="F14" i="2" s="1"/>
  <c r="J6" i="2"/>
  <c r="J7" i="2"/>
  <c r="AE13" i="2"/>
  <c r="F5" i="2"/>
  <c r="J5" i="2"/>
  <c r="AD2" i="2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C5" i="1"/>
  <c r="C8" i="1" s="1"/>
  <c r="K70" i="2" l="1"/>
  <c r="O68" i="2"/>
  <c r="S68" i="2" s="1"/>
  <c r="W68" i="2" s="1"/>
  <c r="AA68" i="2" s="1"/>
  <c r="AE68" i="2" s="1"/>
  <c r="AI68" i="2" s="1"/>
  <c r="AM68" i="2" s="1"/>
  <c r="AQ68" i="2" s="1"/>
  <c r="M19" i="2"/>
  <c r="M22" i="2" s="1"/>
  <c r="M24" i="2" s="1"/>
  <c r="M56" i="2" s="1"/>
  <c r="M64" i="2" s="1"/>
  <c r="M66" i="2" s="1"/>
  <c r="M68" i="2" s="1"/>
  <c r="I64" i="2"/>
  <c r="I66" i="2" s="1"/>
  <c r="I68" i="2" s="1"/>
  <c r="I70" i="2" s="1"/>
  <c r="K28" i="2"/>
  <c r="J14" i="2"/>
  <c r="J19" i="2" s="1"/>
  <c r="J22" i="2" s="1"/>
  <c r="J24" i="2" s="1"/>
  <c r="J56" i="2" s="1"/>
  <c r="J64" i="2" s="1"/>
  <c r="J66" i="2" s="1"/>
  <c r="N12" i="2"/>
  <c r="N14" i="2" s="1"/>
  <c r="L28" i="2"/>
  <c r="L56" i="2"/>
  <c r="L64" i="2" s="1"/>
  <c r="L66" i="2" s="1"/>
  <c r="L68" i="2" s="1"/>
  <c r="AD29" i="2"/>
  <c r="D26" i="2"/>
  <c r="D29" i="2"/>
  <c r="L26" i="2"/>
  <c r="L29" i="2"/>
  <c r="H29" i="2"/>
  <c r="H26" i="2"/>
  <c r="G28" i="2"/>
  <c r="G19" i="2"/>
  <c r="C19" i="2"/>
  <c r="C22" i="2" s="1"/>
  <c r="C24" i="2" s="1"/>
  <c r="C56" i="2" s="1"/>
  <c r="C64" i="2" s="1"/>
  <c r="C66" i="2" s="1"/>
  <c r="C68" i="2" s="1"/>
  <c r="C70" i="2" s="1"/>
  <c r="C28" i="2"/>
  <c r="K29" i="2"/>
  <c r="K26" i="2"/>
  <c r="I29" i="2"/>
  <c r="I26" i="2"/>
  <c r="E26" i="2"/>
  <c r="E29" i="2"/>
  <c r="F19" i="2"/>
  <c r="F22" i="2" s="1"/>
  <c r="F28" i="2"/>
  <c r="AE14" i="2"/>
  <c r="M26" i="2" l="1"/>
  <c r="J68" i="2"/>
  <c r="L70" i="2"/>
  <c r="T68" i="2"/>
  <c r="X68" i="2" s="1"/>
  <c r="AB68" i="2" s="1"/>
  <c r="AF68" i="2" s="1"/>
  <c r="AJ68" i="2" s="1"/>
  <c r="AN68" i="2" s="1"/>
  <c r="AR68" i="2" s="1"/>
  <c r="M29" i="2"/>
  <c r="M70" i="2"/>
  <c r="Q68" i="2"/>
  <c r="AE22" i="2"/>
  <c r="AF14" i="2"/>
  <c r="AF28" i="2" s="1"/>
  <c r="J28" i="2"/>
  <c r="AE28" i="2"/>
  <c r="J29" i="2"/>
  <c r="J26" i="2"/>
  <c r="C26" i="2"/>
  <c r="C29" i="2"/>
  <c r="G22" i="2"/>
  <c r="AF19" i="2"/>
  <c r="AE19" i="2"/>
  <c r="F24" i="2"/>
  <c r="R68" i="2" l="1"/>
  <c r="V68" i="2" s="1"/>
  <c r="Z68" i="2" s="1"/>
  <c r="AD68" i="2" s="1"/>
  <c r="AH68" i="2" s="1"/>
  <c r="AL68" i="2" s="1"/>
  <c r="AP68" i="2" s="1"/>
  <c r="J70" i="2"/>
  <c r="U68" i="2"/>
  <c r="Y68" i="2" s="1"/>
  <c r="AC68" i="2" s="1"/>
  <c r="AG68" i="2" s="1"/>
  <c r="AK68" i="2" s="1"/>
  <c r="AO68" i="2" s="1"/>
  <c r="AE24" i="2"/>
  <c r="AE29" i="2" s="1"/>
  <c r="F56" i="2"/>
  <c r="F64" i="2" s="1"/>
  <c r="F66" i="2" s="1"/>
  <c r="F68" i="2" s="1"/>
  <c r="F70" i="2" s="1"/>
  <c r="F29" i="2"/>
  <c r="F26" i="2"/>
  <c r="AE26" i="2" s="1"/>
  <c r="G24" i="2"/>
  <c r="G56" i="2" s="1"/>
  <c r="G64" i="2" s="1"/>
  <c r="G66" i="2" s="1"/>
  <c r="G68" i="2" s="1"/>
  <c r="G70" i="2" s="1"/>
  <c r="AF22" i="2"/>
  <c r="O74" i="2" l="1"/>
  <c r="O76" i="2" s="1"/>
  <c r="AF24" i="2"/>
  <c r="AF29" i="2" s="1"/>
  <c r="G29" i="2"/>
  <c r="G26" i="2"/>
  <c r="AF26" i="2" l="1"/>
</calcChain>
</file>

<file path=xl/sharedStrings.xml><?xml version="1.0" encoding="utf-8"?>
<sst xmlns="http://schemas.openxmlformats.org/spreadsheetml/2006/main" count="156" uniqueCount="108">
  <si>
    <t>CHGG</t>
  </si>
  <si>
    <t>Price</t>
  </si>
  <si>
    <t>Share Count</t>
  </si>
  <si>
    <t>Cash</t>
  </si>
  <si>
    <t>Debt</t>
  </si>
  <si>
    <t>EV</t>
  </si>
  <si>
    <t>Q3'24</t>
  </si>
  <si>
    <t>Revenues</t>
  </si>
  <si>
    <t>Subscription Services</t>
  </si>
  <si>
    <t>Skills and Other</t>
  </si>
  <si>
    <t>Q1'22</t>
  </si>
  <si>
    <t>Q2'22</t>
  </si>
  <si>
    <t>Q3'22</t>
  </si>
  <si>
    <t>Q4'22</t>
  </si>
  <si>
    <t>Q1'23</t>
  </si>
  <si>
    <t>Q2'23</t>
  </si>
  <si>
    <t>Q3'23</t>
  </si>
  <si>
    <t>Q4'23</t>
  </si>
  <si>
    <t>Q1'24</t>
  </si>
  <si>
    <t>Q2'24</t>
  </si>
  <si>
    <t>Q4'24</t>
  </si>
  <si>
    <t>Total Net Revenues</t>
  </si>
  <si>
    <t>Active Subscriptions (millions)</t>
  </si>
  <si>
    <t>Y/Y Growth</t>
  </si>
  <si>
    <t>Subscription Service Growth</t>
  </si>
  <si>
    <t>Skills and Other Growth</t>
  </si>
  <si>
    <t>Product/Service Lines</t>
  </si>
  <si>
    <t>Skills and Other: Tutor Skills, Advertising Services, Print Textbooks and eTextbooks</t>
  </si>
  <si>
    <t>Busuu, their language business is an acquisistion from 2021 ($436 million all-cash)</t>
  </si>
  <si>
    <t>MC</t>
  </si>
  <si>
    <t>Busuu is valuable (potentially worth more than the current CHGG MC) and could be spun off</t>
  </si>
  <si>
    <t>Cost of Revenues</t>
  </si>
  <si>
    <t>Gross Profit</t>
  </si>
  <si>
    <t>R&amp;D</t>
  </si>
  <si>
    <t>Sales and Marketing</t>
  </si>
  <si>
    <t>General and Administrative</t>
  </si>
  <si>
    <t>Other income (expenses), net</t>
  </si>
  <si>
    <t>Interest expenses, net</t>
  </si>
  <si>
    <t>Pretax Income</t>
  </si>
  <si>
    <t>Net Income</t>
  </si>
  <si>
    <t>Impairement Expenses</t>
  </si>
  <si>
    <t>Income (Taxes), Benefits</t>
  </si>
  <si>
    <t>Q3'24 Notes</t>
  </si>
  <si>
    <t>Chegg Study Package has rich, well managed data. Potentially valuable as training data (ex: RDDT)</t>
  </si>
  <si>
    <t>Share repurchase program, with appx. $300 million ready to be deployed for repurchasing outstanding shares and convertible notes</t>
  </si>
  <si>
    <r>
      <t xml:space="preserve">Chegg Services: </t>
    </r>
    <r>
      <rPr>
        <b/>
        <sz val="11"/>
        <color theme="1"/>
        <rFont val="Calibre"/>
      </rPr>
      <t>Chegg Study Pack</t>
    </r>
    <r>
      <rPr>
        <sz val="11"/>
        <color theme="1"/>
        <rFont val="Calibre"/>
      </rPr>
      <t xml:space="preserve">, Chegg Study, Chegg Writing, Chegg Math, </t>
    </r>
    <r>
      <rPr>
        <b/>
        <sz val="11"/>
        <color theme="1"/>
        <rFont val="Calibre"/>
      </rPr>
      <t>EasyBib</t>
    </r>
    <r>
      <rPr>
        <sz val="11"/>
        <color theme="1"/>
        <rFont val="Calibre"/>
      </rPr>
      <t xml:space="preserve">, </t>
    </r>
    <r>
      <rPr>
        <b/>
        <sz val="11"/>
        <color theme="1"/>
        <rFont val="Calibre"/>
      </rPr>
      <t>Busuu</t>
    </r>
  </si>
  <si>
    <t>EPS</t>
  </si>
  <si>
    <t>Gross Margin</t>
  </si>
  <si>
    <t>Net Margin</t>
  </si>
  <si>
    <t>Accurate Active User Data: https://www.businessofapps.com/data/chegg-statistics/#:~:text=There%20were%207.7%20million%20Chegg,decrease%20year%2Don%2Dyear.</t>
  </si>
  <si>
    <t xml:space="preserve">Cash </t>
  </si>
  <si>
    <t>ST Investments</t>
  </si>
  <si>
    <t>AR, net</t>
  </si>
  <si>
    <t>Prepaid Expenses</t>
  </si>
  <si>
    <t>Other Current Assets</t>
  </si>
  <si>
    <t>LT Investments</t>
  </si>
  <si>
    <t>PP&amp;E</t>
  </si>
  <si>
    <t>Goodwill</t>
  </si>
  <si>
    <t>Intangibles</t>
  </si>
  <si>
    <t>ROU Assets</t>
  </si>
  <si>
    <t>Deffered Taxes</t>
  </si>
  <si>
    <t>Other Assets</t>
  </si>
  <si>
    <t>AP</t>
  </si>
  <si>
    <t>Deffered Revenues</t>
  </si>
  <si>
    <t>Accrued Liabilities</t>
  </si>
  <si>
    <t>Current Portion of Senior Notes</t>
  </si>
  <si>
    <t>Total Assets</t>
  </si>
  <si>
    <t>Convertible Senior Notes, net</t>
  </si>
  <si>
    <t>LT Op. Lease Liabilities</t>
  </si>
  <si>
    <t>Other LT Liabilities</t>
  </si>
  <si>
    <t>Total Liabilities</t>
  </si>
  <si>
    <t>Ttl L + SE</t>
  </si>
  <si>
    <t>Shareholders' Equity</t>
  </si>
  <si>
    <t>SBC</t>
  </si>
  <si>
    <t>Ttl Depreciation and Amortization</t>
  </si>
  <si>
    <t>Write-offs</t>
  </si>
  <si>
    <t>Other (Lease)</t>
  </si>
  <si>
    <t>Other (Non-Cash)</t>
  </si>
  <si>
    <t>Working Capital</t>
  </si>
  <si>
    <t>CFFO</t>
  </si>
  <si>
    <t>CapEx</t>
  </si>
  <si>
    <t>FCF</t>
  </si>
  <si>
    <t>FCF Per Share</t>
  </si>
  <si>
    <t>Q1'25</t>
  </si>
  <si>
    <t>Q2'25</t>
  </si>
  <si>
    <t>Q3'25</t>
  </si>
  <si>
    <t>Discount</t>
  </si>
  <si>
    <t>Terminal</t>
  </si>
  <si>
    <t>NPV</t>
  </si>
  <si>
    <t xml:space="preserve">50% gain in 8 trading days is nothing to scoff at… Going to close a portion of my position + take a profit… I'll let 20% of the position ride and will re-enter if another more appealing price arises </t>
  </si>
  <si>
    <t>SC</t>
  </si>
  <si>
    <t>FV</t>
  </si>
  <si>
    <t>Current</t>
  </si>
  <si>
    <t>The company is no longer priced at BV… should have bought more when it was &gt;:(</t>
  </si>
  <si>
    <t>11/25/24: Management agrees to repurchase $116.6 million of 2026 (0% interest) convertible notes for $96.2  million (Management is purchasing back convertible notes at a discount, returning $20 million in net cash to BS)</t>
  </si>
  <si>
    <t>Reported: Appx. $207.5 million remain available for securities repurchase program</t>
  </si>
  <si>
    <t>Follow up: CHGG convertible notes could be a potential play -- Update: the convertible notes are not publicly available to purchase/trade</t>
  </si>
  <si>
    <t>Busuu is still a valuable company segment. If I buy CHGG around $200 million market cap, I am buying the language  business at an estimated fair value and essentially am getting the Chegg study segment for free (even with headwinds considered, study segment is worth more than $0)</t>
  </si>
  <si>
    <t>Exited remaining position</t>
  </si>
  <si>
    <t>Ttl Revenues</t>
  </si>
  <si>
    <t>Operating Income</t>
  </si>
  <si>
    <t>Print and eTextbooks GT is non-material past '22</t>
  </si>
  <si>
    <t xml:space="preserve">Personal Note: Should probably run an "if converted" model on the convertible notes. Could potentially delute any future earnings significantly for LT shareholders. </t>
  </si>
  <si>
    <t>Chegg has been a decent trade, and there is potential to be acquired in the future… That being said, there are a lot of short term headwinds that the business faces and I am not very confident in my model (first time valuing FCF instead of net income)</t>
  </si>
  <si>
    <t>Follow Up</t>
  </si>
  <si>
    <t>Secondary reasoning for future re-entry: Chegg is still producing cash flows… If user decline/sales begins to level off, shares will bounce from their current levels</t>
  </si>
  <si>
    <t>Managers have still not broken Busuu's business preformance from the primary Chegg offering on any of their financial filings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</si>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</sst>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e"/>
    </font>
    <font>
      <sz val="11"/>
      <color theme="1"/>
      <name val="Calibre"/>
    </font>
    <font>
      <u/>
      <sz val="11"/>
      <color theme="10"/>
      <name val="Calibr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14" fontId="3" fillId="0" borderId="0" xfId="0" applyNumberFormat="1" applyFont="1"/>
    <xf numFmtId="2" fontId="2" fillId="0" borderId="0" xfId="0" applyNumberFormat="1" applyFont="1"/>
    <xf numFmtId="9" fontId="3" fillId="0" borderId="0" xfId="0" applyNumberFormat="1" applyFont="1"/>
    <xf numFmtId="0" fontId="4" fillId="0" borderId="0" xfId="1" applyFont="1"/>
    <xf numFmtId="10" fontId="3" fillId="0" borderId="0" xfId="0" applyNumberFormat="1" applyFont="1"/>
    <xf numFmtId="8" fontId="3" fillId="0" borderId="0" xfId="0" applyNumberFormat="1" applyFont="1"/>
    <xf numFmtId="14" fontId="3" fillId="0" borderId="0" xfId="0" applyNumberFormat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13</xdr:col>
      <xdr:colOff>0</xdr:colOff>
      <xdr:row>93</xdr:row>
      <xdr:rowOff>127187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41D01BB-E585-4181-BC5C-7FA7A8AEF984}"/>
            </a:ext>
          </a:extLst>
        </xdr:cNvPr>
        <xdr:cNvCxnSpPr/>
      </xdr:nvCxnSpPr>
      <xdr:spPr>
        <a:xfrm>
          <a:off x="9096375" y="0"/>
          <a:ext cx="0" cy="167959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0</xdr:row>
      <xdr:rowOff>0</xdr:rowOff>
    </xdr:from>
    <xdr:to>
      <xdr:col>32</xdr:col>
      <xdr:colOff>0</xdr:colOff>
      <xdr:row>93</xdr:row>
      <xdr:rowOff>127187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10CCF6B-CE36-468B-91A5-B51A4025B61F}"/>
            </a:ext>
          </a:extLst>
        </xdr:cNvPr>
        <xdr:cNvCxnSpPr/>
      </xdr:nvCxnSpPr>
      <xdr:spPr>
        <a:xfrm>
          <a:off x="16068675" y="0"/>
          <a:ext cx="0" cy="167959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\Model%20Price%20Targets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workbookViewId="0"/>
  </sheetViews>
  <sheetFormatPr defaultRowHeight="14.25"/>
  <cols>
    <col min="1" max="1" width="3.140625" style="2" customWidth="1"/>
    <col min="2" max="2" width="12.85546875" style="2" customWidth="1"/>
    <col min="3" max="3" width="9.140625" style="2" customWidth="1"/>
    <col min="4" max="4" width="12.140625" style="2" bestFit="1" customWidth="1"/>
    <col min="5" max="5" width="9.140625" style="2"/>
    <col min="6" max="6" width="13" style="2" customWidth="1"/>
    <col min="7" max="7" width="9.42578125" style="2" bestFit="1" customWidth="1"/>
    <col min="8" max="8" width="12.140625" style="2" bestFit="1" customWidth="1"/>
    <col min="9" max="9" width="9.140625" style="2"/>
    <col min="10" max="10" width="12.7109375" style="2" bestFit="1" customWidth="1"/>
    <col min="11" max="11" width="9.140625" style="2"/>
    <col min="12" max="12" width="10.140625" style="2" bestFit="1" customWidth="1"/>
    <col min="13" max="13" width="9.140625" style="2"/>
    <col min="14" max="14" width="12.7109375" style="2" bestFit="1" customWidth="1"/>
    <col min="15" max="15" width="9.140625" style="2"/>
    <col min="16" max="16" width="10.140625" style="2" bestFit="1" customWidth="1"/>
    <col min="17" max="17" width="9.140625" style="2"/>
    <col min="18" max="18" width="12.7109375" style="2" customWidth="1"/>
    <col min="19" max="19" width="9.7109375" style="2" customWidth="1"/>
    <col min="20" max="20" width="10.42578125" style="2" customWidth="1"/>
    <col min="21" max="16384" width="9.140625" style="2"/>
  </cols>
  <sheetData>
    <row r="1" spans="1:21" ht="15">
      <c r="A1" s="11" t="s">
        <v>107</v>
      </c>
    </row>
    <row r="2" spans="1:21" ht="15">
      <c r="B2" s="1" t="s">
        <v>0</v>
      </c>
      <c r="F2" s="1" t="s">
        <v>0</v>
      </c>
      <c r="J2" s="1" t="s">
        <v>0</v>
      </c>
      <c r="N2" s="1" t="s">
        <v>0</v>
      </c>
      <c r="R2" s="1" t="s">
        <v>0</v>
      </c>
    </row>
    <row r="3" spans="1:21">
      <c r="B3" s="2" t="s">
        <v>1</v>
      </c>
      <c r="C3" s="3">
        <v>1.51</v>
      </c>
      <c r="D3" s="4">
        <v>45609</v>
      </c>
      <c r="F3" s="2" t="s">
        <v>1</v>
      </c>
      <c r="G3" s="3">
        <v>2.2799999999999998</v>
      </c>
      <c r="H3" s="4">
        <v>45619</v>
      </c>
      <c r="J3" s="2" t="s">
        <v>1</v>
      </c>
      <c r="K3" s="3">
        <v>2.4</v>
      </c>
      <c r="L3" s="4">
        <v>45628</v>
      </c>
      <c r="N3" s="2" t="s">
        <v>1</v>
      </c>
      <c r="O3" s="3">
        <v>2.58</v>
      </c>
      <c r="P3" s="4">
        <v>45630</v>
      </c>
      <c r="R3" s="2" t="s">
        <v>1</v>
      </c>
      <c r="S3" s="3">
        <v>0.68</v>
      </c>
      <c r="T3" s="4">
        <v>45740</v>
      </c>
    </row>
    <row r="4" spans="1:21">
      <c r="B4" s="2" t="s">
        <v>2</v>
      </c>
      <c r="C4" s="3">
        <v>104.307</v>
      </c>
      <c r="D4" s="2" t="s">
        <v>6</v>
      </c>
      <c r="F4" s="2" t="s">
        <v>2</v>
      </c>
      <c r="G4" s="3">
        <v>104.307</v>
      </c>
      <c r="H4" s="2" t="s">
        <v>6</v>
      </c>
      <c r="J4" s="2" t="s">
        <v>2</v>
      </c>
      <c r="K4" s="3">
        <v>104.307</v>
      </c>
      <c r="L4" s="2" t="s">
        <v>6</v>
      </c>
      <c r="N4" s="2" t="s">
        <v>2</v>
      </c>
      <c r="O4" s="3">
        <v>104.307</v>
      </c>
      <c r="P4" s="2" t="s">
        <v>6</v>
      </c>
      <c r="R4" s="2" t="s">
        <v>2</v>
      </c>
      <c r="S4" s="3">
        <v>104.9</v>
      </c>
      <c r="T4" s="2" t="s">
        <v>20</v>
      </c>
    </row>
    <row r="5" spans="1:21">
      <c r="B5" s="2" t="s">
        <v>29</v>
      </c>
      <c r="C5" s="3">
        <f>C3*C4</f>
        <v>157.50357</v>
      </c>
      <c r="F5" s="2" t="s">
        <v>29</v>
      </c>
      <c r="G5" s="3">
        <f>G3*G4</f>
        <v>237.81995999999998</v>
      </c>
      <c r="J5" s="2" t="s">
        <v>29</v>
      </c>
      <c r="K5" s="3">
        <f>K3*K4</f>
        <v>250.33679999999998</v>
      </c>
      <c r="N5" s="2" t="s">
        <v>29</v>
      </c>
      <c r="O5" s="3">
        <f>O3*O4</f>
        <v>269.11205999999999</v>
      </c>
      <c r="R5" s="2" t="s">
        <v>29</v>
      </c>
      <c r="S5" s="3">
        <f>S3*S4</f>
        <v>71.332000000000008</v>
      </c>
    </row>
    <row r="6" spans="1:21">
      <c r="B6" s="2" t="s">
        <v>3</v>
      </c>
      <c r="C6" s="3">
        <f>152.07+209+270.16</f>
        <v>631.23</v>
      </c>
      <c r="D6" s="2" t="s">
        <v>6</v>
      </c>
      <c r="F6" s="2" t="s">
        <v>3</v>
      </c>
      <c r="G6" s="3">
        <f>152.07+209+270.16-96.2</f>
        <v>535.03</v>
      </c>
      <c r="H6" s="2" t="s">
        <v>6</v>
      </c>
      <c r="J6" s="2" t="s">
        <v>3</v>
      </c>
      <c r="K6" s="3">
        <f>152.07+209+270.16-96.2</f>
        <v>535.03</v>
      </c>
      <c r="L6" s="2" t="s">
        <v>6</v>
      </c>
      <c r="N6" s="2" t="s">
        <v>3</v>
      </c>
      <c r="O6" s="3">
        <f>152.07+209+270.16-96.2</f>
        <v>535.03</v>
      </c>
      <c r="P6" s="2" t="s">
        <v>6</v>
      </c>
      <c r="R6" s="2" t="s">
        <v>3</v>
      </c>
      <c r="S6" s="3">
        <f>152.1+209-49.8-7.6</f>
        <v>303.7</v>
      </c>
      <c r="T6" s="2" t="s">
        <v>20</v>
      </c>
    </row>
    <row r="7" spans="1:21">
      <c r="B7" s="2" t="s">
        <v>4</v>
      </c>
      <c r="C7" s="3">
        <f>358.2+243.2</f>
        <v>601.4</v>
      </c>
      <c r="D7" s="2" t="s">
        <v>6</v>
      </c>
      <c r="F7" s="2" t="s">
        <v>4</v>
      </c>
      <c r="G7" s="3">
        <f>358.2+243.2-116.6</f>
        <v>484.79999999999995</v>
      </c>
      <c r="H7" s="2" t="s">
        <v>6</v>
      </c>
      <c r="J7" s="2" t="s">
        <v>4</v>
      </c>
      <c r="K7" s="3">
        <f>358.2+243.2-116.6</f>
        <v>484.79999999999995</v>
      </c>
      <c r="L7" s="2" t="s">
        <v>6</v>
      </c>
      <c r="N7" s="2" t="s">
        <v>4</v>
      </c>
      <c r="O7" s="3">
        <f>358.2+243.2-116.6</f>
        <v>484.79999999999995</v>
      </c>
      <c r="P7" s="2" t="s">
        <v>6</v>
      </c>
      <c r="R7" s="2" t="s">
        <v>4</v>
      </c>
      <c r="S7" s="3">
        <f>358.2+243.2-56.6-8.6</f>
        <v>536.19999999999993</v>
      </c>
      <c r="T7" s="2" t="s">
        <v>20</v>
      </c>
    </row>
    <row r="8" spans="1:21">
      <c r="B8" s="2" t="s">
        <v>5</v>
      </c>
      <c r="C8" s="3">
        <f>C5-C6+C7</f>
        <v>127.67356999999993</v>
      </c>
      <c r="F8" s="2" t="s">
        <v>5</v>
      </c>
      <c r="G8" s="3">
        <f>G5-G6+G7</f>
        <v>187.58995999999996</v>
      </c>
      <c r="J8" s="2" t="s">
        <v>5</v>
      </c>
      <c r="K8" s="3">
        <f>K5-K6+K7</f>
        <v>200.10679999999996</v>
      </c>
      <c r="N8" s="2" t="s">
        <v>5</v>
      </c>
      <c r="O8" s="3">
        <f>O5-O6+O7</f>
        <v>218.88205999999997</v>
      </c>
      <c r="R8" s="2" t="s">
        <v>5</v>
      </c>
      <c r="S8" s="3">
        <f>S5-S6+S7</f>
        <v>303.83199999999994</v>
      </c>
      <c r="U8" s="3"/>
    </row>
    <row r="9" spans="1:21">
      <c r="C9" s="3"/>
      <c r="G9" s="3"/>
      <c r="O9" s="2" t="s">
        <v>98</v>
      </c>
      <c r="S9" s="2" t="s">
        <v>104</v>
      </c>
    </row>
    <row r="10" spans="1:21" ht="15">
      <c r="B10" s="1" t="s">
        <v>26</v>
      </c>
      <c r="F10" s="1"/>
    </row>
    <row r="11" spans="1:21" ht="15">
      <c r="B11" s="2" t="s">
        <v>45</v>
      </c>
    </row>
    <row r="12" spans="1:21">
      <c r="B12" s="2" t="s">
        <v>27</v>
      </c>
    </row>
    <row r="13" spans="1:21">
      <c r="B13" s="2" t="s">
        <v>49</v>
      </c>
    </row>
    <row r="14" spans="1:21">
      <c r="B14" s="2" t="s">
        <v>43</v>
      </c>
    </row>
    <row r="15" spans="1:21">
      <c r="B15" s="2" t="s">
        <v>28</v>
      </c>
    </row>
    <row r="16" spans="1:21">
      <c r="B16" s="2" t="s">
        <v>30</v>
      </c>
    </row>
    <row r="17" spans="2:6">
      <c r="B17" s="2" t="s">
        <v>101</v>
      </c>
    </row>
    <row r="19" spans="2:6" ht="15">
      <c r="B19" s="1" t="s">
        <v>42</v>
      </c>
      <c r="F19" s="1"/>
    </row>
    <row r="20" spans="2:6">
      <c r="B20" s="2" t="s">
        <v>44</v>
      </c>
    </row>
    <row r="21" spans="2:6">
      <c r="B21" s="2" t="s">
        <v>94</v>
      </c>
    </row>
    <row r="22" spans="2:6">
      <c r="B22" s="2" t="s">
        <v>95</v>
      </c>
    </row>
    <row r="23" spans="2:6" ht="15">
      <c r="B23" s="1" t="s">
        <v>102</v>
      </c>
    </row>
    <row r="24" spans="2:6" ht="15">
      <c r="B24" s="1" t="s">
        <v>96</v>
      </c>
    </row>
    <row r="26" spans="2:6">
      <c r="B26" s="10">
        <v>45625</v>
      </c>
    </row>
    <row r="27" spans="2:6">
      <c r="B27" s="2" t="s">
        <v>103</v>
      </c>
    </row>
    <row r="28" spans="2:6">
      <c r="B28" s="2" t="s">
        <v>89</v>
      </c>
    </row>
    <row r="29" spans="2:6">
      <c r="B29" s="2" t="s">
        <v>105</v>
      </c>
    </row>
    <row r="30" spans="2:6">
      <c r="B30" s="2" t="s">
        <v>93</v>
      </c>
    </row>
    <row r="31" spans="2:6">
      <c r="B31" s="2" t="s">
        <v>97</v>
      </c>
    </row>
    <row r="32" spans="2:6">
      <c r="C32" s="2" t="s">
        <v>106</v>
      </c>
    </row>
  </sheetData>
  <hyperlinks>
    <hyperlink ref="A1" r:id="rId1" xr:uid="{6D4BEC83-500D-4887-8972-162DBED15F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CEEFA-A87E-4CB9-9D9E-EF1FF21F2567}">
  <dimension ref="A2:BG90"/>
  <sheetViews>
    <sheetView zoomScale="85" zoomScaleNormal="85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P78" sqref="P78"/>
    </sheetView>
  </sheetViews>
  <sheetFormatPr defaultRowHeight="14.25"/>
  <cols>
    <col min="1" max="1" width="2.7109375" style="2" customWidth="1"/>
    <col min="2" max="2" width="32.42578125" style="2" bestFit="1" customWidth="1"/>
    <col min="3" max="11" width="9.5703125" style="2" customWidth="1"/>
    <col min="12" max="13" width="10" style="2" bestFit="1" customWidth="1"/>
    <col min="14" max="49" width="9.5703125" style="2" customWidth="1"/>
    <col min="50" max="16384" width="9.140625" style="2"/>
  </cols>
  <sheetData>
    <row r="2" spans="1:59" s="1" customFormat="1" ht="15">
      <c r="B2" s="1" t="s">
        <v>7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6</v>
      </c>
      <c r="N2" s="1" t="s">
        <v>20</v>
      </c>
      <c r="O2" s="1" t="s">
        <v>83</v>
      </c>
      <c r="P2" s="1" t="s">
        <v>84</v>
      </c>
      <c r="Q2" s="1" t="s">
        <v>85</v>
      </c>
      <c r="AA2" s="1">
        <v>2018</v>
      </c>
      <c r="AB2" s="1">
        <v>2019</v>
      </c>
      <c r="AC2" s="1">
        <f t="shared" ref="AC2:BG2" si="0">AB2+1</f>
        <v>2020</v>
      </c>
      <c r="AD2" s="1">
        <f t="shared" si="0"/>
        <v>2021</v>
      </c>
      <c r="AE2" s="1">
        <f t="shared" si="0"/>
        <v>2022</v>
      </c>
      <c r="AF2" s="1">
        <f t="shared" si="0"/>
        <v>2023</v>
      </c>
      <c r="AG2" s="1">
        <f t="shared" si="0"/>
        <v>2024</v>
      </c>
      <c r="AH2" s="1">
        <f t="shared" si="0"/>
        <v>2025</v>
      </c>
      <c r="AI2" s="1">
        <f t="shared" si="0"/>
        <v>2026</v>
      </c>
      <c r="AJ2" s="1">
        <f t="shared" si="0"/>
        <v>2027</v>
      </c>
      <c r="AK2" s="1">
        <f t="shared" si="0"/>
        <v>2028</v>
      </c>
      <c r="AL2" s="1">
        <f t="shared" si="0"/>
        <v>2029</v>
      </c>
      <c r="AM2" s="1">
        <f t="shared" si="0"/>
        <v>2030</v>
      </c>
      <c r="AN2" s="1">
        <f t="shared" si="0"/>
        <v>2031</v>
      </c>
      <c r="AO2" s="1">
        <f t="shared" si="0"/>
        <v>2032</v>
      </c>
      <c r="AP2" s="1">
        <f t="shared" si="0"/>
        <v>2033</v>
      </c>
      <c r="AQ2" s="1">
        <f t="shared" si="0"/>
        <v>2034</v>
      </c>
      <c r="AR2" s="1">
        <f t="shared" si="0"/>
        <v>2035</v>
      </c>
      <c r="AS2" s="1">
        <f t="shared" si="0"/>
        <v>2036</v>
      </c>
      <c r="AT2" s="1">
        <f t="shared" si="0"/>
        <v>2037</v>
      </c>
      <c r="AU2" s="1">
        <f t="shared" si="0"/>
        <v>2038</v>
      </c>
      <c r="AV2" s="1">
        <f t="shared" si="0"/>
        <v>2039</v>
      </c>
      <c r="AW2" s="1">
        <f t="shared" si="0"/>
        <v>2040</v>
      </c>
      <c r="AX2" s="1">
        <f t="shared" si="0"/>
        <v>2041</v>
      </c>
      <c r="AY2" s="1">
        <f t="shared" si="0"/>
        <v>2042</v>
      </c>
      <c r="AZ2" s="1">
        <f t="shared" si="0"/>
        <v>2043</v>
      </c>
      <c r="BA2" s="1">
        <f t="shared" si="0"/>
        <v>2044</v>
      </c>
      <c r="BB2" s="1">
        <f t="shared" si="0"/>
        <v>2045</v>
      </c>
      <c r="BC2" s="1">
        <f t="shared" si="0"/>
        <v>2046</v>
      </c>
      <c r="BD2" s="1">
        <f t="shared" si="0"/>
        <v>2047</v>
      </c>
      <c r="BE2" s="1">
        <f t="shared" si="0"/>
        <v>2048</v>
      </c>
      <c r="BF2" s="1">
        <f t="shared" si="0"/>
        <v>2049</v>
      </c>
      <c r="BG2" s="1">
        <f t="shared" si="0"/>
        <v>2050</v>
      </c>
    </row>
    <row r="3" spans="1:59">
      <c r="B3" s="2" t="s">
        <v>8</v>
      </c>
      <c r="C3" s="3">
        <v>184.81</v>
      </c>
      <c r="D3" s="3">
        <v>189.08</v>
      </c>
      <c r="E3" s="3">
        <v>159.26</v>
      </c>
      <c r="F3" s="3">
        <f>671.97-C3-D3-E3</f>
        <v>138.82000000000005</v>
      </c>
      <c r="G3" s="3">
        <v>168.44</v>
      </c>
      <c r="H3" s="3">
        <v>165.86</v>
      </c>
      <c r="I3" s="3">
        <v>139.91</v>
      </c>
      <c r="J3" s="3">
        <f>640.52-I3-H3-G3</f>
        <v>166.31</v>
      </c>
      <c r="K3" s="3">
        <v>154.05099999999999</v>
      </c>
      <c r="L3" s="3">
        <v>146.81299999999999</v>
      </c>
      <c r="M3" s="3">
        <v>119.8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>
        <v>253.98500000000001</v>
      </c>
      <c r="AB3" s="3">
        <v>332.22</v>
      </c>
      <c r="AC3" s="3">
        <v>521.22799999999995</v>
      </c>
      <c r="AD3" s="3">
        <v>616.82000000000005</v>
      </c>
      <c r="AE3" s="3">
        <v>671.97</v>
      </c>
      <c r="AF3" s="3">
        <v>640.52</v>
      </c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59">
      <c r="B4" s="2" t="s">
        <v>9</v>
      </c>
      <c r="C4" s="3">
        <v>17.43</v>
      </c>
      <c r="D4" s="3">
        <v>5.65</v>
      </c>
      <c r="E4" s="3">
        <v>5.48</v>
      </c>
      <c r="F4" s="3">
        <f>94.93-C4-D4-E4</f>
        <v>66.36999999999999</v>
      </c>
      <c r="G4" s="3">
        <v>19.161000000000001</v>
      </c>
      <c r="H4" s="3">
        <v>17</v>
      </c>
      <c r="I4" s="3">
        <v>17.940000000000001</v>
      </c>
      <c r="J4" s="3">
        <f>75.78-I4-H4-G4</f>
        <v>21.679000000000002</v>
      </c>
      <c r="K4" s="3">
        <v>20.3</v>
      </c>
      <c r="L4" s="3">
        <v>16.329999999999998</v>
      </c>
      <c r="M4" s="3">
        <v>16.79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>
        <v>67.09</v>
      </c>
      <c r="AB4" s="3">
        <v>78.709999999999994</v>
      </c>
      <c r="AC4" s="3">
        <v>123.11</v>
      </c>
      <c r="AD4" s="3">
        <v>159.44999999999999</v>
      </c>
      <c r="AE4" s="3">
        <v>94.93</v>
      </c>
      <c r="AF4" s="3">
        <v>75.775000000000006</v>
      </c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59" ht="15">
      <c r="B5" s="1" t="s">
        <v>21</v>
      </c>
      <c r="C5" s="5">
        <f t="shared" ref="C5:L5" si="1">C3+C4</f>
        <v>202.24</v>
      </c>
      <c r="D5" s="5">
        <f t="shared" si="1"/>
        <v>194.73000000000002</v>
      </c>
      <c r="E5" s="5">
        <f t="shared" si="1"/>
        <v>164.73999999999998</v>
      </c>
      <c r="F5" s="5">
        <f t="shared" si="1"/>
        <v>205.19000000000005</v>
      </c>
      <c r="G5" s="5">
        <f t="shared" si="1"/>
        <v>187.601</v>
      </c>
      <c r="H5" s="5">
        <f t="shared" si="1"/>
        <v>182.86</v>
      </c>
      <c r="I5" s="5">
        <f t="shared" si="1"/>
        <v>157.85</v>
      </c>
      <c r="J5" s="5">
        <f t="shared" si="1"/>
        <v>187.989</v>
      </c>
      <c r="K5" s="5">
        <f t="shared" si="1"/>
        <v>174.351</v>
      </c>
      <c r="L5" s="5">
        <f t="shared" si="1"/>
        <v>163.14299999999997</v>
      </c>
      <c r="M5" s="5">
        <f>M3+M4</f>
        <v>136.59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>
        <f t="shared" ref="AA5:AF5" si="2">AA3+AA4</f>
        <v>321.07500000000005</v>
      </c>
      <c r="AB5" s="5">
        <f t="shared" si="2"/>
        <v>410.93</v>
      </c>
      <c r="AC5" s="5">
        <f t="shared" si="2"/>
        <v>644.33799999999997</v>
      </c>
      <c r="AD5" s="5">
        <f t="shared" si="2"/>
        <v>776.27</v>
      </c>
      <c r="AE5" s="5">
        <f t="shared" si="2"/>
        <v>766.90000000000009</v>
      </c>
      <c r="AF5" s="5">
        <f t="shared" si="2"/>
        <v>716.29499999999996</v>
      </c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59">
      <c r="B6" s="2" t="s">
        <v>24</v>
      </c>
      <c r="C6" s="6"/>
      <c r="D6" s="6"/>
      <c r="E6" s="6"/>
      <c r="F6" s="6"/>
      <c r="G6" s="6">
        <f t="shared" ref="G6:L6" si="3">G3/C3-1</f>
        <v>-8.8577457929765679E-2</v>
      </c>
      <c r="H6" s="6">
        <f t="shared" si="3"/>
        <v>-0.12280516183625978</v>
      </c>
      <c r="I6" s="6">
        <f t="shared" si="3"/>
        <v>-0.12149943488634929</v>
      </c>
      <c r="J6" s="6">
        <f t="shared" si="3"/>
        <v>0.19802622100561829</v>
      </c>
      <c r="K6" s="6">
        <f t="shared" si="3"/>
        <v>-8.5425077178817421E-2</v>
      </c>
      <c r="L6" s="6">
        <f t="shared" si="3"/>
        <v>-0.11483781502471979</v>
      </c>
      <c r="M6" s="6">
        <f>M3/I3-1</f>
        <v>-0.14373525838038737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>
        <f t="shared" ref="AB6:AF7" si="4">AB3/AA3-1</f>
        <v>0.30803000177175832</v>
      </c>
      <c r="AC6" s="6">
        <f t="shared" si="4"/>
        <v>0.56892420685088174</v>
      </c>
      <c r="AD6" s="6">
        <f t="shared" si="4"/>
        <v>0.18339766858265505</v>
      </c>
      <c r="AE6" s="6">
        <f t="shared" si="4"/>
        <v>8.9410200706851128E-2</v>
      </c>
      <c r="AF6" s="6">
        <f t="shared" si="4"/>
        <v>-4.6802684643659775E-2</v>
      </c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spans="1:59">
      <c r="B7" s="2" t="s">
        <v>25</v>
      </c>
      <c r="C7" s="6"/>
      <c r="D7" s="6"/>
      <c r="E7" s="6"/>
      <c r="F7" s="6"/>
      <c r="G7" s="6">
        <f t="shared" ref="G7:L7" si="5">G4/C4-1</f>
        <v>9.9311531841652423E-2</v>
      </c>
      <c r="H7" s="6">
        <f t="shared" si="5"/>
        <v>2.0088495575221237</v>
      </c>
      <c r="I7" s="6">
        <f t="shared" si="5"/>
        <v>2.2737226277372264</v>
      </c>
      <c r="J7" s="6">
        <f t="shared" si="5"/>
        <v>-0.67336145849028162</v>
      </c>
      <c r="K7" s="6">
        <f t="shared" si="5"/>
        <v>5.9443661604300368E-2</v>
      </c>
      <c r="L7" s="6">
        <f t="shared" si="5"/>
        <v>-3.9411764705882479E-2</v>
      </c>
      <c r="M7" s="6">
        <f>M4/I4-1</f>
        <v>-6.4102564102564208E-2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>
        <f t="shared" si="4"/>
        <v>0.17320017886421213</v>
      </c>
      <c r="AC7" s="6">
        <f t="shared" si="4"/>
        <v>0.56409604878668551</v>
      </c>
      <c r="AD7" s="6">
        <f t="shared" si="4"/>
        <v>0.29518316952319057</v>
      </c>
      <c r="AE7" s="6">
        <f t="shared" si="4"/>
        <v>-0.4046409532768892</v>
      </c>
      <c r="AF7" s="6">
        <f t="shared" si="4"/>
        <v>-0.20178025913831243</v>
      </c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</row>
    <row r="9" spans="1:59">
      <c r="A9" s="7"/>
      <c r="B9" s="2" t="s">
        <v>22</v>
      </c>
      <c r="C9" s="2">
        <v>5.4</v>
      </c>
      <c r="D9" s="2">
        <v>5.3</v>
      </c>
      <c r="E9" s="2">
        <v>4.8</v>
      </c>
      <c r="F9" s="2">
        <v>5</v>
      </c>
      <c r="G9" s="2">
        <v>5.0999999999999996</v>
      </c>
      <c r="H9" s="2">
        <v>4.8</v>
      </c>
      <c r="I9" s="2">
        <v>4.4000000000000004</v>
      </c>
      <c r="J9" s="2">
        <v>4.5999999999999996</v>
      </c>
      <c r="K9" s="2">
        <v>4.7</v>
      </c>
      <c r="L9" s="2">
        <v>4.4000000000000004</v>
      </c>
      <c r="M9" s="2">
        <v>3.8</v>
      </c>
      <c r="AA9" s="2">
        <v>3.1</v>
      </c>
      <c r="AB9" s="2">
        <v>3.9</v>
      </c>
      <c r="AC9" s="2">
        <v>6.6</v>
      </c>
      <c r="AD9" s="2">
        <v>7.8</v>
      </c>
      <c r="AE9" s="2">
        <v>8.1999999999999993</v>
      </c>
      <c r="AF9" s="2">
        <v>7.7</v>
      </c>
    </row>
    <row r="10" spans="1:59">
      <c r="B10" s="2" t="s">
        <v>23</v>
      </c>
      <c r="C10" s="8"/>
      <c r="D10" s="8"/>
      <c r="E10" s="8"/>
      <c r="F10" s="8"/>
      <c r="G10" s="8">
        <f>G9/C9-1</f>
        <v>-5.5555555555555691E-2</v>
      </c>
      <c r="H10" s="8">
        <f t="shared" ref="H10:M10" si="6">H9/D9-1</f>
        <v>-9.4339622641509413E-2</v>
      </c>
      <c r="I10" s="8">
        <f t="shared" si="6"/>
        <v>-8.3333333333333259E-2</v>
      </c>
      <c r="J10" s="8">
        <f t="shared" si="6"/>
        <v>-8.0000000000000071E-2</v>
      </c>
      <c r="K10" s="8">
        <f t="shared" si="6"/>
        <v>-7.8431372549019551E-2</v>
      </c>
      <c r="L10" s="8">
        <f t="shared" si="6"/>
        <v>-8.3333333333333259E-2</v>
      </c>
      <c r="M10" s="8">
        <f t="shared" si="6"/>
        <v>-0.13636363636363646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>
        <f>AB9/AA9-1</f>
        <v>0.25806451612903225</v>
      </c>
      <c r="AC10" s="8">
        <f>AC9/AB9-1</f>
        <v>0.69230769230769229</v>
      </c>
      <c r="AD10" s="8">
        <f>AD9/AC9-1</f>
        <v>0.18181818181818188</v>
      </c>
      <c r="AE10" s="8">
        <f>AE9/AD9-1</f>
        <v>5.1282051282051322E-2</v>
      </c>
      <c r="AF10" s="8">
        <f>AF9/AE9-1</f>
        <v>-6.0975609756097504E-2</v>
      </c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2" spans="1:59">
      <c r="B12" s="2" t="s">
        <v>99</v>
      </c>
      <c r="C12" s="3">
        <f t="shared" ref="C12:L12" si="7">C5</f>
        <v>202.24</v>
      </c>
      <c r="D12" s="3">
        <f t="shared" si="7"/>
        <v>194.73000000000002</v>
      </c>
      <c r="E12" s="3">
        <f>E5</f>
        <v>164.73999999999998</v>
      </c>
      <c r="F12" s="3">
        <f>766.9-C12-D12-E12</f>
        <v>205.18999999999997</v>
      </c>
      <c r="G12" s="3">
        <f t="shared" si="7"/>
        <v>187.601</v>
      </c>
      <c r="H12" s="3">
        <f t="shared" si="7"/>
        <v>182.86</v>
      </c>
      <c r="I12" s="3">
        <f t="shared" si="7"/>
        <v>157.85</v>
      </c>
      <c r="J12" s="3">
        <f>716.3-G12-H12-I12</f>
        <v>187.98899999999995</v>
      </c>
      <c r="K12" s="3">
        <f t="shared" si="7"/>
        <v>174.351</v>
      </c>
      <c r="L12" s="3">
        <f t="shared" si="7"/>
        <v>163.14299999999997</v>
      </c>
      <c r="M12" s="3">
        <f>M5</f>
        <v>136.59</v>
      </c>
      <c r="N12" s="3">
        <f>J12*0.85</f>
        <v>159.79064999999994</v>
      </c>
      <c r="O12" s="3">
        <f>K12*0.85</f>
        <v>148.19835</v>
      </c>
      <c r="P12" s="3">
        <f>L12*0.85</f>
        <v>138.67154999999997</v>
      </c>
      <c r="Q12" s="3">
        <f>M12*0.85</f>
        <v>116.1015</v>
      </c>
      <c r="R12" s="3"/>
      <c r="S12" s="3"/>
      <c r="T12" s="3"/>
      <c r="U12" s="3"/>
      <c r="V12" s="3"/>
      <c r="W12" s="3"/>
      <c r="X12" s="3"/>
      <c r="Y12" s="3"/>
      <c r="Z12" s="3"/>
      <c r="AA12" s="3">
        <f t="shared" ref="AA12:AF12" si="8">AA5</f>
        <v>321.07500000000005</v>
      </c>
      <c r="AB12" s="3">
        <f t="shared" si="8"/>
        <v>410.93</v>
      </c>
      <c r="AC12" s="3">
        <f t="shared" si="8"/>
        <v>644.33799999999997</v>
      </c>
      <c r="AD12" s="3">
        <f t="shared" si="8"/>
        <v>776.27</v>
      </c>
      <c r="AE12" s="3">
        <f t="shared" si="8"/>
        <v>766.90000000000009</v>
      </c>
      <c r="AF12" s="3">
        <f t="shared" si="8"/>
        <v>716.29499999999996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59">
      <c r="B13" s="2" t="s">
        <v>31</v>
      </c>
      <c r="C13" s="3">
        <v>55.09</v>
      </c>
      <c r="D13" s="3">
        <v>45.68</v>
      </c>
      <c r="E13" s="3">
        <v>45.203000000000003</v>
      </c>
      <c r="F13" s="3">
        <f>197.4-C13-D13-E13</f>
        <v>51.426999999999992</v>
      </c>
      <c r="G13" s="3">
        <v>49.15</v>
      </c>
      <c r="H13" s="3">
        <v>47.41</v>
      </c>
      <c r="I13" s="3">
        <v>83.58</v>
      </c>
      <c r="J13" s="3">
        <f>225.94-G13-H13-I13</f>
        <v>45.8</v>
      </c>
      <c r="K13" s="3">
        <v>46.5</v>
      </c>
      <c r="L13" s="3">
        <v>45.411000000000001</v>
      </c>
      <c r="M13" s="3">
        <v>43.42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>
        <v>80</v>
      </c>
      <c r="AB13" s="3">
        <v>92.18</v>
      </c>
      <c r="AC13" s="3">
        <v>205.42</v>
      </c>
      <c r="AD13" s="3">
        <v>254.9</v>
      </c>
      <c r="AE13" s="3">
        <f t="shared" ref="AE13:AE24" si="9">SUM(C13:F13)</f>
        <v>197.4</v>
      </c>
      <c r="AF13" s="3">
        <f t="shared" ref="AF13:AF24" si="10">SUM(G13:J13)</f>
        <v>225.94</v>
      </c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59">
      <c r="B14" s="2" t="s">
        <v>32</v>
      </c>
      <c r="C14" s="3">
        <f t="shared" ref="C14:L14" si="11">C12-C13</f>
        <v>147.15</v>
      </c>
      <c r="D14" s="3">
        <f t="shared" si="11"/>
        <v>149.05000000000001</v>
      </c>
      <c r="E14" s="3">
        <f t="shared" si="11"/>
        <v>119.53699999999998</v>
      </c>
      <c r="F14" s="3">
        <f t="shared" si="11"/>
        <v>153.76299999999998</v>
      </c>
      <c r="G14" s="3">
        <f t="shared" si="11"/>
        <v>138.45099999999999</v>
      </c>
      <c r="H14" s="3">
        <f t="shared" si="11"/>
        <v>135.45000000000002</v>
      </c>
      <c r="I14" s="3">
        <f t="shared" si="11"/>
        <v>74.27</v>
      </c>
      <c r="J14" s="3">
        <f>J12-J13</f>
        <v>142.18899999999996</v>
      </c>
      <c r="K14" s="3">
        <f t="shared" si="11"/>
        <v>127.851</v>
      </c>
      <c r="L14" s="3">
        <f t="shared" si="11"/>
        <v>117.73199999999997</v>
      </c>
      <c r="M14" s="3">
        <f>M12-M13</f>
        <v>93.17</v>
      </c>
      <c r="N14" s="3">
        <f>N12*0.65</f>
        <v>103.86392249999997</v>
      </c>
      <c r="O14" s="3">
        <f t="shared" ref="O14:Q14" si="12">O12*0.65</f>
        <v>96.328927500000006</v>
      </c>
      <c r="P14" s="3">
        <f t="shared" si="12"/>
        <v>90.136507499999979</v>
      </c>
      <c r="Q14" s="3">
        <f t="shared" si="12"/>
        <v>75.465975</v>
      </c>
      <c r="R14" s="3"/>
      <c r="S14" s="3"/>
      <c r="T14" s="3"/>
      <c r="U14" s="3"/>
      <c r="V14" s="3"/>
      <c r="W14" s="3"/>
      <c r="X14" s="3"/>
      <c r="Y14" s="3"/>
      <c r="Z14" s="3"/>
      <c r="AA14" s="3">
        <f>AA12-AA13</f>
        <v>241.07500000000005</v>
      </c>
      <c r="AB14" s="3">
        <f>AB12-AB13</f>
        <v>318.75</v>
      </c>
      <c r="AC14" s="3">
        <f>AC12-AC13</f>
        <v>438.91800000000001</v>
      </c>
      <c r="AD14" s="3">
        <f>AD12-AD13</f>
        <v>521.37</v>
      </c>
      <c r="AE14" s="3">
        <f t="shared" si="9"/>
        <v>569.5</v>
      </c>
      <c r="AF14" s="3">
        <f t="shared" si="10"/>
        <v>490.35999999999996</v>
      </c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59">
      <c r="B15" s="2" t="s">
        <v>33</v>
      </c>
      <c r="C15" s="3">
        <v>52.42</v>
      </c>
      <c r="D15" s="3">
        <v>52.48</v>
      </c>
      <c r="E15" s="3">
        <v>45.43</v>
      </c>
      <c r="F15" s="3">
        <f>196.64-C15-D15-E15</f>
        <v>46.309999999999981</v>
      </c>
      <c r="G15" s="3">
        <v>46.91</v>
      </c>
      <c r="H15" s="3">
        <v>52.87</v>
      </c>
      <c r="I15" s="3">
        <v>46.2</v>
      </c>
      <c r="J15" s="3">
        <f>191.71-G15-H15-I15</f>
        <v>45.730000000000004</v>
      </c>
      <c r="K15" s="3">
        <v>44.43</v>
      </c>
      <c r="L15" s="3">
        <v>43.651000000000003</v>
      </c>
      <c r="M15" s="3">
        <v>41.34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>
        <v>114.29</v>
      </c>
      <c r="AB15" s="3">
        <v>139.77000000000001</v>
      </c>
      <c r="AC15" s="3">
        <v>170.91</v>
      </c>
      <c r="AD15" s="3">
        <v>178.82</v>
      </c>
      <c r="AE15" s="3">
        <f t="shared" si="9"/>
        <v>196.64</v>
      </c>
      <c r="AF15" s="3">
        <f t="shared" si="10"/>
        <v>191.71000000000004</v>
      </c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59">
      <c r="B16" s="2" t="s">
        <v>34</v>
      </c>
      <c r="C16" s="3">
        <v>42.5</v>
      </c>
      <c r="D16" s="3">
        <v>35.28</v>
      </c>
      <c r="E16" s="3">
        <v>31.803000000000001</v>
      </c>
      <c r="F16" s="3">
        <f>147.66-C16-D16-E16</f>
        <v>38.076999999999998</v>
      </c>
      <c r="G16" s="3">
        <v>37.020000000000003</v>
      </c>
      <c r="H16" s="3">
        <v>30.96</v>
      </c>
      <c r="I16" s="3">
        <v>28.87</v>
      </c>
      <c r="J16" s="3">
        <f>126.59-G16-H16-I16</f>
        <v>29.739999999999991</v>
      </c>
      <c r="K16" s="3">
        <v>30.38</v>
      </c>
      <c r="L16" s="3">
        <v>23.545000000000002</v>
      </c>
      <c r="M16" s="3">
        <v>26.51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>
        <v>54.71</v>
      </c>
      <c r="AB16" s="3">
        <v>63.57</v>
      </c>
      <c r="AC16" s="3">
        <v>81.91</v>
      </c>
      <c r="AD16" s="3">
        <v>105.41</v>
      </c>
      <c r="AE16" s="3">
        <f t="shared" si="9"/>
        <v>147.66</v>
      </c>
      <c r="AF16" s="3">
        <f t="shared" si="10"/>
        <v>126.59</v>
      </c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2:49">
      <c r="B17" s="2" t="s">
        <v>35</v>
      </c>
      <c r="C17" s="3">
        <v>46.87</v>
      </c>
      <c r="D17" s="3">
        <v>53.94</v>
      </c>
      <c r="E17" s="3">
        <v>53.741999999999997</v>
      </c>
      <c r="F17" s="3">
        <f>216.25-C17-D17-E17</f>
        <v>61.698</v>
      </c>
      <c r="G17" s="3">
        <v>58.972999999999999</v>
      </c>
      <c r="H17" s="3">
        <v>70.31</v>
      </c>
      <c r="I17" s="3">
        <v>53.48</v>
      </c>
      <c r="J17" s="3">
        <f>239.78-G17-H17-I17</f>
        <v>57.017000000000017</v>
      </c>
      <c r="K17" s="3">
        <v>55.53</v>
      </c>
      <c r="L17" s="3">
        <v>54.015999999999998</v>
      </c>
      <c r="M17" s="3">
        <v>51.91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>
        <v>77.709999999999994</v>
      </c>
      <c r="AB17" s="3">
        <v>97.49</v>
      </c>
      <c r="AC17" s="3">
        <v>129.35</v>
      </c>
      <c r="AD17" s="3">
        <v>159.02000000000001</v>
      </c>
      <c r="AE17" s="3">
        <f t="shared" si="9"/>
        <v>216.25</v>
      </c>
      <c r="AF17" s="3">
        <f t="shared" si="10"/>
        <v>239.78000000000003</v>
      </c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2:49">
      <c r="B18" s="2" t="s">
        <v>40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3.6</v>
      </c>
      <c r="J18" s="3">
        <v>0</v>
      </c>
      <c r="K18" s="3">
        <v>0</v>
      </c>
      <c r="L18" s="3">
        <v>481.53100000000001</v>
      </c>
      <c r="M18" s="3">
        <v>195.708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>
        <v>0.6</v>
      </c>
      <c r="AB18" s="3">
        <v>0.1</v>
      </c>
      <c r="AC18" s="3">
        <v>0</v>
      </c>
      <c r="AD18" s="3">
        <v>0</v>
      </c>
      <c r="AE18" s="3">
        <f t="shared" si="9"/>
        <v>0</v>
      </c>
      <c r="AF18" s="3">
        <f t="shared" si="10"/>
        <v>3.6</v>
      </c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2:49">
      <c r="B19" s="2" t="s">
        <v>100</v>
      </c>
      <c r="C19" s="3">
        <f t="shared" ref="C19:L19" si="13">C14-SUM(C15:C18)</f>
        <v>5.3600000000000136</v>
      </c>
      <c r="D19" s="3">
        <f t="shared" si="13"/>
        <v>7.3500000000000227</v>
      </c>
      <c r="E19" s="3">
        <f t="shared" si="13"/>
        <v>-11.438000000000017</v>
      </c>
      <c r="F19" s="3">
        <f t="shared" ref="F19:K19" si="14">F14-SUM(F15:F18)</f>
        <v>7.6779999999999973</v>
      </c>
      <c r="G19" s="3">
        <f t="shared" si="14"/>
        <v>-4.4520000000000266</v>
      </c>
      <c r="H19" s="3">
        <f t="shared" si="14"/>
        <v>-18.689999999999969</v>
      </c>
      <c r="I19" s="3">
        <f t="shared" si="14"/>
        <v>-57.88000000000001</v>
      </c>
      <c r="J19" s="3">
        <f t="shared" si="14"/>
        <v>9.7019999999999413</v>
      </c>
      <c r="K19" s="3">
        <f t="shared" si="14"/>
        <v>-2.4890000000000043</v>
      </c>
      <c r="L19" s="3">
        <f t="shared" si="13"/>
        <v>-485.01099999999997</v>
      </c>
      <c r="M19" s="3">
        <f>M14-SUM(M15:M18)</f>
        <v>-222.298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>
        <f>AA14-SUM(AA15:AA18)</f>
        <v>-6.2349999999999284</v>
      </c>
      <c r="AB19" s="3">
        <f>AB14-SUM(AB15:AB18)</f>
        <v>17.819999999999993</v>
      </c>
      <c r="AC19" s="3">
        <f>AC14-SUM(AC15:AC18)</f>
        <v>56.748000000000047</v>
      </c>
      <c r="AD19" s="3">
        <f>AD14-SUM(AD15:AD18)</f>
        <v>78.12</v>
      </c>
      <c r="AE19" s="3">
        <f t="shared" si="9"/>
        <v>8.9500000000000171</v>
      </c>
      <c r="AF19" s="3">
        <f t="shared" si="10"/>
        <v>-71.320000000000064</v>
      </c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2:49">
      <c r="B20" s="2" t="s">
        <v>37</v>
      </c>
      <c r="C20" s="3">
        <v>-1.6</v>
      </c>
      <c r="D20" s="3">
        <v>-1.62</v>
      </c>
      <c r="E20" s="3">
        <v>-1.53</v>
      </c>
      <c r="F20" s="3">
        <f>-6.06-C20-D20-E20</f>
        <v>-1.3099999999999989</v>
      </c>
      <c r="G20" s="3">
        <v>-1.27</v>
      </c>
      <c r="H20" s="3">
        <v>-1.1100000000000001</v>
      </c>
      <c r="I20" s="3">
        <v>-0.73</v>
      </c>
      <c r="J20" s="3">
        <f>-3.77-G20-H20-I20</f>
        <v>-0.65999999999999992</v>
      </c>
      <c r="K20" s="3">
        <v>-0.65</v>
      </c>
      <c r="L20" s="3">
        <v>-0.65</v>
      </c>
      <c r="M20" s="3">
        <v>-0.66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>
        <v>-11.23</v>
      </c>
      <c r="AB20" s="3">
        <v>-44.85</v>
      </c>
      <c r="AC20" s="3">
        <v>-66.3</v>
      </c>
      <c r="AD20" s="3">
        <v>-6.9</v>
      </c>
      <c r="AE20" s="3">
        <f t="shared" si="9"/>
        <v>-6.0599999999999987</v>
      </c>
      <c r="AF20" s="3">
        <f t="shared" si="10"/>
        <v>-3.7699999999999996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2:49">
      <c r="B21" s="2" t="s">
        <v>36</v>
      </c>
      <c r="C21" s="3">
        <v>6.18</v>
      </c>
      <c r="D21" s="3">
        <v>1.81</v>
      </c>
      <c r="E21" s="3">
        <v>97.26</v>
      </c>
      <c r="F21" s="3">
        <f>101.03-C21-D21-E21</f>
        <v>-4.2200000000000131</v>
      </c>
      <c r="G21" s="3">
        <v>12.076000000000001</v>
      </c>
      <c r="H21" s="3">
        <v>64.102999999999994</v>
      </c>
      <c r="I21" s="3">
        <v>40.491999999999997</v>
      </c>
      <c r="J21" s="3">
        <f>121.81-G21-H21-I21</f>
        <v>5.1390000000000171</v>
      </c>
      <c r="K21" s="3">
        <v>10.78</v>
      </c>
      <c r="L21" s="3">
        <v>7.1189999999999998</v>
      </c>
      <c r="M21" s="3">
        <v>7.59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>
        <v>3.99</v>
      </c>
      <c r="AB21" s="3">
        <v>20.059999999999999</v>
      </c>
      <c r="AC21" s="3">
        <v>8.68</v>
      </c>
      <c r="AD21" s="3">
        <v>-65.47</v>
      </c>
      <c r="AE21" s="3">
        <f t="shared" si="9"/>
        <v>101.02999999999999</v>
      </c>
      <c r="AF21" s="3">
        <f t="shared" si="10"/>
        <v>121.81</v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2:49">
      <c r="B22" s="2" t="s">
        <v>38</v>
      </c>
      <c r="C22" s="3">
        <f t="shared" ref="C22:M22" si="15">SUM(C19:C21)</f>
        <v>9.9400000000000137</v>
      </c>
      <c r="D22" s="3">
        <f t="shared" si="15"/>
        <v>7.5400000000000222</v>
      </c>
      <c r="E22" s="3">
        <f t="shared" si="15"/>
        <v>84.291999999999987</v>
      </c>
      <c r="F22" s="3">
        <f t="shared" si="15"/>
        <v>2.1479999999999855</v>
      </c>
      <c r="G22" s="3">
        <f t="shared" si="15"/>
        <v>6.3539999999999743</v>
      </c>
      <c r="H22" s="3">
        <f t="shared" si="15"/>
        <v>44.303000000000026</v>
      </c>
      <c r="I22" s="3">
        <f t="shared" si="15"/>
        <v>-18.118000000000009</v>
      </c>
      <c r="J22" s="3">
        <f t="shared" si="15"/>
        <v>14.180999999999958</v>
      </c>
      <c r="K22" s="3">
        <f t="shared" si="15"/>
        <v>7.6409999999999947</v>
      </c>
      <c r="L22" s="3">
        <f t="shared" si="15"/>
        <v>-478.54199999999992</v>
      </c>
      <c r="M22" s="3">
        <f t="shared" si="15"/>
        <v>-215.36799999999999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>
        <f>AA19+SUM(AA20:AA21)</f>
        <v>-13.474999999999929</v>
      </c>
      <c r="AB22" s="3">
        <f>AB19+SUM(AB20:AB21)</f>
        <v>-6.9700000000000095</v>
      </c>
      <c r="AC22" s="3">
        <f>AC19+SUM(AC20:AC21)</f>
        <v>-0.87199999999995015</v>
      </c>
      <c r="AD22" s="3">
        <f>AD19+SUM(AD20:AD21)</f>
        <v>5.75</v>
      </c>
      <c r="AE22" s="3">
        <f t="shared" si="9"/>
        <v>103.92</v>
      </c>
      <c r="AF22" s="3">
        <f t="shared" si="10"/>
        <v>46.719999999999942</v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2:49">
      <c r="B23" s="2" t="s">
        <v>41</v>
      </c>
      <c r="C23" s="3">
        <v>-4.22</v>
      </c>
      <c r="D23" s="3">
        <v>-0.06</v>
      </c>
      <c r="E23" s="3">
        <v>167.26400000000001</v>
      </c>
      <c r="F23" s="3">
        <f>162.69-C23-D23-E23</f>
        <v>-0.29400000000001114</v>
      </c>
      <c r="G23" s="3">
        <v>-4.18</v>
      </c>
      <c r="H23" s="3">
        <v>-19.68</v>
      </c>
      <c r="I23" s="3">
        <v>-0.17</v>
      </c>
      <c r="J23" s="3">
        <f>-32.13-G23-H23-I23</f>
        <v>-8.1000000000000032</v>
      </c>
      <c r="K23" s="3">
        <v>-9.06</v>
      </c>
      <c r="L23" s="3">
        <v>-138.345</v>
      </c>
      <c r="M23" s="3">
        <v>2.72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>
        <v>1.43</v>
      </c>
      <c r="AB23" s="3">
        <v>2.63</v>
      </c>
      <c r="AC23" s="3">
        <v>5.36</v>
      </c>
      <c r="AD23" s="3">
        <v>7.2</v>
      </c>
      <c r="AE23" s="3">
        <f t="shared" si="9"/>
        <v>162.69</v>
      </c>
      <c r="AF23" s="3">
        <f t="shared" si="10"/>
        <v>-32.130000000000003</v>
      </c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2:49">
      <c r="B24" s="2" t="s">
        <v>39</v>
      </c>
      <c r="C24" s="3">
        <f t="shared" ref="C24:L24" si="16">C22+C23</f>
        <v>5.720000000000014</v>
      </c>
      <c r="D24" s="3">
        <f t="shared" si="16"/>
        <v>7.4800000000000226</v>
      </c>
      <c r="E24" s="3">
        <f t="shared" si="16"/>
        <v>251.55599999999998</v>
      </c>
      <c r="F24" s="3">
        <f t="shared" si="16"/>
        <v>1.8539999999999743</v>
      </c>
      <c r="G24" s="3">
        <f t="shared" si="16"/>
        <v>2.1739999999999746</v>
      </c>
      <c r="H24" s="3">
        <f t="shared" si="16"/>
        <v>24.623000000000026</v>
      </c>
      <c r="I24" s="3">
        <f t="shared" si="16"/>
        <v>-18.288000000000011</v>
      </c>
      <c r="J24" s="3">
        <f t="shared" si="16"/>
        <v>6.0809999999999551</v>
      </c>
      <c r="K24" s="3">
        <f t="shared" si="16"/>
        <v>-1.4190000000000058</v>
      </c>
      <c r="L24" s="3">
        <f t="shared" si="16"/>
        <v>-616.88699999999994</v>
      </c>
      <c r="M24" s="3">
        <f>M22+M23</f>
        <v>-212.648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>
        <f>AA22-AA23</f>
        <v>-14.904999999999928</v>
      </c>
      <c r="AB24" s="3">
        <f>AB22-AB23</f>
        <v>-9.6000000000000085</v>
      </c>
      <c r="AC24" s="3">
        <f>AC22-AC23</f>
        <v>-6.2319999999999505</v>
      </c>
      <c r="AD24" s="3">
        <f>AD22-AD23</f>
        <v>-1.4500000000000002</v>
      </c>
      <c r="AE24" s="3">
        <f t="shared" si="9"/>
        <v>266.61</v>
      </c>
      <c r="AF24" s="3">
        <f t="shared" si="10"/>
        <v>14.589999999999945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2:49">
      <c r="B25" s="2" t="s">
        <v>2</v>
      </c>
      <c r="C25" s="2">
        <v>125.895</v>
      </c>
      <c r="D25" s="2">
        <v>126.399</v>
      </c>
      <c r="E25" s="2">
        <v>125.477</v>
      </c>
      <c r="F25" s="2">
        <v>126.55200000000001</v>
      </c>
      <c r="G25" s="2">
        <v>119.71599999999999</v>
      </c>
      <c r="H25" s="2">
        <v>115.321</v>
      </c>
      <c r="I25" s="2">
        <v>115.815</v>
      </c>
      <c r="J25" s="2">
        <v>102.949</v>
      </c>
      <c r="K25" s="2">
        <v>102.217</v>
      </c>
      <c r="L25" s="2">
        <v>103.67</v>
      </c>
      <c r="M25" s="2">
        <v>104.307</v>
      </c>
      <c r="AA25" s="2">
        <v>129.423</v>
      </c>
      <c r="AB25" s="2">
        <v>129.423</v>
      </c>
      <c r="AC25" s="2">
        <v>129.423</v>
      </c>
      <c r="AD25" s="2">
        <v>134.84899999999999</v>
      </c>
      <c r="AE25" s="2">
        <f>AVERAGE(C25:F25)</f>
        <v>126.08074999999999</v>
      </c>
      <c r="AF25" s="2">
        <f>AVERAGE(G25:J25)</f>
        <v>113.45025</v>
      </c>
    </row>
    <row r="26" spans="2:49">
      <c r="B26" s="2" t="s">
        <v>46</v>
      </c>
      <c r="C26" s="3">
        <f>C24/C25</f>
        <v>4.5434687636522614E-2</v>
      </c>
      <c r="D26" s="3">
        <f t="shared" ref="D26:M26" si="17">D24/D25</f>
        <v>5.917768336774834E-2</v>
      </c>
      <c r="E26" s="3">
        <f t="shared" si="17"/>
        <v>2.0047976920072998</v>
      </c>
      <c r="F26" s="3">
        <f t="shared" si="17"/>
        <v>1.465010430494954E-2</v>
      </c>
      <c r="G26" s="3">
        <f t="shared" si="17"/>
        <v>1.8159644491964104E-2</v>
      </c>
      <c r="H26" s="3">
        <f t="shared" si="17"/>
        <v>0.21351705240155763</v>
      </c>
      <c r="I26" s="3">
        <f t="shared" si="17"/>
        <v>-0.1579070068643959</v>
      </c>
      <c r="J26" s="3">
        <f t="shared" si="17"/>
        <v>5.9068082254319663E-2</v>
      </c>
      <c r="K26" s="3">
        <f t="shared" si="17"/>
        <v>-1.3882230940058951E-2</v>
      </c>
      <c r="L26" s="3">
        <f t="shared" si="17"/>
        <v>-5.9504871226005589</v>
      </c>
      <c r="M26" s="3">
        <f t="shared" si="17"/>
        <v>-2.0386742979857537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>
        <f>AA24/AA25</f>
        <v>-0.11516500158395283</v>
      </c>
      <c r="AB26" s="3">
        <f>AB24/AB25</f>
        <v>-7.4175378410328993E-2</v>
      </c>
      <c r="AC26" s="3">
        <f>AC24/AC25</f>
        <v>-4.8152183151371472E-2</v>
      </c>
      <c r="AD26" s="3">
        <f>AD24/AD25</f>
        <v>-1.0752767910774275E-2</v>
      </c>
      <c r="AE26" s="3">
        <f>SUM(C26:F26)</f>
        <v>2.1240601673165203</v>
      </c>
      <c r="AF26" s="3">
        <f>SUM(G26:J26)</f>
        <v>0.13283777228344551</v>
      </c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8" spans="2:49">
      <c r="B28" s="2" t="s">
        <v>47</v>
      </c>
      <c r="C28" s="8">
        <f>C14/C12</f>
        <v>0.72760087025316456</v>
      </c>
      <c r="D28" s="8">
        <f t="shared" ref="D28:M28" si="18">D14/D12</f>
        <v>0.76541878498433724</v>
      </c>
      <c r="E28" s="8">
        <f t="shared" si="18"/>
        <v>0.72561005220347208</v>
      </c>
      <c r="F28" s="8">
        <f t="shared" si="18"/>
        <v>0.74936887762561533</v>
      </c>
      <c r="G28" s="8">
        <f t="shared" si="18"/>
        <v>0.73800779313543097</v>
      </c>
      <c r="H28" s="8">
        <f t="shared" si="18"/>
        <v>0.74073061358416281</v>
      </c>
      <c r="I28" s="8">
        <f t="shared" si="18"/>
        <v>0.47050997782705101</v>
      </c>
      <c r="J28" s="8">
        <f t="shared" si="18"/>
        <v>0.75636872370191877</v>
      </c>
      <c r="K28" s="8">
        <f t="shared" si="18"/>
        <v>0.73329662577214927</v>
      </c>
      <c r="L28" s="8">
        <f t="shared" si="18"/>
        <v>0.7216491053860723</v>
      </c>
      <c r="M28" s="8">
        <f t="shared" si="18"/>
        <v>0.68211435683432164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>
        <f t="shared" ref="AA28:AF28" si="19">AA14/AA12</f>
        <v>0.75083703184614192</v>
      </c>
      <c r="AB28" s="8">
        <f t="shared" si="19"/>
        <v>0.77567955612878103</v>
      </c>
      <c r="AC28" s="8">
        <f t="shared" si="19"/>
        <v>0.68119216932727855</v>
      </c>
      <c r="AD28" s="8">
        <f t="shared" si="19"/>
        <v>0.67163486931093563</v>
      </c>
      <c r="AE28" s="8">
        <f t="shared" si="19"/>
        <v>0.7426000782370582</v>
      </c>
      <c r="AF28" s="8">
        <f t="shared" si="19"/>
        <v>0.68457828129471798</v>
      </c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2:49">
      <c r="B29" s="2" t="s">
        <v>48</v>
      </c>
      <c r="C29" s="8">
        <f>C24/C12</f>
        <v>2.8283227848101333E-2</v>
      </c>
      <c r="D29" s="8">
        <f t="shared" ref="D29:L29" si="20">D24/D12</f>
        <v>3.8412160427258368E-2</v>
      </c>
      <c r="E29" s="8">
        <f t="shared" si="20"/>
        <v>1.526987981061066</v>
      </c>
      <c r="F29" s="8">
        <f t="shared" si="20"/>
        <v>9.0355280471756654E-3</v>
      </c>
      <c r="G29" s="8">
        <f t="shared" si="20"/>
        <v>1.1588424368739903E-2</v>
      </c>
      <c r="H29" s="8">
        <f t="shared" si="20"/>
        <v>0.13465492726676159</v>
      </c>
      <c r="I29" s="8">
        <f t="shared" si="20"/>
        <v>-0.11585682610072862</v>
      </c>
      <c r="J29" s="8">
        <f t="shared" si="20"/>
        <v>3.2347637361760301E-2</v>
      </c>
      <c r="K29" s="8">
        <f t="shared" si="20"/>
        <v>-8.1387545812757357E-3</v>
      </c>
      <c r="L29" s="8">
        <f t="shared" si="20"/>
        <v>-3.7812655155293213</v>
      </c>
      <c r="M29" s="8">
        <f>M24/M12</f>
        <v>-1.5568343216926568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>
        <f t="shared" ref="AA29:AF29" si="21">AA24/AA12</f>
        <v>-4.6422175504165462E-2</v>
      </c>
      <c r="AB29" s="8">
        <f t="shared" si="21"/>
        <v>-2.3361643102231544E-2</v>
      </c>
      <c r="AC29" s="8">
        <f t="shared" si="21"/>
        <v>-9.6719423656527331E-3</v>
      </c>
      <c r="AD29" s="8">
        <f t="shared" si="21"/>
        <v>-1.8679067850103704E-3</v>
      </c>
      <c r="AE29" s="8">
        <f t="shared" si="21"/>
        <v>0.34764636849654451</v>
      </c>
      <c r="AF29" s="8">
        <f t="shared" si="21"/>
        <v>2.0368702838914059E-2</v>
      </c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1" spans="2:49">
      <c r="B31" s="2" t="s">
        <v>50</v>
      </c>
      <c r="C31" s="3"/>
      <c r="D31" s="3"/>
      <c r="E31" s="3"/>
      <c r="F31" s="3">
        <v>473.67700000000002</v>
      </c>
      <c r="G31" s="3">
        <v>281.30200000000002</v>
      </c>
      <c r="H31" s="3">
        <v>175.36799999999999</v>
      </c>
      <c r="I31" s="3">
        <v>94.418999999999997</v>
      </c>
      <c r="J31" s="3">
        <v>135.75700000000001</v>
      </c>
      <c r="K31" s="3">
        <v>143.74700000000001</v>
      </c>
      <c r="L31" s="3">
        <v>133.06800000000001</v>
      </c>
      <c r="M31" s="3">
        <v>152.07300000000001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>
        <v>374.66399999999999</v>
      </c>
      <c r="AB31" s="3">
        <v>387.52</v>
      </c>
      <c r="AC31" s="3">
        <v>479.85300000000001</v>
      </c>
      <c r="AD31" s="3">
        <v>854.07799999999997</v>
      </c>
      <c r="AE31" s="3">
        <v>473.68</v>
      </c>
      <c r="AF31" s="3">
        <v>135.75700000000001</v>
      </c>
    </row>
    <row r="32" spans="2:49">
      <c r="B32" s="2" t="s">
        <v>51</v>
      </c>
      <c r="C32" s="3"/>
      <c r="D32" s="3"/>
      <c r="E32" s="3"/>
      <c r="F32" s="3">
        <v>583.97299999999996</v>
      </c>
      <c r="G32" s="3">
        <v>277.86399999999998</v>
      </c>
      <c r="H32" s="3">
        <v>209.69</v>
      </c>
      <c r="I32" s="3">
        <v>166.84</v>
      </c>
      <c r="J32" s="3">
        <v>194.25700000000001</v>
      </c>
      <c r="K32" s="3">
        <v>247.01</v>
      </c>
      <c r="L32" s="3">
        <v>212.39599999999999</v>
      </c>
      <c r="M32" s="3">
        <v>209.00299999999999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>
        <v>93.344999999999999</v>
      </c>
      <c r="AB32" s="3">
        <v>381.07400000000001</v>
      </c>
      <c r="AC32" s="3">
        <v>665.56700000000001</v>
      </c>
      <c r="AD32" s="3">
        <v>691.78099999999995</v>
      </c>
      <c r="AE32" s="3">
        <v>583.97</v>
      </c>
      <c r="AF32" s="3">
        <v>194.25700000000001</v>
      </c>
    </row>
    <row r="33" spans="2:32">
      <c r="B33" s="2" t="s">
        <v>52</v>
      </c>
      <c r="C33" s="3"/>
      <c r="D33" s="3"/>
      <c r="E33" s="3"/>
      <c r="F33" s="3">
        <v>23.515000000000001</v>
      </c>
      <c r="G33" s="3">
        <v>22</v>
      </c>
      <c r="H33" s="3">
        <v>20.67</v>
      </c>
      <c r="I33" s="3">
        <v>30.48</v>
      </c>
      <c r="J33" s="3">
        <v>31.404</v>
      </c>
      <c r="K33" s="3">
        <v>24.74</v>
      </c>
      <c r="L33" s="3">
        <v>20.96</v>
      </c>
      <c r="M33" s="3">
        <v>23.748999999999999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>
        <v>12.733000000000001</v>
      </c>
      <c r="AB33" s="3">
        <v>11.529</v>
      </c>
      <c r="AC33" s="3">
        <v>12.913</v>
      </c>
      <c r="AD33" s="3">
        <v>17.850000000000001</v>
      </c>
      <c r="AE33" s="3">
        <v>23.515000000000001</v>
      </c>
      <c r="AF33" s="3">
        <v>31.404</v>
      </c>
    </row>
    <row r="34" spans="2:32">
      <c r="B34" s="2" t="s">
        <v>53</v>
      </c>
      <c r="C34" s="3"/>
      <c r="D34" s="3"/>
      <c r="E34" s="3"/>
      <c r="F34" s="3">
        <v>28.481000000000002</v>
      </c>
      <c r="G34" s="3">
        <v>25.486000000000001</v>
      </c>
      <c r="H34" s="3">
        <v>18.62</v>
      </c>
      <c r="I34" s="3">
        <v>30.760999999999999</v>
      </c>
      <c r="J34" s="3">
        <v>20.98</v>
      </c>
      <c r="K34" s="3">
        <v>20.428999999999998</v>
      </c>
      <c r="L34" s="3">
        <v>30.84</v>
      </c>
      <c r="M34" s="3">
        <v>24.706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>
        <v>4.673</v>
      </c>
      <c r="AB34" s="3">
        <v>10.538</v>
      </c>
      <c r="AC34" s="3">
        <v>12.776</v>
      </c>
      <c r="AD34" s="3">
        <v>35.093000000000004</v>
      </c>
      <c r="AE34" s="3">
        <v>28.48</v>
      </c>
      <c r="AF34" s="3">
        <v>20.98</v>
      </c>
    </row>
    <row r="35" spans="2:32">
      <c r="B35" s="2" t="s">
        <v>54</v>
      </c>
      <c r="C35" s="3"/>
      <c r="D35" s="3"/>
      <c r="E35" s="3"/>
      <c r="F35" s="3">
        <v>34.753999999999998</v>
      </c>
      <c r="G35" s="3">
        <v>30.832000000000001</v>
      </c>
      <c r="H35" s="3">
        <v>22.372</v>
      </c>
      <c r="I35" s="3">
        <v>25.195</v>
      </c>
      <c r="J35" s="3">
        <v>32.436999999999998</v>
      </c>
      <c r="K35" s="3">
        <v>30.01</v>
      </c>
      <c r="L35" s="3">
        <v>36.279000000000003</v>
      </c>
      <c r="M35" s="3">
        <v>86.98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>
        <v>9.51</v>
      </c>
      <c r="AB35" s="3">
        <v>16.606000000000002</v>
      </c>
      <c r="AC35" s="3">
        <v>11.846</v>
      </c>
      <c r="AD35" s="3">
        <v>23.846</v>
      </c>
      <c r="AE35" s="3">
        <v>34.753999999999998</v>
      </c>
      <c r="AF35" s="3">
        <v>32.436999999999998</v>
      </c>
    </row>
    <row r="36" spans="2:32">
      <c r="B36" s="2" t="s">
        <v>55</v>
      </c>
      <c r="C36" s="3"/>
      <c r="D36" s="3"/>
      <c r="E36" s="3"/>
      <c r="F36" s="3">
        <v>216.233</v>
      </c>
      <c r="G36" s="3">
        <v>613.86300000000006</v>
      </c>
      <c r="H36" s="3">
        <v>422.75799999999998</v>
      </c>
      <c r="I36" s="3">
        <v>412.541</v>
      </c>
      <c r="J36" s="3">
        <v>249.547</v>
      </c>
      <c r="K36" s="3">
        <v>221.66499999999999</v>
      </c>
      <c r="L36" s="3">
        <v>259.92500000000001</v>
      </c>
      <c r="M36" s="3">
        <v>270.161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>
        <v>16.052</v>
      </c>
      <c r="AB36" s="3">
        <v>310.483</v>
      </c>
      <c r="AC36" s="3">
        <v>523.62800000000004</v>
      </c>
      <c r="AD36" s="3">
        <v>745.99300000000005</v>
      </c>
      <c r="AE36" s="3">
        <v>216.23</v>
      </c>
      <c r="AF36" s="3">
        <v>249.547</v>
      </c>
    </row>
    <row r="37" spans="2:32">
      <c r="B37" s="2" t="s">
        <v>56</v>
      </c>
      <c r="C37" s="3"/>
      <c r="D37" s="3"/>
      <c r="E37" s="3"/>
      <c r="F37" s="3">
        <v>204.38300000000001</v>
      </c>
      <c r="G37" s="3">
        <v>201.30500000000001</v>
      </c>
      <c r="H37" s="3">
        <v>198.31800000000001</v>
      </c>
      <c r="I37" s="3">
        <v>168.73500000000001</v>
      </c>
      <c r="J37" s="3">
        <v>183.07</v>
      </c>
      <c r="K37" s="3">
        <v>188.43</v>
      </c>
      <c r="L37" s="3">
        <v>179.27799999999999</v>
      </c>
      <c r="M37" s="3">
        <v>177.88200000000001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>
        <v>59.904000000000003</v>
      </c>
      <c r="AB37" s="3">
        <v>87.358999999999995</v>
      </c>
      <c r="AC37" s="3">
        <v>34.149000000000001</v>
      </c>
      <c r="AD37" s="3">
        <v>11.24</v>
      </c>
      <c r="AE37" s="3">
        <v>204.38</v>
      </c>
      <c r="AF37" s="3">
        <v>183.07300000000001</v>
      </c>
    </row>
    <row r="38" spans="2:32">
      <c r="B38" s="2" t="s">
        <v>57</v>
      </c>
      <c r="C38" s="3"/>
      <c r="D38" s="3"/>
      <c r="E38" s="3"/>
      <c r="F38" s="3">
        <v>615.09</v>
      </c>
      <c r="G38" s="3">
        <v>622.67899999999997</v>
      </c>
      <c r="H38" s="3">
        <v>629.55999999999995</v>
      </c>
      <c r="I38" s="3">
        <v>617.69000000000005</v>
      </c>
      <c r="J38" s="3">
        <v>631.995</v>
      </c>
      <c r="K38" s="3">
        <v>628.78399999999999</v>
      </c>
      <c r="L38" s="3">
        <v>189.76900000000001</v>
      </c>
      <c r="M38" s="3">
        <v>0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>
        <v>149.524</v>
      </c>
      <c r="AB38" s="3">
        <v>214.51300000000001</v>
      </c>
      <c r="AC38" s="3">
        <v>125.807</v>
      </c>
      <c r="AD38" s="3">
        <v>169.93799999999999</v>
      </c>
      <c r="AE38" s="3">
        <v>615.09</v>
      </c>
      <c r="AF38" s="3">
        <v>631.995</v>
      </c>
    </row>
    <row r="39" spans="2:32">
      <c r="B39" s="2" t="s">
        <v>58</v>
      </c>
      <c r="C39" s="3"/>
      <c r="D39" s="3"/>
      <c r="E39" s="3"/>
      <c r="F39" s="3">
        <v>78.332999999999998</v>
      </c>
      <c r="G39" s="3">
        <v>73.085999999999999</v>
      </c>
      <c r="H39" s="3">
        <v>67.63</v>
      </c>
      <c r="I39" s="3">
        <v>56.637999999999998</v>
      </c>
      <c r="J39" s="3">
        <v>52.43</v>
      </c>
      <c r="K39" s="3">
        <v>48.143000000000001</v>
      </c>
      <c r="L39" s="3">
        <v>12.848000000000001</v>
      </c>
      <c r="M39" s="3">
        <v>11.423999999999999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>
        <v>25.914999999999999</v>
      </c>
      <c r="AB39" s="3">
        <v>34.667000000000002</v>
      </c>
      <c r="AC39" s="3">
        <v>285.214</v>
      </c>
      <c r="AD39" s="3">
        <v>289.76</v>
      </c>
      <c r="AE39" s="3">
        <v>78.33</v>
      </c>
      <c r="AF39" s="3">
        <v>52.43</v>
      </c>
    </row>
    <row r="40" spans="2:32">
      <c r="B40" s="2" t="s">
        <v>59</v>
      </c>
      <c r="C40" s="3"/>
      <c r="D40" s="3"/>
      <c r="E40" s="3"/>
      <c r="F40" s="3">
        <v>18.84</v>
      </c>
      <c r="G40" s="3">
        <v>29.77</v>
      </c>
      <c r="H40" s="3">
        <v>28.266999999999999</v>
      </c>
      <c r="I40" s="3">
        <v>26.568000000000001</v>
      </c>
      <c r="J40" s="3">
        <v>25.13</v>
      </c>
      <c r="K40" s="3">
        <v>23.521000000000001</v>
      </c>
      <c r="L40" s="3">
        <v>21.507999999999999</v>
      </c>
      <c r="M40" s="3">
        <v>29.071000000000002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>
        <v>0</v>
      </c>
      <c r="AB40" s="3">
        <v>15.930999999999999</v>
      </c>
      <c r="AC40" s="3">
        <v>51.249000000000002</v>
      </c>
      <c r="AD40" s="3">
        <v>40.566000000000003</v>
      </c>
      <c r="AE40" s="3">
        <v>18.84</v>
      </c>
      <c r="AF40" s="3">
        <v>25.13</v>
      </c>
    </row>
    <row r="41" spans="2:32">
      <c r="B41" s="2" t="s">
        <v>60</v>
      </c>
      <c r="C41" s="3"/>
      <c r="D41" s="3"/>
      <c r="E41" s="3"/>
      <c r="F41" s="3">
        <v>167.524</v>
      </c>
      <c r="G41" s="3">
        <v>163.77600000000001</v>
      </c>
      <c r="H41" s="3">
        <v>146.79</v>
      </c>
      <c r="I41" s="3">
        <v>145.80699999999999</v>
      </c>
      <c r="J41" s="3">
        <v>141.84</v>
      </c>
      <c r="K41" s="3">
        <v>140.19999999999999</v>
      </c>
      <c r="L41" s="3">
        <v>2.2869999999999999</v>
      </c>
      <c r="M41" s="3">
        <v>2.3079999999999998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>
        <v>0</v>
      </c>
      <c r="AB41" s="3">
        <v>0</v>
      </c>
      <c r="AC41" s="3">
        <v>24.225999999999999</v>
      </c>
      <c r="AD41" s="3">
        <v>18.062000000000001</v>
      </c>
      <c r="AE41" s="3">
        <v>167.524</v>
      </c>
      <c r="AF41" s="3">
        <v>141.84</v>
      </c>
    </row>
    <row r="42" spans="2:32">
      <c r="B42" s="2" t="s">
        <v>61</v>
      </c>
      <c r="C42" s="3"/>
      <c r="D42" s="3"/>
      <c r="E42" s="3"/>
      <c r="F42" s="3">
        <v>20.611999999999998</v>
      </c>
      <c r="G42" s="3">
        <v>19.824000000000002</v>
      </c>
      <c r="H42" s="3">
        <v>28.49</v>
      </c>
      <c r="I42" s="3">
        <v>28.946000000000002</v>
      </c>
      <c r="J42" s="3">
        <v>28.382000000000001</v>
      </c>
      <c r="K42" s="3">
        <v>15.961</v>
      </c>
      <c r="L42" s="3">
        <v>15.167</v>
      </c>
      <c r="M42" s="3">
        <v>15.315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>
        <v>14.618</v>
      </c>
      <c r="AB42" s="3">
        <v>18.777999999999999</v>
      </c>
      <c r="AC42" s="3">
        <v>24.03</v>
      </c>
      <c r="AD42" s="3">
        <v>21.035</v>
      </c>
      <c r="AE42" s="3">
        <v>20.611999999999998</v>
      </c>
      <c r="AF42" s="3">
        <v>28.38</v>
      </c>
    </row>
    <row r="43" spans="2:32" ht="15">
      <c r="B43" s="1" t="s">
        <v>66</v>
      </c>
      <c r="C43" s="3">
        <f t="shared" ref="C43:L43" si="22">SUM(C31:C42)</f>
        <v>0</v>
      </c>
      <c r="D43" s="3">
        <f t="shared" si="22"/>
        <v>0</v>
      </c>
      <c r="E43" s="3">
        <f t="shared" si="22"/>
        <v>0</v>
      </c>
      <c r="F43" s="3">
        <f t="shared" si="22"/>
        <v>2465.4150000000004</v>
      </c>
      <c r="G43" s="3">
        <f t="shared" si="22"/>
        <v>2361.7869999999998</v>
      </c>
      <c r="H43" s="3">
        <f t="shared" si="22"/>
        <v>1968.5329999999999</v>
      </c>
      <c r="I43" s="3">
        <f t="shared" si="22"/>
        <v>1804.62</v>
      </c>
      <c r="J43" s="3">
        <f t="shared" si="22"/>
        <v>1727.2290000000003</v>
      </c>
      <c r="K43" s="3">
        <f t="shared" si="22"/>
        <v>1732.64</v>
      </c>
      <c r="L43" s="3">
        <f t="shared" si="22"/>
        <v>1114.3249999999998</v>
      </c>
      <c r="M43" s="3">
        <f>SUM(M31:M42)</f>
        <v>1002.6720000000001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>
        <f t="shared" ref="AA43:AF43" si="23">SUM(AA31:AA42)</f>
        <v>760.9380000000001</v>
      </c>
      <c r="AB43" s="3">
        <f t="shared" si="23"/>
        <v>1488.9979999999998</v>
      </c>
      <c r="AC43" s="3">
        <f t="shared" si="23"/>
        <v>2251.2580000000003</v>
      </c>
      <c r="AD43" s="3">
        <f t="shared" si="23"/>
        <v>2919.2419999999993</v>
      </c>
      <c r="AE43" s="3">
        <f t="shared" si="23"/>
        <v>2465.4050000000002</v>
      </c>
      <c r="AF43" s="3">
        <f t="shared" si="23"/>
        <v>1727.2300000000002</v>
      </c>
    </row>
    <row r="44" spans="2:32" ht="15"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>
      <c r="B45" s="2" t="s">
        <v>62</v>
      </c>
      <c r="C45" s="3"/>
      <c r="D45" s="3"/>
      <c r="E45" s="3"/>
      <c r="F45" s="3">
        <v>12.367000000000001</v>
      </c>
      <c r="G45" s="3">
        <v>13.058</v>
      </c>
      <c r="H45" s="3">
        <v>12.954000000000001</v>
      </c>
      <c r="I45" s="3">
        <v>18.187000000000001</v>
      </c>
      <c r="J45" s="3">
        <v>28.18</v>
      </c>
      <c r="K45" s="3">
        <v>20.119</v>
      </c>
      <c r="L45" s="3">
        <v>14.42</v>
      </c>
      <c r="M45" s="3">
        <v>18.123999999999999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>
        <v>8.1769999999999996</v>
      </c>
      <c r="AB45" s="3">
        <v>7.3620000000000001</v>
      </c>
      <c r="AC45" s="3">
        <v>8.5470000000000006</v>
      </c>
      <c r="AD45" s="3">
        <v>11.992000000000001</v>
      </c>
      <c r="AE45" s="3">
        <v>12.367000000000001</v>
      </c>
      <c r="AF45" s="3">
        <v>28.18</v>
      </c>
    </row>
    <row r="46" spans="2:32">
      <c r="B46" s="2" t="s">
        <v>63</v>
      </c>
      <c r="C46" s="3"/>
      <c r="D46" s="3"/>
      <c r="E46" s="3"/>
      <c r="F46" s="3">
        <v>56.273000000000003</v>
      </c>
      <c r="G46" s="3">
        <v>58.567999999999998</v>
      </c>
      <c r="H46" s="3">
        <v>53.2</v>
      </c>
      <c r="I46" s="3">
        <v>58.905999999999999</v>
      </c>
      <c r="J46" s="3">
        <v>55.335999999999999</v>
      </c>
      <c r="K46" s="3">
        <v>54.055999999999997</v>
      </c>
      <c r="L46" s="3">
        <v>45.02</v>
      </c>
      <c r="M46" s="3">
        <v>44.354999999999997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>
        <v>17.417999999999999</v>
      </c>
      <c r="AB46" s="3">
        <v>18.78</v>
      </c>
      <c r="AC46" s="3">
        <v>32.619999999999997</v>
      </c>
      <c r="AD46" s="3">
        <v>35.143000000000001</v>
      </c>
      <c r="AE46" s="3">
        <v>56.27</v>
      </c>
      <c r="AF46" s="3">
        <v>55.34</v>
      </c>
    </row>
    <row r="47" spans="2:32">
      <c r="B47" s="2" t="s">
        <v>64</v>
      </c>
      <c r="C47" s="3"/>
      <c r="D47" s="3"/>
      <c r="E47" s="3"/>
      <c r="F47" s="3">
        <v>70.233999999999995</v>
      </c>
      <c r="G47" s="3">
        <v>68.025999999999996</v>
      </c>
      <c r="H47" s="3">
        <v>76.656999999999996</v>
      </c>
      <c r="I47" s="3">
        <v>73.132999999999996</v>
      </c>
      <c r="J47" s="3">
        <v>77.863</v>
      </c>
      <c r="K47" s="3">
        <v>73.555000000000007</v>
      </c>
      <c r="L47" s="3">
        <v>68.010000000000005</v>
      </c>
      <c r="M47" s="3">
        <v>125.13800000000001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>
        <v>34.076999999999998</v>
      </c>
      <c r="AB47" s="3">
        <f>5.283+39.964</f>
        <v>45.247</v>
      </c>
      <c r="AC47" s="3">
        <v>68.564999999999998</v>
      </c>
      <c r="AD47" s="3">
        <v>67.209000000000003</v>
      </c>
      <c r="AE47" s="3">
        <v>70.233999999999995</v>
      </c>
      <c r="AF47" s="3">
        <v>77.86</v>
      </c>
    </row>
    <row r="48" spans="2:32">
      <c r="B48" s="2" t="s">
        <v>65</v>
      </c>
      <c r="C48" s="3"/>
      <c r="D48" s="3"/>
      <c r="E48" s="3"/>
      <c r="F48" s="3">
        <v>0</v>
      </c>
      <c r="G48" s="3">
        <v>0</v>
      </c>
      <c r="H48" s="3">
        <v>0</v>
      </c>
      <c r="I48" s="3">
        <v>0</v>
      </c>
      <c r="J48" s="3">
        <v>357.089</v>
      </c>
      <c r="K48" s="3">
        <v>357.45800000000003</v>
      </c>
      <c r="L48" s="3">
        <v>357.83800000000002</v>
      </c>
      <c r="M48" s="3">
        <v>358.22199999999998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>
        <v>0</v>
      </c>
      <c r="AB48" s="3">
        <v>0</v>
      </c>
      <c r="AC48" s="2">
        <v>0</v>
      </c>
      <c r="AD48" s="3">
        <v>0</v>
      </c>
      <c r="AE48" s="3">
        <v>0</v>
      </c>
      <c r="AF48" s="3">
        <v>357.07900000000001</v>
      </c>
    </row>
    <row r="49" spans="2:32">
      <c r="B49" s="2" t="s">
        <v>67</v>
      </c>
      <c r="C49" s="3"/>
      <c r="D49" s="3"/>
      <c r="E49" s="3"/>
      <c r="F49" s="3">
        <v>1188.5899999999999</v>
      </c>
      <c r="G49" s="3">
        <v>1189.6500000000001</v>
      </c>
      <c r="H49" s="3">
        <v>767.04300000000001</v>
      </c>
      <c r="I49" s="3">
        <v>599.29100000000005</v>
      </c>
      <c r="J49" s="3">
        <v>242.75800000000001</v>
      </c>
      <c r="K49" s="3">
        <v>242.91900000000001</v>
      </c>
      <c r="L49" s="3">
        <v>243.07900000000001</v>
      </c>
      <c r="M49" s="3">
        <v>243.24199999999999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>
        <v>283.66800000000001</v>
      </c>
      <c r="AB49" s="3">
        <v>900.303</v>
      </c>
      <c r="AC49" s="3">
        <v>1506.922</v>
      </c>
      <c r="AD49" s="3">
        <v>1678.155</v>
      </c>
      <c r="AE49" s="3">
        <v>1188.5899999999999</v>
      </c>
      <c r="AF49" s="3">
        <v>242.76</v>
      </c>
    </row>
    <row r="50" spans="2:32">
      <c r="B50" s="2" t="s">
        <v>68</v>
      </c>
      <c r="C50" s="3"/>
      <c r="D50" s="3"/>
      <c r="E50" s="3"/>
      <c r="F50" s="3">
        <v>13.38</v>
      </c>
      <c r="G50" s="3">
        <v>23.064</v>
      </c>
      <c r="H50" s="3">
        <v>21.253</v>
      </c>
      <c r="I50" s="3">
        <v>19.536999999999999</v>
      </c>
      <c r="J50" s="3">
        <v>18.059999999999999</v>
      </c>
      <c r="K50" s="3">
        <v>16.46</v>
      </c>
      <c r="L50" s="3">
        <v>15.595000000000001</v>
      </c>
      <c r="M50" s="3">
        <v>23.664999999999999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>
        <v>0</v>
      </c>
      <c r="AB50" s="3">
        <v>14.513</v>
      </c>
      <c r="AC50" s="3">
        <v>19.263999999999999</v>
      </c>
      <c r="AD50" s="3">
        <v>12.446999999999999</v>
      </c>
      <c r="AE50" s="3">
        <v>13.375</v>
      </c>
      <c r="AF50" s="3">
        <v>18.059999999999999</v>
      </c>
    </row>
    <row r="51" spans="2:32">
      <c r="B51" s="2" t="s">
        <v>69</v>
      </c>
      <c r="C51" s="3"/>
      <c r="D51" s="3"/>
      <c r="E51" s="3"/>
      <c r="F51" s="3">
        <v>7.9850000000000003</v>
      </c>
      <c r="G51" s="3">
        <v>2.6619999999999999</v>
      </c>
      <c r="H51" s="3">
        <v>2.427</v>
      </c>
      <c r="I51" s="3">
        <v>2.2160000000000002</v>
      </c>
      <c r="J51" s="3">
        <v>3.33</v>
      </c>
      <c r="K51" s="3">
        <v>4.6029999999999998</v>
      </c>
      <c r="L51" s="3">
        <v>4.87</v>
      </c>
      <c r="M51" s="3">
        <v>4.9450000000000003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>
        <v>6.9640000000000004</v>
      </c>
      <c r="AB51" s="3">
        <v>3.964</v>
      </c>
      <c r="AC51" s="3">
        <v>5.7050000000000001</v>
      </c>
      <c r="AD51" s="3">
        <v>7.383</v>
      </c>
      <c r="AE51" s="3">
        <v>7.9850000000000003</v>
      </c>
      <c r="AF51" s="3">
        <v>3.33</v>
      </c>
    </row>
    <row r="52" spans="2:32" ht="15">
      <c r="B52" s="1" t="s">
        <v>70</v>
      </c>
      <c r="C52" s="3">
        <f t="shared" ref="C52:L52" si="24">SUM(C45:C51)</f>
        <v>0</v>
      </c>
      <c r="D52" s="3">
        <f t="shared" si="24"/>
        <v>0</v>
      </c>
      <c r="E52" s="3">
        <f t="shared" si="24"/>
        <v>0</v>
      </c>
      <c r="F52" s="3">
        <f t="shared" si="24"/>
        <v>1348.829</v>
      </c>
      <c r="G52" s="3">
        <f>SUM(G45:G51)</f>
        <v>1355.0280000000002</v>
      </c>
      <c r="H52" s="3">
        <f t="shared" si="24"/>
        <v>933.53400000000011</v>
      </c>
      <c r="I52" s="3">
        <f>SUM(I45:I51)</f>
        <v>771.2700000000001</v>
      </c>
      <c r="J52" s="3">
        <f t="shared" si="24"/>
        <v>782.61599999999999</v>
      </c>
      <c r="K52" s="3">
        <f t="shared" si="24"/>
        <v>769.17000000000007</v>
      </c>
      <c r="L52" s="3">
        <f t="shared" si="24"/>
        <v>748.83199999999999</v>
      </c>
      <c r="M52" s="3">
        <f>SUM(M45:M51)</f>
        <v>817.69099999999992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>
        <f t="shared" ref="AA52:AF52" si="25">SUM(AA45:AA51)</f>
        <v>350.30400000000003</v>
      </c>
      <c r="AB52" s="3">
        <f t="shared" si="25"/>
        <v>990.1690000000001</v>
      </c>
      <c r="AC52" s="3">
        <f t="shared" si="25"/>
        <v>1641.6229999999998</v>
      </c>
      <c r="AD52" s="3">
        <f t="shared" si="25"/>
        <v>1812.329</v>
      </c>
      <c r="AE52" s="3">
        <f t="shared" si="25"/>
        <v>1348.8209999999997</v>
      </c>
      <c r="AF52" s="3">
        <f t="shared" si="25"/>
        <v>782.60900000000004</v>
      </c>
    </row>
    <row r="53" spans="2:32">
      <c r="B53" s="2" t="s">
        <v>72</v>
      </c>
      <c r="C53" s="3"/>
      <c r="D53" s="3"/>
      <c r="E53" s="3"/>
      <c r="F53" s="3">
        <v>1116.5889999999999</v>
      </c>
      <c r="G53" s="3">
        <v>1006.759</v>
      </c>
      <c r="H53" s="3">
        <v>1035</v>
      </c>
      <c r="I53" s="3">
        <v>1033.3489999999999</v>
      </c>
      <c r="J53" s="3">
        <v>944.61800000000005</v>
      </c>
      <c r="K53" s="3">
        <v>963.47400000000005</v>
      </c>
      <c r="L53" s="3">
        <v>365.5</v>
      </c>
      <c r="M53" s="3">
        <v>184.98099999999999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>
        <v>410.63400000000001</v>
      </c>
      <c r="AB53" s="3">
        <v>498.82900000000001</v>
      </c>
      <c r="AC53" s="3">
        <v>609.63499999999999</v>
      </c>
      <c r="AD53" s="3">
        <v>1106.9169999999999</v>
      </c>
      <c r="AE53" s="3">
        <v>1116.5889999999999</v>
      </c>
      <c r="AF53" s="3">
        <v>944.62</v>
      </c>
    </row>
    <row r="54" spans="2:32" ht="15">
      <c r="B54" s="1" t="s">
        <v>71</v>
      </c>
      <c r="C54" s="3">
        <f t="shared" ref="C54" si="26">C52+C53</f>
        <v>0</v>
      </c>
      <c r="D54" s="3">
        <f t="shared" ref="D54" si="27">D52+D53</f>
        <v>0</v>
      </c>
      <c r="E54" s="3">
        <f t="shared" ref="E54" si="28">E52+E53</f>
        <v>0</v>
      </c>
      <c r="F54" s="3">
        <f t="shared" ref="F54" si="29">F52+F53</f>
        <v>2465.4179999999997</v>
      </c>
      <c r="G54" s="3">
        <f t="shared" ref="G54" si="30">G52+G53</f>
        <v>2361.7870000000003</v>
      </c>
      <c r="H54" s="3">
        <f t="shared" ref="H54" si="31">H52+H53</f>
        <v>1968.5340000000001</v>
      </c>
      <c r="I54" s="3">
        <f t="shared" ref="I54" si="32">I52+I53</f>
        <v>1804.6190000000001</v>
      </c>
      <c r="J54" s="3">
        <f t="shared" ref="J54" si="33">J52+J53</f>
        <v>1727.2339999999999</v>
      </c>
      <c r="K54" s="3">
        <f t="shared" ref="K54" si="34">K52+K53</f>
        <v>1732.6440000000002</v>
      </c>
      <c r="L54" s="3">
        <f t="shared" ref="L54" si="35">L52+L53</f>
        <v>1114.3319999999999</v>
      </c>
      <c r="M54" s="3">
        <f t="shared" ref="M54" si="36">M52+M53</f>
        <v>1002.6719999999999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>
        <f t="shared" ref="AA54:AF54" si="37">AA52+AA53</f>
        <v>760.9380000000001</v>
      </c>
      <c r="AB54" s="3">
        <f t="shared" si="37"/>
        <v>1488.998</v>
      </c>
      <c r="AC54" s="3">
        <f t="shared" si="37"/>
        <v>2251.2579999999998</v>
      </c>
      <c r="AD54" s="3">
        <f t="shared" si="37"/>
        <v>2919.2460000000001</v>
      </c>
      <c r="AE54" s="3">
        <f t="shared" si="37"/>
        <v>2465.41</v>
      </c>
      <c r="AF54" s="3">
        <f t="shared" si="37"/>
        <v>1727.229</v>
      </c>
    </row>
    <row r="56" spans="2:32">
      <c r="B56" s="2" t="s">
        <v>39</v>
      </c>
      <c r="C56" s="3">
        <f t="shared" ref="C56:K56" si="38">C24</f>
        <v>5.720000000000014</v>
      </c>
      <c r="D56" s="3">
        <f t="shared" si="38"/>
        <v>7.4800000000000226</v>
      </c>
      <c r="E56" s="3">
        <f t="shared" si="38"/>
        <v>251.55599999999998</v>
      </c>
      <c r="F56" s="3">
        <f t="shared" si="38"/>
        <v>1.8539999999999743</v>
      </c>
      <c r="G56" s="3">
        <f t="shared" si="38"/>
        <v>2.1739999999999746</v>
      </c>
      <c r="H56" s="3">
        <f t="shared" si="38"/>
        <v>24.623000000000026</v>
      </c>
      <c r="I56" s="3">
        <f t="shared" si="38"/>
        <v>-18.288000000000011</v>
      </c>
      <c r="J56" s="3">
        <f t="shared" si="38"/>
        <v>6.0809999999999551</v>
      </c>
      <c r="K56" s="3">
        <f t="shared" si="38"/>
        <v>-1.4190000000000058</v>
      </c>
      <c r="L56" s="3">
        <f>L24</f>
        <v>-616.88699999999994</v>
      </c>
      <c r="M56" s="3">
        <f>M24</f>
        <v>-212.648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>
      <c r="B57" s="2" t="s">
        <v>73</v>
      </c>
      <c r="C57" s="3"/>
      <c r="D57" s="3"/>
      <c r="E57" s="3"/>
      <c r="F57" s="3"/>
      <c r="G57" s="3">
        <v>33.75</v>
      </c>
      <c r="H57" s="3">
        <f>69.666-G57</f>
        <v>35.915999999999997</v>
      </c>
      <c r="I57" s="3">
        <f>101.596-H57-G57</f>
        <v>31.930000000000007</v>
      </c>
      <c r="J57" s="3">
        <f>133.502-I57-H57-G57</f>
        <v>31.906000000000006</v>
      </c>
      <c r="K57" s="3">
        <v>29.289000000000001</v>
      </c>
      <c r="L57" s="3">
        <f>47.34-K57</f>
        <v>18.051000000000002</v>
      </c>
      <c r="M57" s="3">
        <f>69.267-L57-K57</f>
        <v>21.926999999999992</v>
      </c>
      <c r="Z57" s="3"/>
      <c r="AA57" s="3"/>
      <c r="AB57" s="3"/>
      <c r="AC57" s="3"/>
      <c r="AD57" s="3"/>
      <c r="AE57" s="3"/>
      <c r="AF57" s="3"/>
    </row>
    <row r="58" spans="2:32">
      <c r="B58" s="2" t="s">
        <v>74</v>
      </c>
      <c r="C58" s="3"/>
      <c r="D58" s="3"/>
      <c r="E58" s="3"/>
      <c r="F58" s="3"/>
      <c r="G58" s="3">
        <f>25.54+1.06</f>
        <v>26.599999999999998</v>
      </c>
      <c r="H58" s="3">
        <f>52.027+1.988-G58</f>
        <v>27.415000000000003</v>
      </c>
      <c r="I58" s="3">
        <f>108.945+2.61-H58-G58</f>
        <v>57.539999999999992</v>
      </c>
      <c r="J58" s="3">
        <f>129.718+3.156-I58-H58-G58</f>
        <v>21.318999999999999</v>
      </c>
      <c r="K58" s="3">
        <f>19.687+0.541</f>
        <v>20.228000000000002</v>
      </c>
      <c r="L58" s="3">
        <f>39.393+1.081-K58</f>
        <v>20.246000000000002</v>
      </c>
      <c r="M58" s="3">
        <f>58.966+1.628-L58-K58</f>
        <v>20.119999999999997</v>
      </c>
      <c r="Z58" s="3"/>
      <c r="AA58" s="3"/>
      <c r="AB58" s="3"/>
      <c r="AC58" s="3"/>
      <c r="AD58" s="3"/>
      <c r="AE58" s="3"/>
      <c r="AF58" s="3"/>
    </row>
    <row r="59" spans="2:32">
      <c r="B59" s="2" t="s">
        <v>60</v>
      </c>
      <c r="C59" s="3"/>
      <c r="D59" s="3"/>
      <c r="E59" s="3"/>
      <c r="F59" s="3"/>
      <c r="G59" s="3">
        <v>3.4409999999999998</v>
      </c>
      <c r="H59" s="3">
        <f>20.142-G59</f>
        <v>16.701000000000001</v>
      </c>
      <c r="I59" s="3">
        <f>20.929-H59-G59</f>
        <v>0.78699999999999815</v>
      </c>
      <c r="J59" s="3">
        <f>26.575-I59-H59-G59</f>
        <v>5.6459999999999999</v>
      </c>
      <c r="K59" s="3">
        <v>2.8769999999999998</v>
      </c>
      <c r="L59" s="3">
        <f>141.032-K59</f>
        <v>138.155</v>
      </c>
      <c r="M59" s="3">
        <f>141.103-L59-K59</f>
        <v>7.1000000000007724E-2</v>
      </c>
      <c r="Z59" s="3"/>
      <c r="AA59" s="3"/>
      <c r="AB59" s="3"/>
      <c r="AC59" s="3"/>
      <c r="AD59" s="3"/>
      <c r="AE59" s="3"/>
      <c r="AF59" s="3"/>
    </row>
    <row r="60" spans="2:32">
      <c r="B60" s="2" t="s">
        <v>76</v>
      </c>
      <c r="C60" s="3"/>
      <c r="D60" s="3"/>
      <c r="E60" s="3"/>
      <c r="F60" s="3"/>
      <c r="G60" s="3">
        <v>1.496</v>
      </c>
      <c r="H60" s="3">
        <f>3.009-G60</f>
        <v>1.5129999999999999</v>
      </c>
      <c r="I60" s="3">
        <f>4.535-H60-G60</f>
        <v>1.5260000000000002</v>
      </c>
      <c r="J60" s="3">
        <f>6.079-I60-H60-G60</f>
        <v>1.5439999999999992</v>
      </c>
      <c r="K60" s="3">
        <v>1.5669999999999999</v>
      </c>
      <c r="L60" s="3">
        <f>3.141-K60</f>
        <v>1.5740000000000001</v>
      </c>
      <c r="M60" s="3">
        <f>4.647+2.189-L60-K60</f>
        <v>3.6950000000000003</v>
      </c>
      <c r="Z60" s="3"/>
      <c r="AA60" s="3"/>
      <c r="AB60" s="3"/>
      <c r="AC60" s="3"/>
      <c r="AD60" s="3"/>
      <c r="AE60" s="3"/>
      <c r="AF60" s="3"/>
    </row>
    <row r="61" spans="2:32">
      <c r="B61" s="2" t="s">
        <v>75</v>
      </c>
      <c r="C61" s="3"/>
      <c r="D61" s="3"/>
      <c r="E61" s="3"/>
      <c r="F61" s="3"/>
      <c r="G61" s="3">
        <v>0.12</v>
      </c>
      <c r="H61" s="3">
        <f>0.45-G61</f>
        <v>0.33</v>
      </c>
      <c r="I61" s="3">
        <f>3.578+3.6-H61-G61</f>
        <v>6.7279999999999998</v>
      </c>
      <c r="J61" s="3">
        <f>4.137+3.6-I61-H61-G61</f>
        <v>0.55900000000000027</v>
      </c>
      <c r="K61" s="3">
        <v>0.47799999999999998</v>
      </c>
      <c r="L61" s="3">
        <f>1.66+481.531-K61</f>
        <v>482.71300000000002</v>
      </c>
      <c r="M61" s="3">
        <f>677.239+5.1-L61-K61</f>
        <v>199.14800000000002</v>
      </c>
      <c r="Z61" s="3"/>
      <c r="AA61" s="3"/>
      <c r="AB61" s="3"/>
      <c r="AC61" s="3"/>
      <c r="AD61" s="3"/>
      <c r="AE61" s="3"/>
      <c r="AF61" s="3"/>
    </row>
    <row r="62" spans="2:32">
      <c r="B62" s="2" t="s">
        <v>77</v>
      </c>
      <c r="C62" s="3"/>
      <c r="D62" s="3"/>
      <c r="E62" s="3"/>
      <c r="F62" s="3"/>
      <c r="G62" s="3">
        <v>0.08</v>
      </c>
      <c r="H62" s="3">
        <f>-1.083-G62</f>
        <v>-1.163</v>
      </c>
      <c r="I62" s="3">
        <f>-0.389-H62-G62</f>
        <v>0.69400000000000006</v>
      </c>
      <c r="J62" s="3">
        <f>-1.228-I62-H62-G62</f>
        <v>-0.83900000000000008</v>
      </c>
      <c r="K62" s="3">
        <v>-0.03</v>
      </c>
      <c r="L62" s="3">
        <f>2.189-K62</f>
        <v>2.2189999999999999</v>
      </c>
      <c r="M62" s="3">
        <f>0.222-L62-K62</f>
        <v>-1.9669999999999999</v>
      </c>
      <c r="Z62" s="3"/>
      <c r="AA62" s="3"/>
      <c r="AB62" s="3"/>
      <c r="AC62" s="3"/>
      <c r="AD62" s="3"/>
      <c r="AE62" s="3"/>
      <c r="AF62" s="3"/>
    </row>
    <row r="63" spans="2:32">
      <c r="B63" s="2" t="s">
        <v>78</v>
      </c>
      <c r="C63" s="3"/>
      <c r="D63" s="3"/>
      <c r="E63" s="3"/>
      <c r="F63" s="3"/>
      <c r="G63" s="3">
        <f>1.58+8.49+2.803+(-0.336)+2.012+(-2.569)+(-6.397)</f>
        <v>5.5830000000000002</v>
      </c>
      <c r="H63" s="3">
        <f>3.081+15.082+5.47+(-0.671)+(-3.634)+(-1.436)+(-8.205)-G63</f>
        <v>4.1039999999999992</v>
      </c>
      <c r="I63" s="3">
        <f>(-6.908)+0.558+8.671+4.82+2.539+(-6.149)+(-9.81)-H63-G63</f>
        <v>-15.965999999999999</v>
      </c>
      <c r="J63" s="3">
        <f>-7.799+3.476+10.829+13.057-1.585-7.342-11.337-I63-H63-G63</f>
        <v>5.578000000000003</v>
      </c>
      <c r="K63" s="3">
        <f>6.705+3.583+(-1.27)+(-6.589)+(-1.159)+0.64+(-1.58)</f>
        <v>0.33000000000000007</v>
      </c>
      <c r="L63" s="3">
        <f>10.561+(-12.173)+(-0.773)+(-12.045)+(-10.226)+(-4.057)+(-2.88)-K63</f>
        <v>-31.923000000000002</v>
      </c>
      <c r="M63" s="3">
        <f>8.019+(-55.725)+(-0.469)+(-8.308)+(-11.763)+46.849+(-2.968)-L63-K63</f>
        <v>7.2279999999999891</v>
      </c>
      <c r="Z63" s="3"/>
      <c r="AA63" s="3"/>
      <c r="AB63" s="3"/>
      <c r="AC63" s="3"/>
      <c r="AD63" s="3"/>
      <c r="AE63" s="3"/>
      <c r="AF63" s="3"/>
    </row>
    <row r="64" spans="2:32">
      <c r="B64" s="2" t="s">
        <v>79</v>
      </c>
      <c r="C64" s="3">
        <f t="shared" ref="C64:J64" si="39">SUM(C56:C63)</f>
        <v>5.720000000000014</v>
      </c>
      <c r="D64" s="3">
        <f t="shared" si="39"/>
        <v>7.4800000000000226</v>
      </c>
      <c r="E64" s="3">
        <f t="shared" si="39"/>
        <v>251.55599999999998</v>
      </c>
      <c r="F64" s="3">
        <f t="shared" si="39"/>
        <v>1.8539999999999743</v>
      </c>
      <c r="G64" s="3">
        <f t="shared" si="39"/>
        <v>73.243999999999971</v>
      </c>
      <c r="H64" s="3">
        <f t="shared" si="39"/>
        <v>109.43900000000004</v>
      </c>
      <c r="I64" s="3">
        <f>SUM(I56:I63)</f>
        <v>64.950999999999979</v>
      </c>
      <c r="J64" s="3">
        <f t="shared" si="39"/>
        <v>71.793999999999954</v>
      </c>
      <c r="K64" s="3">
        <f>SUM(K56:K63)</f>
        <v>53.32</v>
      </c>
      <c r="L64" s="3">
        <f>SUM(L56:L63)</f>
        <v>14.148000000000089</v>
      </c>
      <c r="M64" s="3">
        <f>SUM(M56:M63)</f>
        <v>37.574000000000005</v>
      </c>
      <c r="Z64" s="3"/>
      <c r="AA64" s="3"/>
      <c r="AB64" s="3"/>
      <c r="AC64" s="3"/>
      <c r="AD64" s="3"/>
      <c r="AE64" s="3"/>
      <c r="AF64" s="3"/>
    </row>
    <row r="65" spans="2:44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Z65" s="3"/>
      <c r="AA65" s="3"/>
      <c r="AB65" s="3"/>
      <c r="AC65" s="3"/>
      <c r="AD65" s="3"/>
      <c r="AE65" s="3"/>
      <c r="AF65" s="3"/>
    </row>
    <row r="66" spans="2:44">
      <c r="B66" s="2" t="s">
        <v>79</v>
      </c>
      <c r="C66" s="3">
        <f t="shared" ref="C66:J66" si="40">C64</f>
        <v>5.720000000000014</v>
      </c>
      <c r="D66" s="3">
        <f t="shared" si="40"/>
        <v>7.4800000000000226</v>
      </c>
      <c r="E66" s="3">
        <f t="shared" si="40"/>
        <v>251.55599999999998</v>
      </c>
      <c r="F66" s="3">
        <f t="shared" si="40"/>
        <v>1.8539999999999743</v>
      </c>
      <c r="G66" s="3">
        <f t="shared" si="40"/>
        <v>73.243999999999971</v>
      </c>
      <c r="H66" s="3">
        <f t="shared" si="40"/>
        <v>109.43900000000004</v>
      </c>
      <c r="I66" s="3">
        <f t="shared" si="40"/>
        <v>64.950999999999979</v>
      </c>
      <c r="J66" s="3">
        <f t="shared" si="40"/>
        <v>71.793999999999954</v>
      </c>
      <c r="K66" s="3">
        <f>K64</f>
        <v>53.32</v>
      </c>
      <c r="L66" s="3">
        <f>L64</f>
        <v>14.148000000000089</v>
      </c>
      <c r="M66" s="3">
        <f>M64</f>
        <v>37.574000000000005</v>
      </c>
      <c r="N66" s="2">
        <v>18.100000000000001</v>
      </c>
      <c r="Z66" s="3"/>
      <c r="AA66" s="3"/>
      <c r="AB66" s="3"/>
      <c r="AC66" s="3"/>
      <c r="AD66" s="3"/>
      <c r="AE66" s="3"/>
      <c r="AF66" s="3"/>
    </row>
    <row r="67" spans="2:44">
      <c r="B67" s="2" t="s">
        <v>80</v>
      </c>
      <c r="C67" s="3"/>
      <c r="D67" s="3"/>
      <c r="E67" s="3"/>
      <c r="F67" s="3"/>
      <c r="G67" s="3">
        <v>17.166</v>
      </c>
      <c r="H67" s="3">
        <f>33.864-G67</f>
        <v>16.697999999999997</v>
      </c>
      <c r="I67" s="3">
        <f>61.659-H67-G67</f>
        <v>27.794999999999998</v>
      </c>
      <c r="J67" s="3">
        <f>83.052-I67-H67-G67</f>
        <v>21.393000000000011</v>
      </c>
      <c r="K67" s="3">
        <v>28.016999999999999</v>
      </c>
      <c r="L67" s="3">
        <f>45.817-K67</f>
        <v>17.8</v>
      </c>
      <c r="M67" s="3">
        <f>61.569-L67-K67</f>
        <v>15.752000000000006</v>
      </c>
      <c r="N67" s="2">
        <v>-13.3</v>
      </c>
      <c r="Z67" s="3"/>
      <c r="AA67" s="3"/>
      <c r="AB67" s="3"/>
      <c r="AC67" s="3"/>
      <c r="AD67" s="3"/>
      <c r="AE67" s="3"/>
      <c r="AF67" s="3"/>
    </row>
    <row r="68" spans="2:44" ht="15">
      <c r="B68" s="2" t="s">
        <v>81</v>
      </c>
      <c r="C68" s="3">
        <f t="shared" ref="C68:N68" si="41">C66-C67</f>
        <v>5.720000000000014</v>
      </c>
      <c r="D68" s="3">
        <f t="shared" si="41"/>
        <v>7.4800000000000226</v>
      </c>
      <c r="E68" s="3">
        <f t="shared" si="41"/>
        <v>251.55599999999998</v>
      </c>
      <c r="F68" s="3">
        <f t="shared" si="41"/>
        <v>1.8539999999999743</v>
      </c>
      <c r="G68" s="3">
        <f t="shared" si="41"/>
        <v>56.077999999999975</v>
      </c>
      <c r="H68" s="3">
        <f t="shared" si="41"/>
        <v>92.741000000000042</v>
      </c>
      <c r="I68" s="3">
        <f t="shared" si="41"/>
        <v>37.155999999999977</v>
      </c>
      <c r="J68" s="3">
        <f>J66-J67</f>
        <v>50.400999999999939</v>
      </c>
      <c r="K68" s="3">
        <f t="shared" si="41"/>
        <v>25.303000000000001</v>
      </c>
      <c r="L68" s="3">
        <f t="shared" si="41"/>
        <v>-3.6519999999999122</v>
      </c>
      <c r="M68" s="3">
        <f t="shared" si="41"/>
        <v>21.821999999999999</v>
      </c>
      <c r="N68" s="3">
        <f t="shared" si="41"/>
        <v>31.400000000000002</v>
      </c>
      <c r="O68" s="2">
        <f>K68*(0.7)</f>
        <v>17.7121</v>
      </c>
      <c r="P68" s="2">
        <f>L68*(0.85)</f>
        <v>-3.1041999999999255</v>
      </c>
      <c r="Q68" s="2">
        <f t="shared" ref="Q68:W68" si="42">M68*(1+$O73)</f>
        <v>18.5487</v>
      </c>
      <c r="R68" s="2">
        <f t="shared" si="42"/>
        <v>26.69</v>
      </c>
      <c r="S68" s="2">
        <f t="shared" si="42"/>
        <v>15.055285</v>
      </c>
      <c r="T68" s="2">
        <f t="shared" si="42"/>
        <v>-2.6385699999999366</v>
      </c>
      <c r="U68" s="2">
        <f t="shared" si="42"/>
        <v>15.766394999999999</v>
      </c>
      <c r="V68" s="2">
        <f t="shared" si="42"/>
        <v>22.686499999999999</v>
      </c>
      <c r="W68" s="2">
        <f t="shared" si="42"/>
        <v>12.796992249999999</v>
      </c>
      <c r="X68" s="2">
        <f t="shared" ref="X68:AE68" si="43">T68*(1+$O73)</f>
        <v>-2.2427844999999462</v>
      </c>
      <c r="Y68" s="2">
        <f t="shared" si="43"/>
        <v>13.401435749999999</v>
      </c>
      <c r="Z68" s="2">
        <f t="shared" si="43"/>
        <v>19.283524999999997</v>
      </c>
      <c r="AA68" s="2">
        <f t="shared" si="43"/>
        <v>10.877443412499998</v>
      </c>
      <c r="AB68" s="2">
        <f t="shared" si="43"/>
        <v>-1.9063668249999541</v>
      </c>
      <c r="AC68" s="1">
        <f t="shared" si="43"/>
        <v>11.391220387499999</v>
      </c>
      <c r="AD68" s="2">
        <f t="shared" si="43"/>
        <v>16.390996249999997</v>
      </c>
      <c r="AE68" s="2">
        <f t="shared" si="43"/>
        <v>9.2458269006249978</v>
      </c>
      <c r="AF68" s="2">
        <f t="shared" ref="AF68" si="44">AB68*(1+$O73)</f>
        <v>-1.6204118012499609</v>
      </c>
      <c r="AG68" s="2">
        <f t="shared" ref="AG68" si="45">AC68*(1+$O73)</f>
        <v>9.6825373293749983</v>
      </c>
      <c r="AH68" s="2">
        <f t="shared" ref="AH68" si="46">AD68*(1+$O73)</f>
        <v>13.932346812499997</v>
      </c>
      <c r="AI68" s="2">
        <f t="shared" ref="AI68" si="47">AE68*(1+$O73)</f>
        <v>7.8589528655312479</v>
      </c>
      <c r="AJ68" s="2">
        <f t="shared" ref="AJ68" si="48">AF68*(1+$O73)</f>
        <v>-1.3773500310624667</v>
      </c>
      <c r="AK68" s="2">
        <f t="shared" ref="AK68" si="49">AG68*(1+$O73)</f>
        <v>8.2301567299687477</v>
      </c>
      <c r="AL68" s="2">
        <f t="shared" ref="AL68" si="50">AH68*(1+$O73)</f>
        <v>11.842494790624997</v>
      </c>
      <c r="AM68" s="2">
        <f t="shared" ref="AM68" si="51">AI68*(1+$O73)</f>
        <v>6.6801099357015605</v>
      </c>
      <c r="AN68" s="2">
        <f t="shared" ref="AN68" si="52">AJ68*(1+$O73)</f>
        <v>-1.1707475264030966</v>
      </c>
      <c r="AO68" s="2">
        <f t="shared" ref="AO68" si="53">AK68*(1+$O73)</f>
        <v>6.9956332204734357</v>
      </c>
      <c r="AP68" s="2">
        <f t="shared" ref="AP68" si="54">AL68*(1+$O73)</f>
        <v>10.066120572031247</v>
      </c>
      <c r="AQ68" s="2">
        <f t="shared" ref="AQ68" si="55">AM68*(1+$O73)</f>
        <v>5.6780934453463265</v>
      </c>
      <c r="AR68" s="2">
        <f t="shared" ref="AR68" si="56">AN68*(1+$O73)</f>
        <v>-0.99513539744263213</v>
      </c>
    </row>
    <row r="69" spans="2:44">
      <c r="B69" s="2" t="s">
        <v>2</v>
      </c>
      <c r="C69" s="3">
        <f t="shared" ref="C69:L69" si="57">C25</f>
        <v>125.895</v>
      </c>
      <c r="D69" s="3">
        <f t="shared" si="57"/>
        <v>126.399</v>
      </c>
      <c r="E69" s="3">
        <f t="shared" si="57"/>
        <v>125.477</v>
      </c>
      <c r="F69" s="3">
        <f t="shared" si="57"/>
        <v>126.55200000000001</v>
      </c>
      <c r="G69" s="3">
        <f t="shared" si="57"/>
        <v>119.71599999999999</v>
      </c>
      <c r="H69" s="3">
        <f t="shared" si="57"/>
        <v>115.321</v>
      </c>
      <c r="I69" s="3">
        <f t="shared" si="57"/>
        <v>115.815</v>
      </c>
      <c r="J69" s="3">
        <f t="shared" si="57"/>
        <v>102.949</v>
      </c>
      <c r="K69" s="3">
        <f t="shared" si="57"/>
        <v>102.217</v>
      </c>
      <c r="L69" s="3">
        <f t="shared" si="57"/>
        <v>103.67</v>
      </c>
      <c r="M69" s="3">
        <f>M25</f>
        <v>104.307</v>
      </c>
      <c r="N69" s="2">
        <v>104.9</v>
      </c>
      <c r="Z69" s="3"/>
      <c r="AA69" s="3"/>
      <c r="AB69" s="3"/>
      <c r="AC69" s="3"/>
      <c r="AD69" s="3"/>
      <c r="AE69" s="3"/>
      <c r="AF69" s="3"/>
    </row>
    <row r="70" spans="2:44">
      <c r="B70" s="2" t="s">
        <v>82</v>
      </c>
      <c r="C70" s="3">
        <f t="shared" ref="C70:L70" si="58">C68/C69</f>
        <v>4.5434687636522614E-2</v>
      </c>
      <c r="D70" s="3">
        <f t="shared" si="58"/>
        <v>5.917768336774834E-2</v>
      </c>
      <c r="E70" s="3">
        <f t="shared" si="58"/>
        <v>2.0047976920072998</v>
      </c>
      <c r="F70" s="3">
        <f t="shared" si="58"/>
        <v>1.465010430494954E-2</v>
      </c>
      <c r="G70" s="3">
        <f t="shared" si="58"/>
        <v>0.46842527314644639</v>
      </c>
      <c r="H70" s="3">
        <f t="shared" si="58"/>
        <v>0.80419871489147721</v>
      </c>
      <c r="I70" s="3">
        <f t="shared" si="58"/>
        <v>0.32082200060441202</v>
      </c>
      <c r="J70" s="3">
        <f t="shared" si="58"/>
        <v>0.48957250677519881</v>
      </c>
      <c r="K70" s="3">
        <f t="shared" si="58"/>
        <v>0.24754199399317139</v>
      </c>
      <c r="L70" s="3">
        <f t="shared" si="58"/>
        <v>-3.5227163113725396E-2</v>
      </c>
      <c r="M70" s="3">
        <f>M68/M69</f>
        <v>0.2092093531594236</v>
      </c>
      <c r="N70" s="3">
        <f>N68/N69</f>
        <v>0.29933269780743565</v>
      </c>
      <c r="O70" s="3"/>
      <c r="P70" s="3"/>
      <c r="Q70" s="3"/>
      <c r="Z70" s="3"/>
      <c r="AA70" s="3"/>
      <c r="AB70" s="3"/>
      <c r="AC70" s="3"/>
      <c r="AD70" s="3"/>
      <c r="AE70" s="3"/>
      <c r="AF70" s="3"/>
    </row>
    <row r="71" spans="2:44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Z71" s="3"/>
      <c r="AA71" s="3"/>
      <c r="AB71" s="3"/>
      <c r="AC71" s="3"/>
      <c r="AD71" s="3"/>
      <c r="AE71" s="3"/>
      <c r="AF71" s="3"/>
    </row>
    <row r="72" spans="2:44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2" t="s">
        <v>86</v>
      </c>
      <c r="O72" s="8">
        <v>0.1</v>
      </c>
      <c r="Z72" s="3"/>
      <c r="AA72" s="3"/>
      <c r="AB72" s="3"/>
      <c r="AC72" s="3"/>
      <c r="AD72" s="3"/>
      <c r="AE72" s="3"/>
      <c r="AF72" s="3"/>
    </row>
    <row r="73" spans="2:44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2" t="s">
        <v>87</v>
      </c>
      <c r="O73" s="8">
        <v>-0.15</v>
      </c>
      <c r="Z73" s="3"/>
      <c r="AA73" s="3"/>
      <c r="AB73" s="3"/>
      <c r="AC73" s="3"/>
      <c r="AD73" s="3"/>
      <c r="AE73" s="3"/>
      <c r="AF73" s="3"/>
    </row>
    <row r="74" spans="2:44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2" t="s">
        <v>88</v>
      </c>
      <c r="O74" s="9">
        <f>NPV(O72,N68:AR68)</f>
        <v>125.67152442204184</v>
      </c>
      <c r="Z74" s="3"/>
      <c r="AA74" s="3"/>
      <c r="AB74" s="3"/>
      <c r="AC74" s="3"/>
      <c r="AD74" s="3"/>
      <c r="AE74" s="3"/>
      <c r="AF74" s="3"/>
    </row>
    <row r="75" spans="2:44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2" t="s">
        <v>90</v>
      </c>
      <c r="O75" s="3">
        <f>M69</f>
        <v>104.307</v>
      </c>
      <c r="Z75" s="3"/>
      <c r="AA75" s="3"/>
      <c r="AB75" s="3"/>
      <c r="AC75" s="3"/>
      <c r="AD75" s="3"/>
      <c r="AE75" s="3"/>
      <c r="AF75" s="3"/>
    </row>
    <row r="76" spans="2:44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2" t="s">
        <v>91</v>
      </c>
      <c r="O76" s="9">
        <f>O74/O75</f>
        <v>1.2048234962374704</v>
      </c>
      <c r="Z76" s="3"/>
      <c r="AA76" s="3"/>
      <c r="AB76" s="3"/>
      <c r="AC76" s="3"/>
      <c r="AD76" s="3"/>
      <c r="AE76" s="3"/>
      <c r="AF76" s="3"/>
    </row>
    <row r="77" spans="2:44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2" t="s">
        <v>92</v>
      </c>
      <c r="O77" s="9">
        <v>0.64</v>
      </c>
      <c r="Z77" s="3"/>
      <c r="AA77" s="3"/>
      <c r="AB77" s="3"/>
      <c r="AC77" s="3"/>
      <c r="AD77" s="3"/>
      <c r="AE77" s="3"/>
      <c r="AF77" s="3"/>
    </row>
    <row r="78" spans="2:44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O78" s="8">
        <f>O77/O76</f>
        <v>0.53119813980939845</v>
      </c>
      <c r="P78" s="2" t="str">
        <f>IF(O78&gt;0,"Upside","Downside")</f>
        <v>Upside</v>
      </c>
      <c r="Z78" s="3"/>
      <c r="AA78" s="3"/>
      <c r="AB78" s="3"/>
      <c r="AC78" s="3"/>
      <c r="AD78" s="3"/>
      <c r="AE78" s="3"/>
      <c r="AF78" s="3"/>
    </row>
    <row r="79" spans="2:44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Z79" s="3"/>
      <c r="AA79" s="3"/>
      <c r="AB79" s="3"/>
      <c r="AC79" s="3"/>
      <c r="AD79" s="3"/>
      <c r="AE79" s="3"/>
      <c r="AF79" s="3"/>
    </row>
    <row r="80" spans="2:44">
      <c r="Z80" s="3"/>
      <c r="AA80" s="3"/>
      <c r="AB80" s="3"/>
      <c r="AC80" s="3"/>
      <c r="AD80" s="3"/>
      <c r="AE80" s="3"/>
      <c r="AF80" s="3"/>
    </row>
    <row r="81" spans="26:32">
      <c r="Z81" s="3"/>
      <c r="AA81" s="3"/>
      <c r="AB81" s="3"/>
      <c r="AC81" s="3"/>
      <c r="AD81" s="3"/>
      <c r="AE81" s="3"/>
      <c r="AF81" s="3"/>
    </row>
    <row r="82" spans="26:32">
      <c r="Z82" s="3"/>
      <c r="AA82" s="3"/>
      <c r="AB82" s="3"/>
      <c r="AC82" s="3"/>
      <c r="AD82" s="3"/>
      <c r="AE82" s="3"/>
      <c r="AF82" s="3"/>
    </row>
    <row r="83" spans="26:32">
      <c r="Z83" s="3"/>
      <c r="AA83" s="3"/>
      <c r="AB83" s="3"/>
      <c r="AC83" s="3"/>
      <c r="AD83" s="3"/>
      <c r="AE83" s="3"/>
      <c r="AF83" s="3"/>
    </row>
    <row r="84" spans="26:32">
      <c r="Z84" s="3"/>
      <c r="AA84" s="3"/>
      <c r="AB84" s="3"/>
      <c r="AC84" s="3"/>
      <c r="AD84" s="3"/>
      <c r="AE84" s="3"/>
      <c r="AF84" s="3"/>
    </row>
    <row r="85" spans="26:32">
      <c r="Z85" s="3"/>
      <c r="AA85" s="3"/>
      <c r="AB85" s="3"/>
      <c r="AC85" s="3"/>
      <c r="AD85" s="3"/>
      <c r="AE85" s="3"/>
      <c r="AF85" s="3"/>
    </row>
    <row r="86" spans="26:32">
      <c r="Z86" s="3"/>
      <c r="AA86" s="3"/>
      <c r="AB86" s="3"/>
      <c r="AC86" s="3"/>
      <c r="AD86" s="3"/>
      <c r="AE86" s="3"/>
      <c r="AF86" s="3"/>
    </row>
    <row r="87" spans="26:32">
      <c r="Z87" s="3"/>
      <c r="AA87" s="3"/>
      <c r="AB87" s="3"/>
      <c r="AC87" s="3"/>
      <c r="AD87" s="3"/>
      <c r="AE87" s="3"/>
      <c r="AF87" s="3"/>
    </row>
    <row r="88" spans="26:32">
      <c r="Z88" s="3"/>
      <c r="AA88" s="3"/>
      <c r="AB88" s="3"/>
      <c r="AC88" s="3"/>
      <c r="AD88" s="3"/>
      <c r="AE88" s="3"/>
      <c r="AF88" s="3"/>
    </row>
    <row r="89" spans="26:32">
      <c r="Z89" s="3"/>
      <c r="AA89" s="3"/>
      <c r="AB89" s="3"/>
      <c r="AC89" s="3"/>
      <c r="AD89" s="3"/>
      <c r="AE89" s="3"/>
      <c r="AF89" s="3"/>
    </row>
    <row r="90" spans="26:32">
      <c r="Z90" s="3"/>
      <c r="AA90" s="3"/>
      <c r="AB90" s="3"/>
      <c r="AC90" s="3"/>
      <c r="AD90" s="3"/>
      <c r="AE90" s="3"/>
      <c r="AF90" s="3"/>
    </row>
  </sheetData>
  <pageMargins left="0.7" right="0.7" top="0.75" bottom="0.75" header="0.3" footer="0.3"/>
  <ignoredErrors>
    <ignoredError sqref="J12 F12" formula="1"/>
    <ignoredError sqref="AE18:AF18" formulaRange="1"/>
    <ignoredError sqref="AE25:AF25" formula="1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63328-CA45-4D4E-90C9-2DD4ED372EEB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Debt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2025-04-04T10:40:25Z</dcterms:modified>
</cp:coreProperties>
</file>