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quity Research\Models\Consumer Discretionary\"/>
    </mc:Choice>
  </mc:AlternateContent>
  <xr:revisionPtr revIDLastSave="0" documentId="13_ncr:1_{0553BA2D-296C-4C75-9E49-5419837A997D}" xr6:coauthVersionLast="47" xr6:coauthVersionMax="47" xr10:uidLastSave="{00000000-0000-0000-0000-000000000000}"/>
  <bookViews>
    <workbookView xWindow="29385" yWindow="1380" windowWidth="21495" windowHeight="11895" xr2:uid="{07357E3F-CFA6-40CB-A646-8493286714AD}"/>
  </bookViews>
  <sheets>
    <sheet name="Main" sheetId="1" r:id="rId1"/>
    <sheet name="Model" sheetId="2" r:id="rId2"/>
    <sheet name="Debt 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H35" i="2"/>
  <c r="H34" i="2"/>
  <c r="H26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T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T17" i="2"/>
  <c r="I26" i="2"/>
  <c r="K50" i="2"/>
  <c r="K58" i="2"/>
  <c r="K63" i="2" s="1"/>
  <c r="K44" i="2"/>
  <c r="K46" i="2" s="1"/>
  <c r="K41" i="2"/>
  <c r="K43" i="2" s="1"/>
  <c r="K39" i="2"/>
  <c r="K35" i="2"/>
  <c r="K37" i="2" s="1"/>
  <c r="L58" i="2"/>
  <c r="L63" i="2" s="1"/>
  <c r="L50" i="2"/>
  <c r="L44" i="2"/>
  <c r="L46" i="2" s="1"/>
  <c r="L41" i="2"/>
  <c r="L43" i="2" s="1"/>
  <c r="L39" i="2"/>
  <c r="L35" i="2"/>
  <c r="N29" i="2"/>
  <c r="N27" i="2"/>
  <c r="N23" i="2"/>
  <c r="N21" i="2"/>
  <c r="N20" i="2"/>
  <c r="K26" i="2"/>
  <c r="L26" i="2"/>
  <c r="M58" i="2"/>
  <c r="M50" i="2"/>
  <c r="M49" i="2"/>
  <c r="M44" i="2"/>
  <c r="M46" i="2" s="1"/>
  <c r="M41" i="2"/>
  <c r="M43" i="2" s="1"/>
  <c r="M39" i="2"/>
  <c r="M35" i="2"/>
  <c r="M37" i="2" s="1"/>
  <c r="M26" i="2"/>
  <c r="O58" i="2"/>
  <c r="O50" i="2"/>
  <c r="O44" i="2"/>
  <c r="O46" i="2" s="1"/>
  <c r="O41" i="2"/>
  <c r="O43" i="2" s="1"/>
  <c r="O39" i="2"/>
  <c r="O35" i="2"/>
  <c r="O37" i="2" s="1"/>
  <c r="R29" i="2"/>
  <c r="R25" i="2"/>
  <c r="R27" i="2"/>
  <c r="R23" i="2"/>
  <c r="R21" i="2"/>
  <c r="O26" i="2"/>
  <c r="P58" i="2"/>
  <c r="P63" i="2" s="1"/>
  <c r="P50" i="2"/>
  <c r="P44" i="2"/>
  <c r="P46" i="2" s="1"/>
  <c r="P41" i="2"/>
  <c r="P43" i="2" s="1"/>
  <c r="P39" i="2"/>
  <c r="P35" i="2"/>
  <c r="P37" i="2" s="1"/>
  <c r="P26" i="2"/>
  <c r="Q58" i="2"/>
  <c r="Q63" i="2" s="1"/>
  <c r="Q50" i="2"/>
  <c r="Q35" i="2"/>
  <c r="Q37" i="2" s="1"/>
  <c r="Q44" i="2"/>
  <c r="Q46" i="2" s="1"/>
  <c r="Q39" i="2"/>
  <c r="Q26" i="2"/>
  <c r="I58" i="2"/>
  <c r="I63" i="2" s="1"/>
  <c r="I50" i="2"/>
  <c r="I39" i="2"/>
  <c r="I35" i="2"/>
  <c r="I37" i="2" s="1"/>
  <c r="N58" i="2"/>
  <c r="N63" i="2" s="1"/>
  <c r="N50" i="2"/>
  <c r="N39" i="2"/>
  <c r="N35" i="2"/>
  <c r="N37" i="2" s="1"/>
  <c r="S58" i="2"/>
  <c r="S63" i="2" s="1"/>
  <c r="R50" i="2"/>
  <c r="R58" i="2"/>
  <c r="R63" i="2" s="1"/>
  <c r="R44" i="2"/>
  <c r="R46" i="2" s="1"/>
  <c r="S50" i="2"/>
  <c r="S41" i="2"/>
  <c r="S43" i="2" s="1"/>
  <c r="S44" i="2"/>
  <c r="S46" i="2" s="1"/>
  <c r="S39" i="2"/>
  <c r="S35" i="2"/>
  <c r="S37" i="2" s="1"/>
  <c r="S26" i="2"/>
  <c r="T26" i="2"/>
  <c r="R41" i="2"/>
  <c r="R43" i="2" s="1"/>
  <c r="R39" i="2"/>
  <c r="T39" i="2"/>
  <c r="R35" i="2"/>
  <c r="R37" i="2" s="1"/>
  <c r="O63" i="2"/>
  <c r="M63" i="2"/>
  <c r="J63" i="2"/>
  <c r="H63" i="2"/>
  <c r="G63" i="2"/>
  <c r="F63" i="2"/>
  <c r="E63" i="2"/>
  <c r="D63" i="2"/>
  <c r="C63" i="2"/>
  <c r="T58" i="2"/>
  <c r="T63" i="2" s="1"/>
  <c r="N46" i="2"/>
  <c r="I46" i="2"/>
  <c r="J46" i="2"/>
  <c r="H46" i="2"/>
  <c r="G46" i="2"/>
  <c r="F46" i="2"/>
  <c r="E46" i="2"/>
  <c r="D46" i="2"/>
  <c r="C46" i="2"/>
  <c r="Q43" i="2"/>
  <c r="N43" i="2"/>
  <c r="I43" i="2"/>
  <c r="J43" i="2"/>
  <c r="H43" i="2"/>
  <c r="G43" i="2"/>
  <c r="F43" i="2"/>
  <c r="E43" i="2"/>
  <c r="D43" i="2"/>
  <c r="C43" i="2"/>
  <c r="L37" i="2"/>
  <c r="J37" i="2"/>
  <c r="H37" i="2"/>
  <c r="G37" i="2"/>
  <c r="F37" i="2"/>
  <c r="E37" i="2"/>
  <c r="D37" i="2"/>
  <c r="C37" i="2"/>
  <c r="T50" i="2"/>
  <c r="T44" i="2"/>
  <c r="T46" i="2" s="1"/>
  <c r="T41" i="2"/>
  <c r="T43" i="2" s="1"/>
  <c r="T35" i="2"/>
  <c r="T37" i="2" s="1"/>
  <c r="T10" i="2"/>
  <c r="T22" i="2"/>
  <c r="T24" i="2" s="1"/>
  <c r="N26" i="2" l="1"/>
  <c r="N51" i="2"/>
  <c r="R26" i="2"/>
  <c r="S51" i="2"/>
  <c r="T28" i="2"/>
  <c r="T30" i="2" s="1"/>
  <c r="T31" i="2" s="1"/>
  <c r="T51" i="2"/>
  <c r="G51" i="2"/>
  <c r="O51" i="2"/>
  <c r="I51" i="2"/>
  <c r="J51" i="2"/>
  <c r="L51" i="2"/>
  <c r="Q51" i="2"/>
  <c r="R51" i="2"/>
  <c r="C51" i="2"/>
  <c r="K51" i="2"/>
  <c r="M51" i="2"/>
  <c r="F51" i="2"/>
  <c r="H51" i="2"/>
  <c r="P51" i="2"/>
  <c r="D51" i="2"/>
  <c r="E51" i="2"/>
  <c r="Q12" i="2" l="1"/>
  <c r="Q10" i="2" s="1"/>
  <c r="S10" i="2"/>
  <c r="R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C16" i="2" s="1"/>
  <c r="S3" i="2"/>
  <c r="R3" i="2"/>
  <c r="Q3" i="2"/>
  <c r="P3" i="2"/>
  <c r="O3" i="2"/>
  <c r="M3" i="2"/>
  <c r="L3" i="2"/>
  <c r="K3" i="2"/>
  <c r="J3" i="2"/>
  <c r="I3" i="2"/>
  <c r="H3" i="2"/>
  <c r="G3" i="2"/>
  <c r="F3" i="2"/>
  <c r="E3" i="2"/>
  <c r="D3" i="2"/>
  <c r="C3" i="2"/>
  <c r="C15" i="2" s="1"/>
  <c r="T3" i="2"/>
  <c r="T14" i="2" s="1"/>
  <c r="AG2" i="2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I7" i="1"/>
  <c r="I4" i="1"/>
  <c r="R14" i="2" l="1"/>
  <c r="K15" i="2"/>
  <c r="L16" i="2"/>
  <c r="D16" i="2"/>
  <c r="M15" i="2"/>
  <c r="E15" i="2"/>
  <c r="I14" i="2"/>
  <c r="J20" i="2" s="1"/>
  <c r="J22" i="2" s="1"/>
  <c r="J24" i="2" s="1"/>
  <c r="J28" i="2" s="1"/>
  <c r="J30" i="2" s="1"/>
  <c r="J31" i="2" s="1"/>
  <c r="K16" i="2"/>
  <c r="Q15" i="2"/>
  <c r="J15" i="2"/>
  <c r="F15" i="2"/>
  <c r="N15" i="2"/>
  <c r="E14" i="2"/>
  <c r="E20" i="2" s="1"/>
  <c r="E22" i="2" s="1"/>
  <c r="E24" i="2" s="1"/>
  <c r="E28" i="2" s="1"/>
  <c r="E30" i="2" s="1"/>
  <c r="E31" i="2" s="1"/>
  <c r="M14" i="2"/>
  <c r="M22" i="2" s="1"/>
  <c r="M24" i="2" s="1"/>
  <c r="M28" i="2" s="1"/>
  <c r="M30" i="2" s="1"/>
  <c r="M31" i="2" s="1"/>
  <c r="Q14" i="2"/>
  <c r="Q20" i="2" s="1"/>
  <c r="Q22" i="2" s="1"/>
  <c r="Q24" i="2" s="1"/>
  <c r="Q28" i="2" s="1"/>
  <c r="Q30" i="2" s="1"/>
  <c r="Q31" i="2" s="1"/>
  <c r="R15" i="2"/>
  <c r="P16" i="2"/>
  <c r="O15" i="2"/>
  <c r="N16" i="2"/>
  <c r="P15" i="2"/>
  <c r="I15" i="2"/>
  <c r="H16" i="2"/>
  <c r="J16" i="2"/>
  <c r="G15" i="2"/>
  <c r="F16" i="2"/>
  <c r="D15" i="2"/>
  <c r="L15" i="2"/>
  <c r="S16" i="2"/>
  <c r="I16" i="2"/>
  <c r="H15" i="2"/>
  <c r="R16" i="2"/>
  <c r="G14" i="2"/>
  <c r="G20" i="2" s="1"/>
  <c r="G22" i="2" s="1"/>
  <c r="G24" i="2" s="1"/>
  <c r="G28" i="2" s="1"/>
  <c r="G30" i="2" s="1"/>
  <c r="G31" i="2" s="1"/>
  <c r="O14" i="2"/>
  <c r="O20" i="2" s="1"/>
  <c r="E16" i="2"/>
  <c r="M16" i="2"/>
  <c r="G16" i="2"/>
  <c r="O16" i="2"/>
  <c r="S15" i="2"/>
  <c r="Q16" i="2"/>
  <c r="T16" i="2"/>
  <c r="T15" i="2"/>
  <c r="F14" i="2"/>
  <c r="F20" i="2" s="1"/>
  <c r="F22" i="2" s="1"/>
  <c r="F24" i="2" s="1"/>
  <c r="F28" i="2" s="1"/>
  <c r="F30" i="2" s="1"/>
  <c r="F31" i="2" s="1"/>
  <c r="N14" i="2"/>
  <c r="N22" i="2" s="1"/>
  <c r="N24" i="2" s="1"/>
  <c r="N28" i="2" s="1"/>
  <c r="N30" i="2" s="1"/>
  <c r="N31" i="2" s="1"/>
  <c r="J14" i="2"/>
  <c r="I22" i="2" s="1"/>
  <c r="I24" i="2" s="1"/>
  <c r="I28" i="2" s="1"/>
  <c r="I30" i="2" s="1"/>
  <c r="I31" i="2" s="1"/>
  <c r="H14" i="2"/>
  <c r="H22" i="2" s="1"/>
  <c r="H24" i="2" s="1"/>
  <c r="H28" i="2" s="1"/>
  <c r="H30" i="2" s="1"/>
  <c r="H31" i="2" s="1"/>
  <c r="C14" i="2"/>
  <c r="C20" i="2" s="1"/>
  <c r="C22" i="2" s="1"/>
  <c r="C24" i="2" s="1"/>
  <c r="C28" i="2" s="1"/>
  <c r="C30" i="2" s="1"/>
  <c r="C31" i="2" s="1"/>
  <c r="K14" i="2"/>
  <c r="K22" i="2" s="1"/>
  <c r="K24" i="2" s="1"/>
  <c r="K28" i="2" s="1"/>
  <c r="K30" i="2" s="1"/>
  <c r="K31" i="2" s="1"/>
  <c r="P14" i="2"/>
  <c r="P20" i="2" s="1"/>
  <c r="P22" i="2" s="1"/>
  <c r="P24" i="2" s="1"/>
  <c r="P28" i="2" s="1"/>
  <c r="P30" i="2" s="1"/>
  <c r="P31" i="2" s="1"/>
  <c r="D14" i="2"/>
  <c r="D20" i="2" s="1"/>
  <c r="D22" i="2" s="1"/>
  <c r="D24" i="2" s="1"/>
  <c r="D28" i="2" s="1"/>
  <c r="D30" i="2" s="1"/>
  <c r="D31" i="2" s="1"/>
  <c r="L14" i="2"/>
  <c r="L22" i="2" s="1"/>
  <c r="L24" i="2" s="1"/>
  <c r="L28" i="2" s="1"/>
  <c r="L30" i="2" s="1"/>
  <c r="L31" i="2" s="1"/>
  <c r="S14" i="2"/>
  <c r="S20" i="2" s="1"/>
  <c r="S22" i="2" s="1"/>
  <c r="S24" i="2" s="1"/>
  <c r="S28" i="2" s="1"/>
  <c r="S30" i="2" s="1"/>
  <c r="S31" i="2" s="1"/>
  <c r="O22" i="2" l="1"/>
  <c r="O24" i="2" s="1"/>
  <c r="O28" i="2" s="1"/>
  <c r="O30" i="2" s="1"/>
  <c r="O31" i="2" s="1"/>
  <c r="R20" i="2"/>
  <c r="R22" i="2" s="1"/>
  <c r="R24" i="2" l="1"/>
  <c r="R28" i="2" s="1"/>
  <c r="R30" i="2" s="1"/>
  <c r="R31" i="2" s="1"/>
</calcChain>
</file>

<file path=xl/sharedStrings.xml><?xml version="1.0" encoding="utf-8"?>
<sst xmlns="http://schemas.openxmlformats.org/spreadsheetml/2006/main" count="97" uniqueCount="89">
  <si>
    <t>Price</t>
  </si>
  <si>
    <t xml:space="preserve">Shares </t>
  </si>
  <si>
    <t>MC</t>
  </si>
  <si>
    <t>Cash</t>
  </si>
  <si>
    <t>Debt</t>
  </si>
  <si>
    <t>EV</t>
  </si>
  <si>
    <t>Notes</t>
  </si>
  <si>
    <t>Heydude growth/financing headwinds</t>
  </si>
  <si>
    <t>Domestic business growing at steady pace (sub 10%)</t>
  </si>
  <si>
    <t>Share buyback program restarted in May ($175 million)</t>
  </si>
  <si>
    <t>2Q24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</si>
  <si>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</si>
  <si>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</si>
  <si>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</si>
  <si>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</si>
  <si>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</si>
  <si>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</si>
  <si>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</si>
  <si>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</si>
  <si>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</si>
  <si>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</si>
  <si>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</si>
  <si>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</si>
  <si>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</si>
  <si>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</si>
  <si>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</si>
  <si>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</si>
  <si>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</si>
  <si>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</si>
  <si>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</si>
  <si>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</si>
  <si>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</si>
  <si>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</si>
  <si>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</si>
  <si>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</si>
  <si>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 xml:space="preserve">North America </t>
  </si>
  <si>
    <t>Wholesale</t>
  </si>
  <si>
    <t>DTC</t>
  </si>
  <si>
    <t>Crox Brand:</t>
  </si>
  <si>
    <t>International</t>
  </si>
  <si>
    <t>Ttl Revenues</t>
  </si>
  <si>
    <t>HEYDUDE:</t>
  </si>
  <si>
    <t>Cost of Sales</t>
  </si>
  <si>
    <t xml:space="preserve">Gross Profit </t>
  </si>
  <si>
    <t>SG&amp;A</t>
  </si>
  <si>
    <t>Operating Income</t>
  </si>
  <si>
    <t>Other Income (Expenses), net</t>
  </si>
  <si>
    <t>Income Tax Expense (Benefit)</t>
  </si>
  <si>
    <t>Net Income</t>
  </si>
  <si>
    <t>EPS</t>
  </si>
  <si>
    <t>Cash and C.E.'s</t>
  </si>
  <si>
    <t>Inventories</t>
  </si>
  <si>
    <t>Other Recievables</t>
  </si>
  <si>
    <t>Prepaid Expenses/Other Assets</t>
  </si>
  <si>
    <t>AR</t>
  </si>
  <si>
    <t>PP&amp;E</t>
  </si>
  <si>
    <t>Intangibles</t>
  </si>
  <si>
    <t>Goodwill</t>
  </si>
  <si>
    <t>LT Deffered Tax, net</t>
  </si>
  <si>
    <t>Other Assets</t>
  </si>
  <si>
    <t>Ttl Assets</t>
  </si>
  <si>
    <t>AP</t>
  </si>
  <si>
    <t>LT Prepaid Leases</t>
  </si>
  <si>
    <t>Accrued Expenses and Other</t>
  </si>
  <si>
    <t>Income Taxes Payable</t>
  </si>
  <si>
    <t>Current Debt</t>
  </si>
  <si>
    <t>Current Operating Leases</t>
  </si>
  <si>
    <t>LT Debt</t>
  </si>
  <si>
    <t>LT Operating Lease Liabilities</t>
  </si>
  <si>
    <t>OLTL</t>
  </si>
  <si>
    <t>SE</t>
  </si>
  <si>
    <t>TL+SE</t>
  </si>
  <si>
    <t>Income Before Taxes</t>
  </si>
  <si>
    <t>AR, net</t>
  </si>
  <si>
    <t>Allowance for Doubful</t>
  </si>
  <si>
    <t>PP&amp;E, net</t>
  </si>
  <si>
    <t>Acc Amor.</t>
  </si>
  <si>
    <t>Acc Dep.</t>
  </si>
  <si>
    <t>Intangibles, net</t>
  </si>
  <si>
    <t>Interest Income (Expenses), net</t>
  </si>
  <si>
    <t>ForEx Gains (Losses), net</t>
  </si>
  <si>
    <t>LT Tax Liabilities, net</t>
  </si>
  <si>
    <t xml:space="preserve">International (specifically China)seeing high growth </t>
  </si>
  <si>
    <t>Gross Margin</t>
  </si>
  <si>
    <t>Ttl Revenues Q/q</t>
  </si>
  <si>
    <t>Int. Q/q</t>
  </si>
  <si>
    <t>N.A. Q/q</t>
  </si>
  <si>
    <t>Shares Outstanding (SEC 1st page)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</si>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</sst>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4" fontId="0" fillId="0" borderId="0" xfId="0" applyNumberFormat="1"/>
    <xf numFmtId="14" fontId="0" fillId="0" borderId="0" xfId="0" applyNumberFormat="1"/>
    <xf numFmtId="0" fontId="1" fillId="0" borderId="0" xfId="0" applyFont="1"/>
    <xf numFmtId="44" fontId="2" fillId="0" borderId="0" xfId="0" applyNumberFormat="1" applyFont="1"/>
    <xf numFmtId="0" fontId="2" fillId="0" borderId="0" xfId="0" applyFont="1"/>
    <xf numFmtId="44" fontId="1" fillId="0" borderId="0" xfId="0" applyNumberFormat="1" applyFont="1"/>
    <xf numFmtId="0" fontId="1" fillId="0" borderId="0" xfId="0" applyFont="1" applyAlignment="1">
      <alignment horizontal="left" indent="1"/>
    </xf>
    <xf numFmtId="10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20</xdr:col>
      <xdr:colOff>0</xdr:colOff>
      <xdr:row>74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7E62FF6-2E39-4692-ADCE-B7DA46038792}"/>
            </a:ext>
          </a:extLst>
        </xdr:cNvPr>
        <xdr:cNvCxnSpPr/>
      </xdr:nvCxnSpPr>
      <xdr:spPr>
        <a:xfrm>
          <a:off x="12992100" y="0"/>
          <a:ext cx="0" cy="14849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656105</xdr:colOff>
      <xdr:row>0</xdr:row>
      <xdr:rowOff>38100</xdr:rowOff>
    </xdr:from>
    <xdr:to>
      <xdr:col>36</xdr:col>
      <xdr:colOff>656105</xdr:colOff>
      <xdr:row>75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79E3BEF-DAB0-415C-928C-9C8A697F91C2}"/>
            </a:ext>
          </a:extLst>
        </xdr:cNvPr>
        <xdr:cNvCxnSpPr/>
      </xdr:nvCxnSpPr>
      <xdr:spPr>
        <a:xfrm>
          <a:off x="25566781" y="38100"/>
          <a:ext cx="0" cy="141995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43D7-8665-450D-BA62-EBBD45696BCC}">
  <dimension ref="A1:J7"/>
  <sheetViews>
    <sheetView tabSelected="1" workbookViewId="0"/>
  </sheetViews>
  <sheetFormatPr defaultRowHeight="15" x14ac:dyDescent="0.25"/>
  <cols>
    <col min="1" max="1" width="3" customWidth="1"/>
    <col min="9" max="9" width="10.5703125" bestFit="1" customWidth="1"/>
    <col min="10" max="10" width="9.42578125" bestFit="1" customWidth="1"/>
  </cols>
  <sheetData>
    <row r="1" spans="1:10" x14ac:dyDescent="0.25">
      <c r="A1" s="12" t="s">
        <v>88</v>
      </c>
    </row>
    <row r="2" spans="1:10" x14ac:dyDescent="0.25">
      <c r="B2" t="s">
        <v>6</v>
      </c>
      <c r="H2" t="s">
        <v>0</v>
      </c>
      <c r="I2" s="1">
        <v>141.71</v>
      </c>
      <c r="J2" s="2">
        <v>45531</v>
      </c>
    </row>
    <row r="3" spans="1:10" x14ac:dyDescent="0.25">
      <c r="B3" t="s">
        <v>7</v>
      </c>
      <c r="H3" t="s">
        <v>1</v>
      </c>
      <c r="I3">
        <v>58.384999999999998</v>
      </c>
      <c r="J3" t="s">
        <v>10</v>
      </c>
    </row>
    <row r="4" spans="1:10" x14ac:dyDescent="0.25">
      <c r="B4" t="s">
        <v>8</v>
      </c>
      <c r="H4" t="s">
        <v>2</v>
      </c>
      <c r="I4" s="1">
        <f>I2*I3</f>
        <v>8273.7383499999996</v>
      </c>
    </row>
    <row r="5" spans="1:10" x14ac:dyDescent="0.25">
      <c r="B5" t="s">
        <v>82</v>
      </c>
      <c r="H5" t="s">
        <v>3</v>
      </c>
      <c r="I5">
        <v>167.7</v>
      </c>
      <c r="J5" t="s">
        <v>10</v>
      </c>
    </row>
    <row r="6" spans="1:10" x14ac:dyDescent="0.25">
      <c r="B6" t="s">
        <v>9</v>
      </c>
      <c r="H6" t="s">
        <v>4</v>
      </c>
      <c r="I6" s="1">
        <v>1530</v>
      </c>
      <c r="J6" t="s">
        <v>10</v>
      </c>
    </row>
    <row r="7" spans="1:10" x14ac:dyDescent="0.25">
      <c r="H7" t="s">
        <v>5</v>
      </c>
      <c r="I7" s="1">
        <f>I4-I5+I6</f>
        <v>9636.0383499999989</v>
      </c>
    </row>
  </sheetData>
  <hyperlinks>
    <hyperlink ref="A1" r:id="rId1" xr:uid="{21BDA8E9-81E6-4268-8808-BE15571E01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0B2B-6306-4A2E-94B5-6F6C4A6037E6}">
  <dimension ref="B2:AW63"/>
  <sheetViews>
    <sheetView zoomScale="85" zoomScaleNormal="85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AF3" sqref="AF3"/>
    </sheetView>
  </sheetViews>
  <sheetFormatPr defaultColWidth="9.140625" defaultRowHeight="14.25" x14ac:dyDescent="0.2"/>
  <cols>
    <col min="1" max="1" width="2.85546875" style="3" customWidth="1"/>
    <col min="2" max="2" width="32.85546875" style="3" bestFit="1" customWidth="1"/>
    <col min="3" max="12" width="10" style="6" bestFit="1" customWidth="1"/>
    <col min="13" max="13" width="10.85546875" style="6" bestFit="1" customWidth="1"/>
    <col min="14" max="18" width="10" style="6" bestFit="1" customWidth="1"/>
    <col min="19" max="26" width="10" style="6" customWidth="1"/>
    <col min="27" max="29" width="9.140625" style="3"/>
    <col min="30" max="30" width="10" style="6" customWidth="1"/>
    <col min="31" max="48" width="10" style="6" bestFit="1" customWidth="1"/>
    <col min="49" max="16384" width="9.140625" style="3"/>
  </cols>
  <sheetData>
    <row r="2" spans="2:49" ht="15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4" t="s">
        <v>23</v>
      </c>
      <c r="P2" s="4" t="s">
        <v>24</v>
      </c>
      <c r="Q2" s="4" t="s">
        <v>25</v>
      </c>
      <c r="R2" s="4" t="s">
        <v>26</v>
      </c>
      <c r="S2" s="4" t="s">
        <v>27</v>
      </c>
      <c r="T2" s="4" t="s">
        <v>28</v>
      </c>
      <c r="U2" s="4" t="s">
        <v>29</v>
      </c>
      <c r="V2" s="4" t="s">
        <v>30</v>
      </c>
      <c r="W2" s="4" t="s">
        <v>31</v>
      </c>
      <c r="X2" s="4" t="s">
        <v>32</v>
      </c>
      <c r="Y2" s="4" t="s">
        <v>33</v>
      </c>
      <c r="Z2" s="4" t="s">
        <v>34</v>
      </c>
      <c r="AD2" s="5"/>
      <c r="AE2" s="5"/>
      <c r="AF2" s="5">
        <v>2019</v>
      </c>
      <c r="AG2" s="5">
        <f t="shared" ref="AG2:AV2" si="0">AF2+1</f>
        <v>2020</v>
      </c>
      <c r="AH2" s="5">
        <f t="shared" si="0"/>
        <v>2021</v>
      </c>
      <c r="AI2" s="5">
        <f t="shared" si="0"/>
        <v>2022</v>
      </c>
      <c r="AJ2" s="5">
        <f t="shared" si="0"/>
        <v>2023</v>
      </c>
      <c r="AK2" s="5">
        <f t="shared" si="0"/>
        <v>2024</v>
      </c>
      <c r="AL2" s="5">
        <f t="shared" si="0"/>
        <v>2025</v>
      </c>
      <c r="AM2" s="5">
        <f t="shared" si="0"/>
        <v>2026</v>
      </c>
      <c r="AN2" s="5">
        <f t="shared" si="0"/>
        <v>2027</v>
      </c>
      <c r="AO2" s="5">
        <f t="shared" si="0"/>
        <v>2028</v>
      </c>
      <c r="AP2" s="5">
        <f t="shared" si="0"/>
        <v>2029</v>
      </c>
      <c r="AQ2" s="5">
        <f t="shared" si="0"/>
        <v>2030</v>
      </c>
      <c r="AR2" s="5">
        <f t="shared" si="0"/>
        <v>2031</v>
      </c>
      <c r="AS2" s="5">
        <f t="shared" si="0"/>
        <v>2032</v>
      </c>
      <c r="AT2" s="5">
        <f t="shared" si="0"/>
        <v>2033</v>
      </c>
      <c r="AU2" s="5">
        <f t="shared" si="0"/>
        <v>2034</v>
      </c>
      <c r="AV2" s="5">
        <f t="shared" si="0"/>
        <v>2035</v>
      </c>
      <c r="AW2" s="5"/>
    </row>
    <row r="3" spans="2:49" s="5" customFormat="1" ht="15" x14ac:dyDescent="0.25">
      <c r="B3" s="5" t="s">
        <v>35</v>
      </c>
      <c r="C3" s="5">
        <f t="shared" ref="C3:S3" si="1">C5+C6+C8+C9</f>
        <v>0</v>
      </c>
      <c r="D3" s="5">
        <f t="shared" si="1"/>
        <v>0</v>
      </c>
      <c r="E3" s="5">
        <f t="shared" si="1"/>
        <v>0</v>
      </c>
      <c r="F3" s="5">
        <f t="shared" si="1"/>
        <v>0</v>
      </c>
      <c r="G3" s="5">
        <f t="shared" si="1"/>
        <v>0</v>
      </c>
      <c r="H3" s="5">
        <f t="shared" si="1"/>
        <v>0</v>
      </c>
      <c r="I3" s="5">
        <f t="shared" si="1"/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>
        <f>N5+N6+N8+N9</f>
        <v>0</v>
      </c>
      <c r="O3" s="5">
        <f t="shared" si="1"/>
        <v>586.70000000000005</v>
      </c>
      <c r="P3" s="5">
        <f t="shared" si="1"/>
        <v>713.98000000000013</v>
      </c>
      <c r="Q3" s="5">
        <f t="shared" si="1"/>
        <v>727.69</v>
      </c>
      <c r="R3" s="5">
        <f t="shared" si="1"/>
        <v>0</v>
      </c>
      <c r="S3" s="5">
        <f t="shared" si="1"/>
        <v>577.73</v>
      </c>
      <c r="T3" s="5">
        <f>T5+T6+T8+T9</f>
        <v>686.23000000000013</v>
      </c>
    </row>
    <row r="4" spans="2:49" x14ac:dyDescent="0.2">
      <c r="B4" s="3" t="s">
        <v>38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2:49" x14ac:dyDescent="0.2">
      <c r="B5" s="7" t="s">
        <v>36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>
        <v>172.06</v>
      </c>
      <c r="P5" s="3">
        <v>181.09</v>
      </c>
      <c r="Q5" s="3">
        <v>480.74</v>
      </c>
      <c r="R5" s="3"/>
      <c r="S5" s="3">
        <v>180.34</v>
      </c>
      <c r="T5" s="3">
        <v>173.99</v>
      </c>
      <c r="U5" s="3"/>
      <c r="V5" s="3"/>
      <c r="W5" s="3"/>
      <c r="X5" s="3"/>
      <c r="Y5" s="3"/>
      <c r="Z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spans="2:49" x14ac:dyDescent="0.2">
      <c r="B6" s="7" t="s">
        <v>37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179.25</v>
      </c>
      <c r="P6" s="3">
        <v>293.47000000000003</v>
      </c>
      <c r="Q6" s="3"/>
      <c r="R6" s="3"/>
      <c r="S6" s="3">
        <v>202.58</v>
      </c>
      <c r="T6" s="3">
        <v>314.73</v>
      </c>
      <c r="U6" s="3"/>
      <c r="V6" s="3"/>
      <c r="W6" s="3"/>
      <c r="X6" s="3"/>
      <c r="Y6" s="3"/>
      <c r="Z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7" spans="2:49" x14ac:dyDescent="0.2">
      <c r="B7" s="3" t="s">
        <v>41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8" spans="2:49" x14ac:dyDescent="0.2">
      <c r="B8" s="7" t="s">
        <v>36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>
        <v>167.86</v>
      </c>
      <c r="P8" s="3">
        <v>148.83000000000001</v>
      </c>
      <c r="Q8" s="3">
        <v>246.95</v>
      </c>
      <c r="R8" s="3"/>
      <c r="S8" s="3">
        <v>134.75</v>
      </c>
      <c r="T8" s="3">
        <v>113.93</v>
      </c>
      <c r="U8" s="3"/>
      <c r="V8" s="3"/>
      <c r="W8" s="3"/>
      <c r="X8" s="3"/>
      <c r="Y8" s="3"/>
      <c r="Z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</row>
    <row r="9" spans="2:49" x14ac:dyDescent="0.2">
      <c r="B9" s="7" t="s">
        <v>37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>
        <v>67.53</v>
      </c>
      <c r="P9" s="3">
        <v>90.59</v>
      </c>
      <c r="Q9" s="3"/>
      <c r="R9" s="3"/>
      <c r="S9" s="3">
        <v>60.06</v>
      </c>
      <c r="T9" s="3">
        <v>83.58</v>
      </c>
      <c r="U9" s="3"/>
      <c r="V9" s="3"/>
      <c r="W9" s="3"/>
      <c r="X9" s="3"/>
      <c r="Y9" s="3"/>
      <c r="Z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</row>
    <row r="10" spans="2:49" s="5" customFormat="1" ht="15" x14ac:dyDescent="0.25">
      <c r="B10" s="5" t="s">
        <v>39</v>
      </c>
      <c r="C10" s="5">
        <f t="shared" ref="C10:S10" si="2">C12+C13</f>
        <v>0</v>
      </c>
      <c r="D10" s="5">
        <f t="shared" si="2"/>
        <v>0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0</v>
      </c>
      <c r="J10" s="5">
        <f t="shared" si="2"/>
        <v>0</v>
      </c>
      <c r="K10" s="5">
        <f t="shared" si="2"/>
        <v>0</v>
      </c>
      <c r="L10" s="5">
        <f t="shared" si="2"/>
        <v>0</v>
      </c>
      <c r="M10" s="5">
        <f t="shared" si="2"/>
        <v>0</v>
      </c>
      <c r="N10" s="5">
        <f t="shared" si="2"/>
        <v>0</v>
      </c>
      <c r="O10" s="5">
        <f t="shared" si="2"/>
        <v>297.46999999999997</v>
      </c>
      <c r="P10" s="5">
        <f t="shared" si="2"/>
        <v>358.38499999999999</v>
      </c>
      <c r="Q10" s="5">
        <f t="shared" si="2"/>
        <v>318.02999999999997</v>
      </c>
      <c r="R10" s="5">
        <f t="shared" si="2"/>
        <v>0</v>
      </c>
      <c r="S10" s="5">
        <f t="shared" si="2"/>
        <v>360.91</v>
      </c>
      <c r="T10" s="5">
        <f>T12+T13</f>
        <v>425.27</v>
      </c>
    </row>
    <row r="11" spans="2:49" x14ac:dyDescent="0.2">
      <c r="B11" s="3" t="s">
        <v>38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spans="2:49" x14ac:dyDescent="0.2">
      <c r="B12" s="7" t="s">
        <v>36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v>238.51</v>
      </c>
      <c r="P12" s="3">
        <v>226.25</v>
      </c>
      <c r="Q12" s="3">
        <f>175.2+142.83</f>
        <v>318.02999999999997</v>
      </c>
      <c r="R12" s="3"/>
      <c r="S12" s="3">
        <v>281.67</v>
      </c>
      <c r="T12" s="3">
        <v>261.29000000000002</v>
      </c>
      <c r="U12" s="3"/>
      <c r="V12" s="3"/>
      <c r="W12" s="3"/>
      <c r="X12" s="3"/>
      <c r="Y12" s="3"/>
      <c r="Z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</row>
    <row r="13" spans="2:49" x14ac:dyDescent="0.2">
      <c r="B13" s="7" t="s">
        <v>37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58.96</v>
      </c>
      <c r="P13" s="10">
        <v>132.13499999999999</v>
      </c>
      <c r="Q13" s="3"/>
      <c r="R13" s="3"/>
      <c r="S13" s="3">
        <v>79.239999999999995</v>
      </c>
      <c r="T13" s="3">
        <v>163.98</v>
      </c>
      <c r="U13" s="3"/>
      <c r="V13" s="3"/>
      <c r="W13" s="3"/>
      <c r="X13" s="3"/>
      <c r="Y13" s="3"/>
      <c r="Z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2:49" s="5" customFormat="1" ht="15" x14ac:dyDescent="0.25">
      <c r="B14" s="5" t="s">
        <v>40</v>
      </c>
      <c r="C14" s="5">
        <f t="shared" ref="C14:T14" si="3">C10+C3</f>
        <v>0</v>
      </c>
      <c r="D14" s="5">
        <f t="shared" si="3"/>
        <v>0</v>
      </c>
      <c r="E14" s="5">
        <f t="shared" si="3"/>
        <v>0</v>
      </c>
      <c r="F14" s="5">
        <f t="shared" si="3"/>
        <v>0</v>
      </c>
      <c r="G14" s="5">
        <f t="shared" si="3"/>
        <v>0</v>
      </c>
      <c r="H14" s="5">
        <f t="shared" si="3"/>
        <v>0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>
        <f t="shared" si="3"/>
        <v>0</v>
      </c>
      <c r="O14" s="5">
        <f t="shared" si="3"/>
        <v>884.17000000000007</v>
      </c>
      <c r="P14" s="5">
        <f t="shared" si="3"/>
        <v>1072.3650000000002</v>
      </c>
      <c r="Q14" s="5">
        <f t="shared" si="3"/>
        <v>1045.72</v>
      </c>
      <c r="R14" s="5">
        <f t="shared" si="3"/>
        <v>0</v>
      </c>
      <c r="S14" s="9">
        <f t="shared" si="3"/>
        <v>938.6400000000001</v>
      </c>
      <c r="T14" s="9">
        <f t="shared" si="3"/>
        <v>1111.5</v>
      </c>
    </row>
    <row r="15" spans="2:49" s="8" customFormat="1" x14ac:dyDescent="0.2">
      <c r="B15" s="8" t="s">
        <v>86</v>
      </c>
      <c r="C15" s="8" t="e">
        <f t="shared" ref="C15:T15" si="4">(C3/B3)-1</f>
        <v>#VALUE!</v>
      </c>
      <c r="D15" s="8" t="e">
        <f t="shared" si="4"/>
        <v>#DIV/0!</v>
      </c>
      <c r="E15" s="8" t="e">
        <f t="shared" si="4"/>
        <v>#DIV/0!</v>
      </c>
      <c r="F15" s="8" t="e">
        <f t="shared" si="4"/>
        <v>#DIV/0!</v>
      </c>
      <c r="G15" s="8" t="e">
        <f t="shared" si="4"/>
        <v>#DIV/0!</v>
      </c>
      <c r="H15" s="8" t="e">
        <f t="shared" si="4"/>
        <v>#DIV/0!</v>
      </c>
      <c r="I15" s="8" t="e">
        <f t="shared" si="4"/>
        <v>#DIV/0!</v>
      </c>
      <c r="J15" s="8" t="e">
        <f t="shared" si="4"/>
        <v>#DIV/0!</v>
      </c>
      <c r="K15" s="8" t="e">
        <f t="shared" si="4"/>
        <v>#DIV/0!</v>
      </c>
      <c r="L15" s="8" t="e">
        <f t="shared" si="4"/>
        <v>#DIV/0!</v>
      </c>
      <c r="M15" s="8" t="e">
        <f t="shared" si="4"/>
        <v>#DIV/0!</v>
      </c>
      <c r="N15" s="8" t="e">
        <f t="shared" si="4"/>
        <v>#DIV/0!</v>
      </c>
      <c r="O15" s="8" t="e">
        <f t="shared" si="4"/>
        <v>#DIV/0!</v>
      </c>
      <c r="P15" s="8">
        <f t="shared" si="4"/>
        <v>0.21694221919209156</v>
      </c>
      <c r="Q15" s="8">
        <f t="shared" si="4"/>
        <v>1.9202218549539074E-2</v>
      </c>
      <c r="R15" s="8">
        <f t="shared" si="4"/>
        <v>-1</v>
      </c>
      <c r="S15" s="8" t="e">
        <f t="shared" si="4"/>
        <v>#DIV/0!</v>
      </c>
      <c r="T15" s="8">
        <f t="shared" si="4"/>
        <v>0.18780399148391136</v>
      </c>
    </row>
    <row r="16" spans="2:49" s="8" customFormat="1" x14ac:dyDescent="0.2">
      <c r="B16" s="8" t="s">
        <v>85</v>
      </c>
      <c r="C16" s="8" t="e">
        <f t="shared" ref="C16:T16" si="5">(C10/B10)-1</f>
        <v>#VALUE!</v>
      </c>
      <c r="D16" s="8" t="e">
        <f t="shared" si="5"/>
        <v>#DIV/0!</v>
      </c>
      <c r="E16" s="8" t="e">
        <f t="shared" si="5"/>
        <v>#DIV/0!</v>
      </c>
      <c r="F16" s="8" t="e">
        <f t="shared" si="5"/>
        <v>#DIV/0!</v>
      </c>
      <c r="G16" s="8" t="e">
        <f t="shared" si="5"/>
        <v>#DIV/0!</v>
      </c>
      <c r="H16" s="8" t="e">
        <f t="shared" si="5"/>
        <v>#DIV/0!</v>
      </c>
      <c r="I16" s="8" t="e">
        <f t="shared" si="5"/>
        <v>#DIV/0!</v>
      </c>
      <c r="J16" s="8" t="e">
        <f t="shared" si="5"/>
        <v>#DIV/0!</v>
      </c>
      <c r="K16" s="8" t="e">
        <f t="shared" si="5"/>
        <v>#DIV/0!</v>
      </c>
      <c r="L16" s="8" t="e">
        <f t="shared" si="5"/>
        <v>#DIV/0!</v>
      </c>
      <c r="M16" s="8" t="e">
        <f t="shared" si="5"/>
        <v>#DIV/0!</v>
      </c>
      <c r="N16" s="8" t="e">
        <f t="shared" si="5"/>
        <v>#DIV/0!</v>
      </c>
      <c r="O16" s="8" t="e">
        <f t="shared" si="5"/>
        <v>#DIV/0!</v>
      </c>
      <c r="P16" s="8">
        <f t="shared" si="5"/>
        <v>0.20477695229771076</v>
      </c>
      <c r="Q16" s="8">
        <f t="shared" si="5"/>
        <v>-0.1126023689607546</v>
      </c>
      <c r="R16" s="8">
        <f t="shared" si="5"/>
        <v>-1</v>
      </c>
      <c r="S16" s="8" t="e">
        <f t="shared" si="5"/>
        <v>#DIV/0!</v>
      </c>
      <c r="T16" s="8">
        <f t="shared" si="5"/>
        <v>0.1783270067329803</v>
      </c>
    </row>
    <row r="17" spans="2:48" s="8" customFormat="1" x14ac:dyDescent="0.2">
      <c r="B17" s="8" t="s">
        <v>84</v>
      </c>
      <c r="C17" s="8" t="e">
        <f t="shared" ref="C17:S17" si="6">C20/B20-1</f>
        <v>#VALUE!</v>
      </c>
      <c r="D17" s="8" t="e">
        <f t="shared" si="6"/>
        <v>#DIV/0!</v>
      </c>
      <c r="E17" s="8" t="e">
        <f t="shared" si="6"/>
        <v>#DIV/0!</v>
      </c>
      <c r="F17" s="8" t="e">
        <f t="shared" si="6"/>
        <v>#DIV/0!</v>
      </c>
      <c r="G17" s="8" t="e">
        <f t="shared" si="6"/>
        <v>#DIV/0!</v>
      </c>
      <c r="H17" s="8" t="e">
        <f t="shared" si="6"/>
        <v>#DIV/0!</v>
      </c>
      <c r="I17" s="8">
        <f t="shared" si="6"/>
        <v>-2.3175242286623932E-2</v>
      </c>
      <c r="J17" s="8">
        <f t="shared" si="6"/>
        <v>-1</v>
      </c>
      <c r="K17" s="8" t="e">
        <f t="shared" si="6"/>
        <v>#DIV/0!</v>
      </c>
      <c r="L17" s="8">
        <f t="shared" si="6"/>
        <v>0.46115276831023255</v>
      </c>
      <c r="M17" s="8">
        <f t="shared" si="6"/>
        <v>2.126314043417854E-2</v>
      </c>
      <c r="N17" s="8">
        <f t="shared" si="6"/>
        <v>-4.054451877493459E-2</v>
      </c>
      <c r="O17" s="8">
        <f t="shared" si="6"/>
        <v>-6.4518859440300114E-2</v>
      </c>
      <c r="P17" s="8">
        <f t="shared" si="6"/>
        <v>0.21284933892803437</v>
      </c>
      <c r="Q17" s="8">
        <f t="shared" si="6"/>
        <v>-2.4846950431989256E-2</v>
      </c>
      <c r="R17" s="8">
        <f t="shared" si="6"/>
        <v>-8.1881383161841126E-2</v>
      </c>
      <c r="S17" s="8">
        <f t="shared" si="6"/>
        <v>-2.2346746936500517E-2</v>
      </c>
      <c r="T17" s="8">
        <f>T20/S20-1</f>
        <v>0.18416006136537955</v>
      </c>
    </row>
    <row r="18" spans="2:48" s="8" customFormat="1" x14ac:dyDescent="0.2">
      <c r="B18" s="8" t="s">
        <v>83</v>
      </c>
      <c r="C18" s="8" t="e">
        <f t="shared" ref="C18:S18" si="7">C22/C20</f>
        <v>#DIV/0!</v>
      </c>
      <c r="D18" s="8" t="e">
        <f t="shared" si="7"/>
        <v>#DIV/0!</v>
      </c>
      <c r="E18" s="8" t="e">
        <f t="shared" si="7"/>
        <v>#DIV/0!</v>
      </c>
      <c r="F18" s="8" t="e">
        <f t="shared" si="7"/>
        <v>#DIV/0!</v>
      </c>
      <c r="G18" s="8" t="e">
        <f t="shared" si="7"/>
        <v>#DIV/0!</v>
      </c>
      <c r="H18" s="8">
        <f t="shared" si="7"/>
        <v>0.61672362938339809</v>
      </c>
      <c r="I18" s="8">
        <f t="shared" si="7"/>
        <v>0.6387349821063395</v>
      </c>
      <c r="J18" s="8" t="e">
        <f t="shared" si="7"/>
        <v>#DIV/0!</v>
      </c>
      <c r="K18" s="8">
        <f t="shared" si="7"/>
        <v>0.49220631674619397</v>
      </c>
      <c r="L18" s="8">
        <f t="shared" si="7"/>
        <v>0.51600696676273616</v>
      </c>
      <c r="M18" s="8">
        <f t="shared" si="7"/>
        <v>0.54949293973139501</v>
      </c>
      <c r="N18" s="8">
        <f t="shared" si="7"/>
        <v>0.52511241601862124</v>
      </c>
      <c r="O18" s="8">
        <f t="shared" si="7"/>
        <v>0.53878100365314363</v>
      </c>
      <c r="P18" s="8">
        <f t="shared" si="7"/>
        <v>0.57937829004117081</v>
      </c>
      <c r="Q18" s="8">
        <f t="shared" si="7"/>
        <v>0.55621007535477951</v>
      </c>
      <c r="R18" s="8">
        <f t="shared" si="7"/>
        <v>0.55274842593701645</v>
      </c>
      <c r="S18" s="8">
        <f t="shared" si="7"/>
        <v>0.55620898320975043</v>
      </c>
      <c r="T18" s="8">
        <f>T22/T20</f>
        <v>0.61350427350427361</v>
      </c>
    </row>
    <row r="20" spans="2:48" ht="15" x14ac:dyDescent="0.25">
      <c r="B20" s="5" t="s">
        <v>40</v>
      </c>
      <c r="C20" s="10">
        <f>C14</f>
        <v>0</v>
      </c>
      <c r="D20" s="10">
        <f>D14</f>
        <v>0</v>
      </c>
      <c r="E20" s="10">
        <f>E14</f>
        <v>0</v>
      </c>
      <c r="F20" s="10">
        <f>F14</f>
        <v>0</v>
      </c>
      <c r="G20" s="10">
        <f>G14</f>
        <v>0</v>
      </c>
      <c r="H20" s="10">
        <v>640.77</v>
      </c>
      <c r="I20" s="10">
        <v>625.91999999999996</v>
      </c>
      <c r="J20" s="10">
        <f>I14</f>
        <v>0</v>
      </c>
      <c r="K20" s="10">
        <v>660.15</v>
      </c>
      <c r="L20" s="10">
        <v>964.58</v>
      </c>
      <c r="M20" s="10">
        <v>985.09</v>
      </c>
      <c r="N20" s="10">
        <f>3554.97-K20-L20-M20</f>
        <v>945.14999999999975</v>
      </c>
      <c r="O20" s="10">
        <f>O14</f>
        <v>884.17000000000007</v>
      </c>
      <c r="P20" s="10">
        <f>P14</f>
        <v>1072.3650000000002</v>
      </c>
      <c r="Q20" s="10">
        <f>Q14</f>
        <v>1045.72</v>
      </c>
      <c r="R20" s="10">
        <f>3962.35-O20-P20-Q20</f>
        <v>960.09499999999957</v>
      </c>
      <c r="S20" s="10">
        <f>S14</f>
        <v>938.6400000000001</v>
      </c>
      <c r="T20" s="10">
        <v>1111.5</v>
      </c>
      <c r="U20" s="3"/>
      <c r="V20" s="3"/>
      <c r="X20" s="3"/>
      <c r="Y20" s="3"/>
      <c r="Z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2:48" x14ac:dyDescent="0.2">
      <c r="B21" s="3" t="s">
        <v>42</v>
      </c>
      <c r="C21" s="10"/>
      <c r="D21" s="10"/>
      <c r="E21" s="10"/>
      <c r="F21" s="10"/>
      <c r="G21" s="10"/>
      <c r="H21" s="10">
        <v>245.59200000000001</v>
      </c>
      <c r="I21" s="10">
        <v>226.12299999999999</v>
      </c>
      <c r="J21" s="10"/>
      <c r="K21" s="10">
        <v>335.22</v>
      </c>
      <c r="L21" s="10">
        <v>466.85</v>
      </c>
      <c r="M21" s="10">
        <v>443.79</v>
      </c>
      <c r="N21" s="10">
        <f>1694.7-M21-L21-K21</f>
        <v>448.84000000000003</v>
      </c>
      <c r="O21" s="10">
        <v>407.79599999999999</v>
      </c>
      <c r="P21" s="10">
        <v>451.06</v>
      </c>
      <c r="Q21" s="10">
        <v>464.08</v>
      </c>
      <c r="R21" s="10">
        <f>1752.34-O21-P21-Q21</f>
        <v>429.40399999999994</v>
      </c>
      <c r="S21" s="10">
        <v>416.56</v>
      </c>
      <c r="T21" s="10">
        <v>429.59</v>
      </c>
      <c r="U21" s="3"/>
      <c r="V21" s="3"/>
      <c r="X21" s="3"/>
      <c r="Y21" s="3"/>
      <c r="Z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spans="2:48" x14ac:dyDescent="0.2">
      <c r="B22" s="3" t="s">
        <v>43</v>
      </c>
      <c r="C22" s="10">
        <f t="shared" ref="C22:S22" si="8">C20-C21</f>
        <v>0</v>
      </c>
      <c r="D22" s="10">
        <f t="shared" si="8"/>
        <v>0</v>
      </c>
      <c r="E22" s="10">
        <f t="shared" si="8"/>
        <v>0</v>
      </c>
      <c r="F22" s="10">
        <f t="shared" si="8"/>
        <v>0</v>
      </c>
      <c r="G22" s="10">
        <f t="shared" si="8"/>
        <v>0</v>
      </c>
      <c r="H22" s="10">
        <f t="shared" si="8"/>
        <v>395.178</v>
      </c>
      <c r="I22" s="10">
        <f>I20-I21</f>
        <v>399.79699999999997</v>
      </c>
      <c r="J22" s="10">
        <f>J20-J21</f>
        <v>0</v>
      </c>
      <c r="K22" s="10">
        <f t="shared" si="8"/>
        <v>324.92999999999995</v>
      </c>
      <c r="L22" s="10">
        <f t="shared" si="8"/>
        <v>497.73</v>
      </c>
      <c r="M22" s="10">
        <f t="shared" si="8"/>
        <v>541.29999999999995</v>
      </c>
      <c r="N22" s="10">
        <f t="shared" si="8"/>
        <v>496.30999999999972</v>
      </c>
      <c r="O22" s="10">
        <f t="shared" si="8"/>
        <v>476.37400000000008</v>
      </c>
      <c r="P22" s="10">
        <f t="shared" si="8"/>
        <v>621.30500000000029</v>
      </c>
      <c r="Q22" s="10">
        <f t="shared" si="8"/>
        <v>581.6400000000001</v>
      </c>
      <c r="R22" s="10">
        <f>R20-R21</f>
        <v>530.69099999999958</v>
      </c>
      <c r="S22" s="10">
        <f t="shared" si="8"/>
        <v>522.08000000000015</v>
      </c>
      <c r="T22" s="10">
        <f>T20-T21</f>
        <v>681.91000000000008</v>
      </c>
      <c r="U22" s="3"/>
      <c r="V22" s="3"/>
      <c r="X22" s="3"/>
      <c r="Y22" s="3"/>
      <c r="Z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</row>
    <row r="23" spans="2:48" x14ac:dyDescent="0.2">
      <c r="B23" s="3" t="s">
        <v>44</v>
      </c>
      <c r="C23" s="10"/>
      <c r="D23" s="10"/>
      <c r="E23" s="10"/>
      <c r="F23" s="10"/>
      <c r="G23" s="10"/>
      <c r="H23" s="10">
        <v>199.86</v>
      </c>
      <c r="I23" s="10">
        <v>196.73</v>
      </c>
      <c r="J23" s="10"/>
      <c r="K23" s="10">
        <v>206.24700000000001</v>
      </c>
      <c r="L23" s="10">
        <v>249.77</v>
      </c>
      <c r="M23" s="10">
        <v>277.23899999999998</v>
      </c>
      <c r="N23" s="10">
        <f>1009.53-K23-L23-M23</f>
        <v>276.27399999999994</v>
      </c>
      <c r="O23" s="10">
        <v>241.44200000000001</v>
      </c>
      <c r="P23" s="10">
        <v>302.82</v>
      </c>
      <c r="Q23" s="10">
        <v>307.77999999999997</v>
      </c>
      <c r="R23" s="10">
        <f>1163.94+9.29-O23-P23-Q23</f>
        <v>321.1880000000001</v>
      </c>
      <c r="S23" s="10">
        <v>295.64999999999998</v>
      </c>
      <c r="T23" s="10">
        <v>356.17</v>
      </c>
      <c r="U23" s="3"/>
      <c r="V23" s="3"/>
      <c r="X23" s="3"/>
      <c r="Y23" s="3"/>
      <c r="Z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spans="2:48" x14ac:dyDescent="0.2">
      <c r="B24" s="3" t="s">
        <v>45</v>
      </c>
      <c r="C24" s="10">
        <f t="shared" ref="C24:S24" si="9">C22-C23</f>
        <v>0</v>
      </c>
      <c r="D24" s="10">
        <f t="shared" si="9"/>
        <v>0</v>
      </c>
      <c r="E24" s="10">
        <f t="shared" si="9"/>
        <v>0</v>
      </c>
      <c r="F24" s="10">
        <f t="shared" si="9"/>
        <v>0</v>
      </c>
      <c r="G24" s="10">
        <f t="shared" si="9"/>
        <v>0</v>
      </c>
      <c r="H24" s="10">
        <f t="shared" si="9"/>
        <v>195.31799999999998</v>
      </c>
      <c r="I24" s="10">
        <f>I22-I23</f>
        <v>203.06699999999998</v>
      </c>
      <c r="J24" s="10">
        <f>J22-J23</f>
        <v>0</v>
      </c>
      <c r="K24" s="10">
        <f t="shared" si="9"/>
        <v>118.68299999999994</v>
      </c>
      <c r="L24" s="10">
        <f t="shared" si="9"/>
        <v>247.96</v>
      </c>
      <c r="M24" s="10">
        <f t="shared" si="9"/>
        <v>264.06099999999998</v>
      </c>
      <c r="N24" s="10">
        <f t="shared" si="9"/>
        <v>220.03599999999977</v>
      </c>
      <c r="O24" s="10">
        <f t="shared" si="9"/>
        <v>234.93200000000007</v>
      </c>
      <c r="P24" s="10">
        <f t="shared" si="9"/>
        <v>318.4850000000003</v>
      </c>
      <c r="Q24" s="10">
        <f t="shared" si="9"/>
        <v>273.86000000000013</v>
      </c>
      <c r="R24" s="10">
        <f t="shared" si="9"/>
        <v>209.50299999999947</v>
      </c>
      <c r="S24" s="10">
        <f t="shared" si="9"/>
        <v>226.43000000000018</v>
      </c>
      <c r="T24" s="10">
        <f>T22-T23</f>
        <v>325.74000000000007</v>
      </c>
      <c r="U24" s="3"/>
      <c r="V24" s="3"/>
      <c r="X24" s="3"/>
      <c r="Y24" s="3"/>
      <c r="Z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</row>
    <row r="25" spans="2:48" x14ac:dyDescent="0.2">
      <c r="B25" s="3" t="s">
        <v>80</v>
      </c>
      <c r="C25" s="10"/>
      <c r="D25" s="10"/>
      <c r="E25" s="10"/>
      <c r="F25" s="10"/>
      <c r="G25" s="10"/>
      <c r="H25" s="10">
        <v>-0.11700000000000001</v>
      </c>
      <c r="I25" s="10">
        <v>0.53700000000000003</v>
      </c>
      <c r="J25" s="10"/>
      <c r="K25" s="10">
        <v>0.48</v>
      </c>
      <c r="L25" s="10">
        <v>-1.202</v>
      </c>
      <c r="M25" s="10">
        <v>-0.39</v>
      </c>
      <c r="N25" s="10">
        <v>3.23</v>
      </c>
      <c r="O25" s="10">
        <v>-0.40300000000000002</v>
      </c>
      <c r="P25" s="10">
        <v>0.55000000000000004</v>
      </c>
      <c r="Q25" s="10">
        <v>-1.77</v>
      </c>
      <c r="R25" s="10">
        <f>-1.24-Q25-P25-O25</f>
        <v>0.38300000000000001</v>
      </c>
      <c r="S25" s="10">
        <v>-2.27</v>
      </c>
      <c r="T25" s="10">
        <v>-1.32</v>
      </c>
      <c r="U25" s="3"/>
      <c r="V25" s="3"/>
      <c r="X25" s="3"/>
      <c r="Y25" s="3"/>
      <c r="Z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</row>
    <row r="26" spans="2:48" x14ac:dyDescent="0.2">
      <c r="B26" s="3" t="s">
        <v>79</v>
      </c>
      <c r="C26" s="10"/>
      <c r="D26" s="10"/>
      <c r="E26" s="10"/>
      <c r="F26" s="10"/>
      <c r="G26" s="10"/>
      <c r="H26" s="10">
        <f>0.071-4.71</f>
        <v>-4.6390000000000002</v>
      </c>
      <c r="I26" s="10">
        <f>0.615-6.49</f>
        <v>-5.875</v>
      </c>
      <c r="J26" s="10"/>
      <c r="K26" s="10">
        <f>0.102-19.252</f>
        <v>-19.149999999999999</v>
      </c>
      <c r="L26" s="10">
        <f>0.086-32.963</f>
        <v>-32.877000000000002</v>
      </c>
      <c r="M26" s="10">
        <f>0.031-34.142</f>
        <v>-34.111000000000004</v>
      </c>
      <c r="N26" s="10">
        <f>1.02-136.16-K26-L26-M26</f>
        <v>-49.001999999999967</v>
      </c>
      <c r="O26" s="10">
        <f>0.171-42.637</f>
        <v>-42.466000000000001</v>
      </c>
      <c r="P26" s="10">
        <f>0.55-43.06</f>
        <v>-42.510000000000005</v>
      </c>
      <c r="Q26" s="10">
        <f>0.506-39.207</f>
        <v>-38.701000000000001</v>
      </c>
      <c r="R26" s="10">
        <f>-161.35+2.406-Q26-P26-O26</f>
        <v>-35.266999999999989</v>
      </c>
      <c r="S26" s="10">
        <f>0.416-30.563</f>
        <v>-30.146999999999998</v>
      </c>
      <c r="T26" s="10">
        <f>1.13-29.16</f>
        <v>-28.03</v>
      </c>
      <c r="U26" s="3"/>
      <c r="V26" s="3"/>
      <c r="X26" s="3"/>
      <c r="Y26" s="3"/>
      <c r="Z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spans="2:48" x14ac:dyDescent="0.2">
      <c r="B27" s="3" t="s">
        <v>46</v>
      </c>
      <c r="C27" s="10"/>
      <c r="D27" s="10"/>
      <c r="E27" s="10"/>
      <c r="F27" s="10"/>
      <c r="G27" s="10"/>
      <c r="H27" s="10">
        <v>2E-3</v>
      </c>
      <c r="I27" s="10">
        <v>2E-3</v>
      </c>
      <c r="J27" s="10"/>
      <c r="K27" s="10">
        <v>-0.94699999999999995</v>
      </c>
      <c r="L27" s="10">
        <v>0.41899999999999998</v>
      </c>
      <c r="M27" s="10">
        <v>1.6E-2</v>
      </c>
      <c r="N27" s="10">
        <f>-0.34-K27-L27-M27</f>
        <v>0.17199999999999999</v>
      </c>
      <c r="O27" s="10">
        <v>-0.29299999999999998</v>
      </c>
      <c r="P27" s="10">
        <v>0.71</v>
      </c>
      <c r="Q27" s="10">
        <v>2.4E-2</v>
      </c>
      <c r="R27" s="10">
        <f>-0.326-Q27-P27-O27</f>
        <v>-0.76700000000000013</v>
      </c>
      <c r="S27" s="10">
        <v>0.02</v>
      </c>
      <c r="T27" s="10">
        <v>4.4999999999999998E-2</v>
      </c>
      <c r="U27" s="3"/>
      <c r="V27" s="3"/>
      <c r="X27" s="3"/>
      <c r="Y27" s="3"/>
      <c r="Z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</row>
    <row r="28" spans="2:48" x14ac:dyDescent="0.2">
      <c r="B28" s="3" t="s">
        <v>72</v>
      </c>
      <c r="C28" s="10">
        <f t="shared" ref="C28:T28" si="10">SUM(C24:C27)</f>
        <v>0</v>
      </c>
      <c r="D28" s="10">
        <f t="shared" si="10"/>
        <v>0</v>
      </c>
      <c r="E28" s="10">
        <f t="shared" si="10"/>
        <v>0</v>
      </c>
      <c r="F28" s="10">
        <f t="shared" si="10"/>
        <v>0</v>
      </c>
      <c r="G28" s="10">
        <f t="shared" si="10"/>
        <v>0</v>
      </c>
      <c r="H28" s="10">
        <f t="shared" si="10"/>
        <v>190.56399999999999</v>
      </c>
      <c r="I28" s="10">
        <f>SUM(I24:I27)</f>
        <v>197.73099999999999</v>
      </c>
      <c r="J28" s="10">
        <f>SUM(J24:J27)</f>
        <v>0</v>
      </c>
      <c r="K28" s="10">
        <f t="shared" si="10"/>
        <v>99.065999999999946</v>
      </c>
      <c r="L28" s="10">
        <f t="shared" si="10"/>
        <v>214.3</v>
      </c>
      <c r="M28" s="10">
        <f t="shared" si="10"/>
        <v>229.57599999999999</v>
      </c>
      <c r="N28" s="10">
        <f t="shared" si="10"/>
        <v>174.43599999999978</v>
      </c>
      <c r="O28" s="10">
        <f t="shared" si="10"/>
        <v>191.77000000000007</v>
      </c>
      <c r="P28" s="10">
        <f t="shared" si="10"/>
        <v>277.2350000000003</v>
      </c>
      <c r="Q28" s="10">
        <f t="shared" si="10"/>
        <v>233.41300000000015</v>
      </c>
      <c r="R28" s="10">
        <f t="shared" si="10"/>
        <v>173.85199999999949</v>
      </c>
      <c r="S28" s="10">
        <f t="shared" si="10"/>
        <v>194.03300000000019</v>
      </c>
      <c r="T28" s="10">
        <f t="shared" si="10"/>
        <v>296.43500000000012</v>
      </c>
      <c r="U28" s="3"/>
      <c r="V28" s="3"/>
      <c r="X28" s="3"/>
      <c r="Y28" s="3"/>
      <c r="Z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spans="2:48" x14ac:dyDescent="0.2">
      <c r="B29" s="3" t="s">
        <v>47</v>
      </c>
      <c r="C29" s="10"/>
      <c r="D29" s="10"/>
      <c r="E29" s="10"/>
      <c r="F29" s="10"/>
      <c r="G29" s="10"/>
      <c r="H29" s="10">
        <v>-128.38999999999999</v>
      </c>
      <c r="I29" s="10">
        <v>44.25</v>
      </c>
      <c r="J29" s="10"/>
      <c r="K29" s="10">
        <v>26.3</v>
      </c>
      <c r="L29" s="10">
        <v>53.99</v>
      </c>
      <c r="M29" s="10">
        <v>60.23</v>
      </c>
      <c r="N29" s="10">
        <f>178.35-K29-L29-M29</f>
        <v>37.829999999999977</v>
      </c>
      <c r="O29" s="10">
        <v>42.222999999999999</v>
      </c>
      <c r="P29" s="10">
        <v>64.83</v>
      </c>
      <c r="Q29" s="10">
        <v>56.38</v>
      </c>
      <c r="R29" s="10">
        <f>83.706-Q29-P29-O29</f>
        <v>-79.727000000000004</v>
      </c>
      <c r="S29" s="10">
        <v>41.58</v>
      </c>
      <c r="T29" s="10">
        <v>67.52</v>
      </c>
      <c r="U29" s="3"/>
      <c r="V29" s="3"/>
      <c r="X29" s="3"/>
      <c r="Y29" s="3"/>
      <c r="Z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spans="2:48" x14ac:dyDescent="0.2">
      <c r="B30" s="3" t="s">
        <v>48</v>
      </c>
      <c r="C30" s="10">
        <f t="shared" ref="C30:S30" si="11">C28-C29</f>
        <v>0</v>
      </c>
      <c r="D30" s="10">
        <f t="shared" si="11"/>
        <v>0</v>
      </c>
      <c r="E30" s="10">
        <f t="shared" si="11"/>
        <v>0</v>
      </c>
      <c r="F30" s="10">
        <f t="shared" si="11"/>
        <v>0</v>
      </c>
      <c r="G30" s="10">
        <f t="shared" si="11"/>
        <v>0</v>
      </c>
      <c r="H30" s="10">
        <f t="shared" si="11"/>
        <v>318.95399999999995</v>
      </c>
      <c r="I30" s="10">
        <f>I28-I29</f>
        <v>153.48099999999999</v>
      </c>
      <c r="J30" s="10">
        <f>J28-J29</f>
        <v>0</v>
      </c>
      <c r="K30" s="10">
        <f t="shared" si="11"/>
        <v>72.765999999999948</v>
      </c>
      <c r="L30" s="10">
        <f t="shared" si="11"/>
        <v>160.31</v>
      </c>
      <c r="M30" s="10">
        <f t="shared" si="11"/>
        <v>169.346</v>
      </c>
      <c r="N30" s="10">
        <f t="shared" si="11"/>
        <v>136.6059999999998</v>
      </c>
      <c r="O30" s="10">
        <f t="shared" si="11"/>
        <v>149.54700000000008</v>
      </c>
      <c r="P30" s="10">
        <f t="shared" si="11"/>
        <v>212.40500000000031</v>
      </c>
      <c r="Q30" s="10">
        <f t="shared" si="11"/>
        <v>177.03300000000016</v>
      </c>
      <c r="R30" s="10">
        <f t="shared" si="11"/>
        <v>253.5789999999995</v>
      </c>
      <c r="S30" s="10">
        <f t="shared" si="11"/>
        <v>152.4530000000002</v>
      </c>
      <c r="T30" s="10">
        <f>T28-T29</f>
        <v>228.91500000000013</v>
      </c>
      <c r="U30" s="3"/>
      <c r="V30" s="3"/>
      <c r="X30" s="3"/>
      <c r="Y30" s="3"/>
      <c r="Z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spans="2:48" x14ac:dyDescent="0.2">
      <c r="B31" s="3" t="s">
        <v>49</v>
      </c>
      <c r="C31" s="10" t="e">
        <f t="shared" ref="C31:T31" si="12">C30/C32</f>
        <v>#DIV/0!</v>
      </c>
      <c r="D31" s="10" t="e">
        <f t="shared" si="12"/>
        <v>#DIV/0!</v>
      </c>
      <c r="E31" s="10" t="e">
        <f t="shared" si="12"/>
        <v>#DIV/0!</v>
      </c>
      <c r="F31" s="10" t="e">
        <f t="shared" si="12"/>
        <v>#DIV/0!</v>
      </c>
      <c r="G31" s="10" t="e">
        <f t="shared" si="12"/>
        <v>#DIV/0!</v>
      </c>
      <c r="H31" s="10">
        <f t="shared" si="12"/>
        <v>5.1125893629981078</v>
      </c>
      <c r="I31" s="10">
        <f t="shared" si="12"/>
        <v>2.6081363535949156</v>
      </c>
      <c r="J31" s="10" t="e">
        <f t="shared" si="12"/>
        <v>#DIV/0!</v>
      </c>
      <c r="K31" s="10">
        <f t="shared" si="12"/>
        <v>1.1816498863267286</v>
      </c>
      <c r="L31" s="10">
        <f t="shared" si="12"/>
        <v>2.600324412003244</v>
      </c>
      <c r="M31" s="10">
        <f t="shared" si="12"/>
        <v>2.7426674224633576</v>
      </c>
      <c r="N31" s="10">
        <f t="shared" si="12"/>
        <v>2.2122070897637252</v>
      </c>
      <c r="O31" s="10">
        <f t="shared" si="12"/>
        <v>2.4110373069358024</v>
      </c>
      <c r="P31" s="10">
        <f t="shared" si="12"/>
        <v>3.5767449692683391</v>
      </c>
      <c r="Q31" s="10">
        <f t="shared" si="12"/>
        <v>2.922928327306952</v>
      </c>
      <c r="R31" s="10">
        <f t="shared" si="12"/>
        <v>4.1914577100447854</v>
      </c>
      <c r="S31" s="10">
        <f t="shared" si="12"/>
        <v>2.5114574238505543</v>
      </c>
      <c r="T31" s="10">
        <f t="shared" si="12"/>
        <v>3.8546963930892826</v>
      </c>
      <c r="U31" s="3"/>
      <c r="V31" s="3"/>
      <c r="X31" s="3"/>
      <c r="Y31" s="3"/>
      <c r="Z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</row>
    <row r="32" spans="2:48" x14ac:dyDescent="0.2">
      <c r="B32" s="3" t="s">
        <v>87</v>
      </c>
      <c r="C32" s="10"/>
      <c r="D32" s="10"/>
      <c r="E32" s="10"/>
      <c r="F32" s="10"/>
      <c r="G32" s="10"/>
      <c r="H32" s="10">
        <v>62.386000000000003</v>
      </c>
      <c r="I32" s="10">
        <v>58.847000000000001</v>
      </c>
      <c r="J32" s="10"/>
      <c r="K32" s="10">
        <v>61.58</v>
      </c>
      <c r="L32" s="10">
        <v>61.65</v>
      </c>
      <c r="M32" s="10">
        <v>61.744999999999997</v>
      </c>
      <c r="N32" s="10">
        <v>61.750999999999998</v>
      </c>
      <c r="O32" s="10">
        <v>62.026000000000003</v>
      </c>
      <c r="P32" s="10">
        <v>59.384999999999998</v>
      </c>
      <c r="Q32" s="10">
        <v>60.567</v>
      </c>
      <c r="R32" s="10">
        <v>60.499000000000002</v>
      </c>
      <c r="S32" s="10">
        <v>60.703000000000003</v>
      </c>
      <c r="T32" s="10">
        <v>59.386000000000003</v>
      </c>
      <c r="U32" s="3"/>
      <c r="V32" s="10"/>
      <c r="X32" s="3"/>
      <c r="Y32" s="3"/>
      <c r="Z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spans="2:48" x14ac:dyDescent="0.2">
      <c r="U33" s="3"/>
      <c r="V33" s="3"/>
      <c r="X33" s="3"/>
      <c r="Y33" s="3"/>
      <c r="Z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spans="2:48" x14ac:dyDescent="0.2">
      <c r="B34" s="3" t="s">
        <v>50</v>
      </c>
      <c r="C34" s="3"/>
      <c r="D34" s="3"/>
      <c r="E34" s="3"/>
      <c r="F34" s="3"/>
      <c r="G34" s="3"/>
      <c r="H34" s="3">
        <f>197.853+1.47</f>
        <v>199.32300000000001</v>
      </c>
      <c r="I34" s="10">
        <v>213.26</v>
      </c>
      <c r="J34" s="3"/>
      <c r="K34" s="10">
        <v>172</v>
      </c>
      <c r="L34" s="10">
        <v>187.38</v>
      </c>
      <c r="M34" s="10">
        <v>142.97</v>
      </c>
      <c r="N34" s="10">
        <v>191.63</v>
      </c>
      <c r="O34" s="10">
        <v>125.687</v>
      </c>
      <c r="P34" s="10">
        <v>166.24</v>
      </c>
      <c r="Q34" s="10">
        <v>127.32</v>
      </c>
      <c r="R34" s="10">
        <v>149.29</v>
      </c>
      <c r="S34" s="10">
        <v>159.29</v>
      </c>
      <c r="T34" s="10">
        <v>167.73</v>
      </c>
      <c r="U34" s="3"/>
      <c r="V34" s="3"/>
      <c r="X34" s="3"/>
      <c r="Y34" s="3"/>
      <c r="Z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</row>
    <row r="35" spans="2:48" x14ac:dyDescent="0.2">
      <c r="B35" s="3" t="s">
        <v>54</v>
      </c>
      <c r="C35" s="10"/>
      <c r="D35" s="10"/>
      <c r="E35" s="10"/>
      <c r="F35" s="10"/>
      <c r="G35" s="10"/>
      <c r="H35" s="10">
        <f>233.26+22.51</f>
        <v>255.76999999999998</v>
      </c>
      <c r="I35" s="10">
        <f>20.72+182.63</f>
        <v>203.35</v>
      </c>
      <c r="J35" s="10"/>
      <c r="K35" s="10">
        <f>23.04+375.75</f>
        <v>398.79</v>
      </c>
      <c r="L35" s="10">
        <f>28.087+423.49</f>
        <v>451.577</v>
      </c>
      <c r="M35" s="10">
        <f>397.66+31.039</f>
        <v>428.69900000000001</v>
      </c>
      <c r="N35" s="10">
        <f>295.59+24.49</f>
        <v>320.08</v>
      </c>
      <c r="O35" s="10">
        <f>418.959+25.96</f>
        <v>444.91899999999998</v>
      </c>
      <c r="P35" s="10">
        <f>409.59+34.39</f>
        <v>443.97999999999996</v>
      </c>
      <c r="Q35" s="10">
        <f>27.305+391.207</f>
        <v>418.512</v>
      </c>
      <c r="R35" s="10">
        <f>305.75+27.59</f>
        <v>333.34</v>
      </c>
      <c r="S35" s="10">
        <f>481.52+28.46</f>
        <v>509.97999999999996</v>
      </c>
      <c r="T35" s="10">
        <f>420.2+34.9</f>
        <v>455.09999999999997</v>
      </c>
      <c r="U35" s="3"/>
      <c r="V35" s="3"/>
      <c r="X35" s="3"/>
      <c r="Y35" s="3"/>
      <c r="Z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spans="2:48" x14ac:dyDescent="0.2">
      <c r="B36" s="3" t="s">
        <v>74</v>
      </c>
      <c r="C36" s="10"/>
      <c r="D36" s="10"/>
      <c r="E36" s="10"/>
      <c r="F36" s="10"/>
      <c r="G36" s="10"/>
      <c r="H36" s="10">
        <v>-22.51</v>
      </c>
      <c r="I36" s="10">
        <v>-20.72</v>
      </c>
      <c r="J36" s="10"/>
      <c r="K36" s="10">
        <v>-23.04</v>
      </c>
      <c r="L36" s="10">
        <v>-28.087</v>
      </c>
      <c r="M36" s="10">
        <v>-31.039000000000001</v>
      </c>
      <c r="N36" s="10">
        <v>-24.492999999999999</v>
      </c>
      <c r="O36" s="10">
        <v>-25.96</v>
      </c>
      <c r="P36" s="10">
        <v>-34.39</v>
      </c>
      <c r="Q36" s="10">
        <v>-27.305</v>
      </c>
      <c r="R36" s="10">
        <v>-27.59</v>
      </c>
      <c r="S36" s="10">
        <v>-28.46</v>
      </c>
      <c r="T36" s="10">
        <v>-34.9</v>
      </c>
      <c r="U36" s="3"/>
      <c r="V36" s="3"/>
      <c r="X36" s="3"/>
      <c r="Y36" s="3"/>
      <c r="Z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2:48" x14ac:dyDescent="0.2">
      <c r="B37" s="3" t="s">
        <v>73</v>
      </c>
      <c r="C37" s="10">
        <f t="shared" ref="C37:S37" si="13">C35+C36</f>
        <v>0</v>
      </c>
      <c r="D37" s="10">
        <f t="shared" si="13"/>
        <v>0</v>
      </c>
      <c r="E37" s="10">
        <f t="shared" si="13"/>
        <v>0</v>
      </c>
      <c r="F37" s="10">
        <f t="shared" si="13"/>
        <v>0</v>
      </c>
      <c r="G37" s="10">
        <f t="shared" si="13"/>
        <v>0</v>
      </c>
      <c r="H37" s="10">
        <f t="shared" si="13"/>
        <v>233.26</v>
      </c>
      <c r="I37" s="10">
        <f>I35+I36</f>
        <v>182.63</v>
      </c>
      <c r="J37" s="10">
        <f>J35+J36</f>
        <v>0</v>
      </c>
      <c r="K37" s="10">
        <f t="shared" si="13"/>
        <v>375.75</v>
      </c>
      <c r="L37" s="10">
        <f t="shared" si="13"/>
        <v>423.49</v>
      </c>
      <c r="M37" s="10">
        <f t="shared" si="13"/>
        <v>397.66</v>
      </c>
      <c r="N37" s="10">
        <f t="shared" si="13"/>
        <v>295.58699999999999</v>
      </c>
      <c r="O37" s="10">
        <f t="shared" si="13"/>
        <v>418.959</v>
      </c>
      <c r="P37" s="10">
        <f>P35+P36</f>
        <v>409.59</v>
      </c>
      <c r="Q37" s="10">
        <f t="shared" si="13"/>
        <v>391.20699999999999</v>
      </c>
      <c r="R37" s="10">
        <f t="shared" si="13"/>
        <v>305.75</v>
      </c>
      <c r="S37" s="10">
        <f t="shared" si="13"/>
        <v>481.52</v>
      </c>
      <c r="T37" s="10">
        <f>T35+T36</f>
        <v>420.2</v>
      </c>
      <c r="U37" s="3"/>
      <c r="V37" s="3"/>
      <c r="X37" s="3"/>
      <c r="Y37" s="3"/>
      <c r="Z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spans="2:48" x14ac:dyDescent="0.2">
      <c r="B38" s="3" t="s">
        <v>51</v>
      </c>
      <c r="C38" s="3"/>
      <c r="D38" s="3"/>
      <c r="E38" s="3"/>
      <c r="F38" s="3"/>
      <c r="G38" s="3"/>
      <c r="H38" s="3"/>
      <c r="I38" s="10">
        <v>213.52</v>
      </c>
      <c r="J38" s="3"/>
      <c r="K38" s="10">
        <v>407.59</v>
      </c>
      <c r="L38" s="10">
        <v>501.53</v>
      </c>
      <c r="M38" s="10">
        <v>513.74800000000005</v>
      </c>
      <c r="N38" s="10">
        <v>471.55</v>
      </c>
      <c r="O38" s="10">
        <v>476.11</v>
      </c>
      <c r="P38" s="10">
        <v>436.27</v>
      </c>
      <c r="Q38" s="10">
        <v>390.16</v>
      </c>
      <c r="R38" s="10">
        <v>385.05399999999997</v>
      </c>
      <c r="S38" s="10">
        <v>391.95</v>
      </c>
      <c r="T38" s="10">
        <v>376.6</v>
      </c>
      <c r="U38" s="3"/>
      <c r="V38" s="3"/>
      <c r="X38" s="3"/>
      <c r="Y38" s="3"/>
      <c r="Z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spans="2:48" x14ac:dyDescent="0.2">
      <c r="B39" s="3" t="s">
        <v>52</v>
      </c>
      <c r="C39" s="3"/>
      <c r="D39" s="3"/>
      <c r="E39" s="3"/>
      <c r="F39" s="3"/>
      <c r="G39" s="3"/>
      <c r="H39" s="3"/>
      <c r="I39" s="10">
        <f>22.3+12.25</f>
        <v>34.549999999999997</v>
      </c>
      <c r="J39" s="3"/>
      <c r="K39" s="10">
        <f>24.54+16.6</f>
        <v>41.14</v>
      </c>
      <c r="L39" s="10">
        <f>2.22+16.74</f>
        <v>18.959999999999997</v>
      </c>
      <c r="M39" s="10">
        <f>23.56+2.464</f>
        <v>26.023999999999997</v>
      </c>
      <c r="N39" s="10">
        <f>14.75+18.84</f>
        <v>33.590000000000003</v>
      </c>
      <c r="O39" s="10">
        <f>3.08+31.481</f>
        <v>34.561</v>
      </c>
      <c r="P39" s="10">
        <f>2.33+27.99</f>
        <v>30.32</v>
      </c>
      <c r="Q39" s="10">
        <f>3.05+23.42</f>
        <v>26.470000000000002</v>
      </c>
      <c r="R39" s="10">
        <f>4.41+21.07</f>
        <v>25.48</v>
      </c>
      <c r="S39" s="10">
        <f>2.97+26.35</f>
        <v>29.32</v>
      </c>
      <c r="T39" s="10">
        <f>20.28+2.5</f>
        <v>22.78</v>
      </c>
      <c r="U39" s="3"/>
      <c r="V39" s="3"/>
      <c r="X39" s="3"/>
      <c r="Y39" s="3"/>
      <c r="Z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</row>
    <row r="40" spans="2:48" x14ac:dyDescent="0.2">
      <c r="B40" s="3" t="s">
        <v>53</v>
      </c>
      <c r="C40" s="3"/>
      <c r="D40" s="3"/>
      <c r="E40" s="3"/>
      <c r="F40" s="3"/>
      <c r="G40" s="3"/>
      <c r="H40" s="3"/>
      <c r="I40" s="10">
        <v>22.61</v>
      </c>
      <c r="J40" s="3"/>
      <c r="K40" s="10">
        <v>42.06</v>
      </c>
      <c r="L40" s="10">
        <v>36.941000000000003</v>
      </c>
      <c r="M40" s="10">
        <v>42.77</v>
      </c>
      <c r="N40" s="10">
        <v>33.61</v>
      </c>
      <c r="O40" s="10">
        <v>59.34</v>
      </c>
      <c r="P40" s="10">
        <v>58.79</v>
      </c>
      <c r="Q40" s="10">
        <v>44.02</v>
      </c>
      <c r="R40" s="10">
        <v>45.13</v>
      </c>
      <c r="S40" s="10">
        <v>44.31</v>
      </c>
      <c r="T40" s="10">
        <v>39.590000000000003</v>
      </c>
      <c r="U40" s="3"/>
      <c r="V40" s="3"/>
      <c r="X40" s="3"/>
      <c r="Y40" s="3"/>
      <c r="Z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spans="2:48" x14ac:dyDescent="0.2">
      <c r="B41" s="3" t="s">
        <v>55</v>
      </c>
      <c r="C41" s="3"/>
      <c r="D41" s="3"/>
      <c r="E41" s="3"/>
      <c r="F41" s="3"/>
      <c r="G41" s="3"/>
      <c r="H41" s="3"/>
      <c r="I41" s="10">
        <v>192.14</v>
      </c>
      <c r="J41" s="3"/>
      <c r="K41" s="10">
        <f>85.601+135.65</f>
        <v>221.251</v>
      </c>
      <c r="L41" s="10">
        <f>89.01+140.29</f>
        <v>229.3</v>
      </c>
      <c r="M41" s="10">
        <f>91.037+163.374</f>
        <v>254.411</v>
      </c>
      <c r="N41" s="10">
        <v>278.67</v>
      </c>
      <c r="O41" s="10">
        <f>190.492+104.09</f>
        <v>294.58199999999999</v>
      </c>
      <c r="P41" s="10">
        <f>213.84+110.51</f>
        <v>324.35000000000002</v>
      </c>
      <c r="Q41" s="10">
        <v>341.76</v>
      </c>
      <c r="R41" s="10">
        <f>238.32+120.51</f>
        <v>358.83</v>
      </c>
      <c r="S41" s="10">
        <f>242.86+129.11</f>
        <v>371.97</v>
      </c>
      <c r="T41" s="10">
        <f>244.07+133.22</f>
        <v>377.28999999999996</v>
      </c>
      <c r="U41" s="3"/>
      <c r="V41" s="3"/>
      <c r="X41" s="3"/>
      <c r="Y41" s="3"/>
      <c r="Z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</row>
    <row r="42" spans="2:48" x14ac:dyDescent="0.2">
      <c r="B42" s="3" t="s">
        <v>77</v>
      </c>
      <c r="C42" s="3"/>
      <c r="D42" s="3"/>
      <c r="E42" s="3"/>
      <c r="F42" s="3"/>
      <c r="G42" s="3"/>
      <c r="H42" s="3"/>
      <c r="I42" s="10">
        <v>-83.75</v>
      </c>
      <c r="J42" s="3"/>
      <c r="K42" s="10">
        <v>-85.6</v>
      </c>
      <c r="L42" s="10">
        <v>-89.01</v>
      </c>
      <c r="M42" s="10">
        <v>-91.037000000000006</v>
      </c>
      <c r="N42" s="10">
        <v>-97.14</v>
      </c>
      <c r="O42" s="10">
        <v>-104.09</v>
      </c>
      <c r="P42" s="10">
        <v>-110.51</v>
      </c>
      <c r="Q42" s="10">
        <v>-118.7</v>
      </c>
      <c r="R42" s="10">
        <v>-120.51</v>
      </c>
      <c r="S42" s="10">
        <v>-129.11000000000001</v>
      </c>
      <c r="T42" s="10">
        <v>-133.22</v>
      </c>
      <c r="U42" s="3"/>
      <c r="V42" s="3"/>
      <c r="X42" s="3"/>
      <c r="Y42" s="3"/>
      <c r="Z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spans="2:48" x14ac:dyDescent="0.2">
      <c r="B43" s="3" t="s">
        <v>75</v>
      </c>
      <c r="C43" s="10">
        <f t="shared" ref="C43:R43" si="14">C41+C42</f>
        <v>0</v>
      </c>
      <c r="D43" s="10">
        <f t="shared" si="14"/>
        <v>0</v>
      </c>
      <c r="E43" s="10">
        <f t="shared" si="14"/>
        <v>0</v>
      </c>
      <c r="F43" s="10">
        <f t="shared" si="14"/>
        <v>0</v>
      </c>
      <c r="G43" s="10">
        <f t="shared" si="14"/>
        <v>0</v>
      </c>
      <c r="H43" s="10">
        <f t="shared" si="14"/>
        <v>0</v>
      </c>
      <c r="I43" s="10">
        <f>I41+I42</f>
        <v>108.38999999999999</v>
      </c>
      <c r="J43" s="10">
        <f>J41+J42</f>
        <v>0</v>
      </c>
      <c r="K43" s="10">
        <f t="shared" si="14"/>
        <v>135.65100000000001</v>
      </c>
      <c r="L43" s="10">
        <f t="shared" si="14"/>
        <v>140.29000000000002</v>
      </c>
      <c r="M43" s="10">
        <f t="shared" si="14"/>
        <v>163.374</v>
      </c>
      <c r="N43" s="10">
        <f t="shared" si="14"/>
        <v>181.53000000000003</v>
      </c>
      <c r="O43" s="10">
        <f t="shared" si="14"/>
        <v>190.49199999999999</v>
      </c>
      <c r="P43" s="10">
        <f t="shared" si="14"/>
        <v>213.84000000000003</v>
      </c>
      <c r="Q43" s="10">
        <f t="shared" si="14"/>
        <v>223.06</v>
      </c>
      <c r="R43" s="10">
        <f t="shared" si="14"/>
        <v>238.32</v>
      </c>
      <c r="S43" s="10">
        <f>S41+S42</f>
        <v>242.86</v>
      </c>
      <c r="T43" s="10">
        <f>T41+T42</f>
        <v>244.06999999999996</v>
      </c>
      <c r="U43" s="3"/>
      <c r="V43" s="3"/>
      <c r="X43" s="3"/>
      <c r="Y43" s="3"/>
      <c r="Z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spans="2:48" x14ac:dyDescent="0.2">
      <c r="B44" s="3" t="s">
        <v>56</v>
      </c>
      <c r="C44" s="3"/>
      <c r="D44" s="3"/>
      <c r="E44" s="3"/>
      <c r="F44" s="3"/>
      <c r="G44" s="3"/>
      <c r="H44" s="3"/>
      <c r="I44" s="10">
        <v>136.97</v>
      </c>
      <c r="J44" s="3"/>
      <c r="K44" s="10">
        <f>112.01+1895.98</f>
        <v>2007.99</v>
      </c>
      <c r="L44" s="10">
        <f>116.5+1804.07</f>
        <v>1920.57</v>
      </c>
      <c r="M44" s="10">
        <f>121.717+1802.576</f>
        <v>1924.2930000000001</v>
      </c>
      <c r="N44" s="10">
        <v>1925.18</v>
      </c>
      <c r="O44" s="10">
        <f>1798.92+130.768</f>
        <v>1929.6880000000001</v>
      </c>
      <c r="P44" s="10">
        <f>1795.88+136.49</f>
        <v>1932.3700000000001</v>
      </c>
      <c r="Q44" s="10">
        <f>142.66+1793.7</f>
        <v>1936.3600000000001</v>
      </c>
      <c r="R44" s="10">
        <f>1792.56+138.61</f>
        <v>1931.17</v>
      </c>
      <c r="S44" s="10">
        <f>144.384+1787.6</f>
        <v>1931.9839999999999</v>
      </c>
      <c r="T44" s="10">
        <f>150.03+1785.3</f>
        <v>1935.33</v>
      </c>
      <c r="U44" s="3"/>
      <c r="V44" s="3"/>
      <c r="X44" s="3"/>
      <c r="Y44" s="3"/>
      <c r="Z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spans="2:48" x14ac:dyDescent="0.2">
      <c r="B45" s="3" t="s">
        <v>76</v>
      </c>
      <c r="C45" s="3"/>
      <c r="D45" s="3"/>
      <c r="E45" s="3"/>
      <c r="F45" s="3"/>
      <c r="G45" s="3"/>
      <c r="H45" s="3"/>
      <c r="I45" s="10">
        <v>-108.17</v>
      </c>
      <c r="J45" s="3"/>
      <c r="K45" s="10">
        <v>-112.01</v>
      </c>
      <c r="L45" s="10">
        <v>-116.5</v>
      </c>
      <c r="M45" s="10">
        <v>-121.717</v>
      </c>
      <c r="N45" s="10">
        <v>-125.01</v>
      </c>
      <c r="O45" s="10">
        <v>-130.768</v>
      </c>
      <c r="P45" s="10">
        <v>-136.49</v>
      </c>
      <c r="Q45" s="10">
        <v>-142.66</v>
      </c>
      <c r="R45" s="10">
        <v>-138.61000000000001</v>
      </c>
      <c r="S45" s="10">
        <v>-144.38</v>
      </c>
      <c r="T45" s="10">
        <v>-150.03</v>
      </c>
      <c r="U45" s="3"/>
      <c r="V45" s="3"/>
      <c r="X45" s="3"/>
      <c r="Y45" s="3"/>
      <c r="Z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</row>
    <row r="46" spans="2:48" x14ac:dyDescent="0.2">
      <c r="B46" s="3" t="s">
        <v>78</v>
      </c>
      <c r="C46" s="10">
        <f t="shared" ref="C46:R46" si="15">C44+C45</f>
        <v>0</v>
      </c>
      <c r="D46" s="10">
        <f t="shared" si="15"/>
        <v>0</v>
      </c>
      <c r="E46" s="10">
        <f t="shared" si="15"/>
        <v>0</v>
      </c>
      <c r="F46" s="10">
        <f t="shared" si="15"/>
        <v>0</v>
      </c>
      <c r="G46" s="10">
        <f t="shared" si="15"/>
        <v>0</v>
      </c>
      <c r="H46" s="10">
        <f t="shared" si="15"/>
        <v>0</v>
      </c>
      <c r="I46" s="10">
        <f>I44+I45</f>
        <v>28.799999999999997</v>
      </c>
      <c r="J46" s="10">
        <f>J44+J45</f>
        <v>0</v>
      </c>
      <c r="K46" s="10">
        <f t="shared" si="15"/>
        <v>1895.98</v>
      </c>
      <c r="L46" s="10">
        <f t="shared" si="15"/>
        <v>1804.07</v>
      </c>
      <c r="M46" s="10">
        <f t="shared" si="15"/>
        <v>1802.576</v>
      </c>
      <c r="N46" s="10">
        <f t="shared" si="15"/>
        <v>1800.17</v>
      </c>
      <c r="O46" s="10">
        <f t="shared" si="15"/>
        <v>1798.92</v>
      </c>
      <c r="P46" s="10">
        <f t="shared" si="15"/>
        <v>1795.88</v>
      </c>
      <c r="Q46" s="10">
        <f t="shared" si="15"/>
        <v>1793.7</v>
      </c>
      <c r="R46" s="10">
        <f t="shared" si="15"/>
        <v>1792.56</v>
      </c>
      <c r="S46" s="10">
        <f>S44+S45</f>
        <v>1787.6039999999998</v>
      </c>
      <c r="T46" s="10">
        <f>T44+T45</f>
        <v>1785.3</v>
      </c>
      <c r="U46" s="3"/>
      <c r="V46" s="3"/>
      <c r="X46" s="3"/>
      <c r="Y46" s="3"/>
      <c r="Z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</row>
    <row r="47" spans="2:48" x14ac:dyDescent="0.2">
      <c r="B47" s="3" t="s">
        <v>57</v>
      </c>
      <c r="C47" s="3"/>
      <c r="D47" s="3"/>
      <c r="E47" s="3"/>
      <c r="F47" s="3"/>
      <c r="G47" s="3"/>
      <c r="H47" s="3"/>
      <c r="I47" s="10">
        <v>1.6</v>
      </c>
      <c r="J47" s="3"/>
      <c r="K47" s="10">
        <v>642.47</v>
      </c>
      <c r="L47" s="10">
        <v>714.14</v>
      </c>
      <c r="M47" s="10">
        <v>714.38</v>
      </c>
      <c r="N47" s="10">
        <v>714.81</v>
      </c>
      <c r="O47" s="10">
        <v>711.56</v>
      </c>
      <c r="P47" s="10">
        <v>711.57</v>
      </c>
      <c r="Q47" s="10">
        <v>711.88499999999999</v>
      </c>
      <c r="R47" s="10">
        <v>711.59</v>
      </c>
      <c r="S47" s="10">
        <v>711.56</v>
      </c>
      <c r="T47" s="10">
        <v>711.54</v>
      </c>
      <c r="U47" s="3"/>
      <c r="V47" s="3"/>
      <c r="X47" s="3"/>
      <c r="Y47" s="3"/>
      <c r="Z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2:48" x14ac:dyDescent="0.2">
      <c r="B48" s="3" t="s">
        <v>58</v>
      </c>
      <c r="C48" s="3"/>
      <c r="D48" s="3"/>
      <c r="E48" s="3"/>
      <c r="F48" s="3"/>
      <c r="G48" s="3"/>
      <c r="H48" s="3"/>
      <c r="I48" s="10">
        <v>567.20000000000005</v>
      </c>
      <c r="J48" s="3"/>
      <c r="K48" s="10">
        <v>547.73</v>
      </c>
      <c r="L48" s="10">
        <v>513.58000000000004</v>
      </c>
      <c r="M48" s="10">
        <v>481.89699999999999</v>
      </c>
      <c r="N48" s="10">
        <v>528.27800000000002</v>
      </c>
      <c r="O48" s="10">
        <v>533.48</v>
      </c>
      <c r="P48" s="10">
        <v>539.54999999999995</v>
      </c>
      <c r="Q48" s="10">
        <v>527.67999999999995</v>
      </c>
      <c r="R48" s="10">
        <v>667.97199999999998</v>
      </c>
      <c r="S48" s="10">
        <v>647.75</v>
      </c>
      <c r="T48" s="10">
        <v>640.59</v>
      </c>
      <c r="U48" s="3"/>
      <c r="V48" s="3"/>
      <c r="X48" s="3"/>
      <c r="Y48" s="3"/>
      <c r="Z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spans="2:48" x14ac:dyDescent="0.2">
      <c r="B49" s="3" t="s">
        <v>62</v>
      </c>
      <c r="C49" s="3"/>
      <c r="D49" s="3"/>
      <c r="E49" s="3"/>
      <c r="F49" s="3"/>
      <c r="G49" s="3"/>
      <c r="H49" s="3"/>
      <c r="I49" s="10">
        <v>160.77000000000001</v>
      </c>
      <c r="J49" s="3"/>
      <c r="K49" s="10">
        <v>199.81</v>
      </c>
      <c r="L49" s="10">
        <v>236.08</v>
      </c>
      <c r="M49" s="10">
        <f>248.548</f>
        <v>248.548</v>
      </c>
      <c r="N49" s="10">
        <v>239.91</v>
      </c>
      <c r="O49" s="10">
        <v>233.98099999999999</v>
      </c>
      <c r="P49" s="10">
        <v>228.08</v>
      </c>
      <c r="Q49" s="10">
        <v>313.61</v>
      </c>
      <c r="R49" s="10">
        <v>287.44</v>
      </c>
      <c r="S49" s="10">
        <v>280.18</v>
      </c>
      <c r="T49" s="10">
        <v>292.08999999999997</v>
      </c>
      <c r="U49" s="3"/>
      <c r="V49" s="3"/>
      <c r="X49" s="3"/>
      <c r="Y49" s="3"/>
      <c r="Z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</row>
    <row r="50" spans="2:48" x14ac:dyDescent="0.2">
      <c r="B50" s="3" t="s">
        <v>59</v>
      </c>
      <c r="C50" s="3"/>
      <c r="D50" s="3"/>
      <c r="E50" s="3"/>
      <c r="F50" s="3"/>
      <c r="G50" s="3"/>
      <c r="H50" s="3"/>
      <c r="I50" s="10">
        <f>3.66+8.07</f>
        <v>11.73</v>
      </c>
      <c r="J50" s="3"/>
      <c r="K50" s="10">
        <f>3.37+7.12</f>
        <v>10.49</v>
      </c>
      <c r="L50" s="10">
        <f>3.19+7</f>
        <v>10.19</v>
      </c>
      <c r="M50" s="10">
        <f>2.98+6.241</f>
        <v>9.2210000000000001</v>
      </c>
      <c r="N50" s="10">
        <f>3.25+7.88</f>
        <v>11.129999999999999</v>
      </c>
      <c r="O50" s="10">
        <f>3.24+9.3</f>
        <v>12.540000000000001</v>
      </c>
      <c r="P50" s="10">
        <f>3.35+9.65</f>
        <v>13</v>
      </c>
      <c r="Q50" s="10">
        <f>28.54+3.707</f>
        <v>32.247</v>
      </c>
      <c r="R50" s="10">
        <f>3.81+31.46</f>
        <v>35.270000000000003</v>
      </c>
      <c r="S50" s="10">
        <f>15.53+3.73</f>
        <v>19.259999999999998</v>
      </c>
      <c r="T50" s="10">
        <f>3.29+16.01</f>
        <v>19.3</v>
      </c>
      <c r="U50" s="3"/>
      <c r="V50" s="3"/>
      <c r="X50" s="3"/>
      <c r="Y50" s="3"/>
      <c r="Z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</row>
    <row r="51" spans="2:48" x14ac:dyDescent="0.2">
      <c r="B51" s="3" t="s">
        <v>60</v>
      </c>
      <c r="C51" s="11">
        <f t="shared" ref="C51:Q51" si="16">C34+C37+C38+C39+C40+C43+C46+C47+C48+C49+C50</f>
        <v>0</v>
      </c>
      <c r="D51" s="11">
        <f t="shared" si="16"/>
        <v>0</v>
      </c>
      <c r="E51" s="11">
        <f t="shared" si="16"/>
        <v>0</v>
      </c>
      <c r="F51" s="11">
        <f t="shared" si="16"/>
        <v>0</v>
      </c>
      <c r="G51" s="11">
        <f t="shared" si="16"/>
        <v>0</v>
      </c>
      <c r="H51" s="11">
        <f t="shared" si="16"/>
        <v>432.58299999999997</v>
      </c>
      <c r="I51" s="11">
        <f>I34+I37+I38+I39+I40+I43+I46+I47+I48+I49+I50</f>
        <v>1545.06</v>
      </c>
      <c r="J51" s="11">
        <f>J34+J37+J38+J39+J40+J43+J46+J47+J48+J49+J50</f>
        <v>0</v>
      </c>
      <c r="K51" s="11">
        <f t="shared" si="16"/>
        <v>4470.6710000000012</v>
      </c>
      <c r="L51" s="11">
        <f t="shared" si="16"/>
        <v>4586.6509999999998</v>
      </c>
      <c r="M51" s="11">
        <f t="shared" si="16"/>
        <v>4543.1679999999997</v>
      </c>
      <c r="N51" s="11">
        <f>N34+N37+N38+N39+N40+N43+N46+N47+N48+N49+N50</f>
        <v>4501.7950000000001</v>
      </c>
      <c r="O51" s="11">
        <f t="shared" si="16"/>
        <v>4595.63</v>
      </c>
      <c r="P51" s="11">
        <f t="shared" si="16"/>
        <v>4603.13</v>
      </c>
      <c r="Q51" s="11">
        <f t="shared" si="16"/>
        <v>4581.3590000000004</v>
      </c>
      <c r="R51" s="11">
        <f>R34+R37+R38+R39+R40+R43+R46+R47+R48+R49+R50</f>
        <v>4643.8559999999998</v>
      </c>
      <c r="S51" s="11">
        <f>S34+S37+S38+S39+S40+S43+S46+S47+S48+S49+S50</f>
        <v>4795.6040000000003</v>
      </c>
      <c r="T51" s="11">
        <f>T34+T37+T38+T39+T40+T43+T46+T47+T48+T49+T50</f>
        <v>4719.79</v>
      </c>
      <c r="U51" s="3"/>
      <c r="V51" s="3"/>
      <c r="X51" s="3"/>
      <c r="Y51" s="3"/>
      <c r="Z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</row>
    <row r="52" spans="2:4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X52" s="3"/>
      <c r="Y52" s="3"/>
      <c r="Z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</row>
    <row r="53" spans="2:48" x14ac:dyDescent="0.2">
      <c r="B53" s="3" t="s">
        <v>61</v>
      </c>
      <c r="C53" s="3"/>
      <c r="D53" s="3"/>
      <c r="E53" s="3"/>
      <c r="F53" s="3"/>
      <c r="G53" s="3"/>
      <c r="H53" s="3"/>
      <c r="I53" s="3">
        <v>162.15</v>
      </c>
      <c r="J53" s="3"/>
      <c r="K53" s="3">
        <v>202.92</v>
      </c>
      <c r="L53" s="10">
        <v>225.3</v>
      </c>
      <c r="M53" s="10">
        <v>190.09700000000001</v>
      </c>
      <c r="N53" s="10">
        <v>230.82</v>
      </c>
      <c r="O53" s="10">
        <v>232.38</v>
      </c>
      <c r="P53" s="10">
        <v>261.91000000000003</v>
      </c>
      <c r="Q53" s="10">
        <v>209.89</v>
      </c>
      <c r="R53" s="10">
        <v>260.98</v>
      </c>
      <c r="S53" s="10">
        <v>236.29</v>
      </c>
      <c r="T53" s="10">
        <v>244.85</v>
      </c>
      <c r="U53" s="3"/>
      <c r="V53" s="3"/>
      <c r="X53" s="3"/>
      <c r="Y53" s="3"/>
      <c r="Z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</row>
    <row r="54" spans="2:48" x14ac:dyDescent="0.2">
      <c r="B54" s="3" t="s">
        <v>63</v>
      </c>
      <c r="C54" s="3"/>
      <c r="D54" s="3"/>
      <c r="E54" s="3"/>
      <c r="F54" s="3"/>
      <c r="G54" s="3"/>
      <c r="H54" s="3"/>
      <c r="I54" s="3">
        <v>166.89</v>
      </c>
      <c r="J54" s="3"/>
      <c r="K54" s="3">
        <v>185.97</v>
      </c>
      <c r="L54" s="10">
        <v>242.75</v>
      </c>
      <c r="M54" s="10">
        <v>228.97</v>
      </c>
      <c r="N54" s="10">
        <v>239.42</v>
      </c>
      <c r="O54" s="10">
        <v>201.821</v>
      </c>
      <c r="P54" s="10">
        <v>241.53</v>
      </c>
      <c r="Q54" s="10">
        <v>248.16</v>
      </c>
      <c r="R54" s="10">
        <v>285.77</v>
      </c>
      <c r="S54" s="10">
        <v>247.27</v>
      </c>
      <c r="T54" s="10">
        <v>285.10000000000002</v>
      </c>
      <c r="U54" s="3"/>
      <c r="V54" s="3"/>
      <c r="X54" s="3"/>
      <c r="Y54" s="3"/>
      <c r="Z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</row>
    <row r="55" spans="2:48" x14ac:dyDescent="0.2">
      <c r="B55" s="3" t="s">
        <v>64</v>
      </c>
      <c r="C55" s="3"/>
      <c r="D55" s="3"/>
      <c r="E55" s="3"/>
      <c r="F55" s="3"/>
      <c r="G55" s="3"/>
      <c r="H55" s="3"/>
      <c r="I55" s="3">
        <v>16.28</v>
      </c>
      <c r="J55" s="3"/>
      <c r="K55" s="3">
        <v>67.31</v>
      </c>
      <c r="L55" s="10">
        <v>58.701999999999998</v>
      </c>
      <c r="M55" s="10">
        <v>76.989999999999995</v>
      </c>
      <c r="N55" s="10">
        <v>89.21</v>
      </c>
      <c r="O55" s="10">
        <v>109.63200000000001</v>
      </c>
      <c r="P55" s="10">
        <v>84.85</v>
      </c>
      <c r="Q55" s="10">
        <v>108.72</v>
      </c>
      <c r="R55" s="10">
        <v>65.951999999999998</v>
      </c>
      <c r="S55" s="10">
        <v>82.25</v>
      </c>
      <c r="T55" s="10">
        <v>92.55</v>
      </c>
      <c r="U55" s="3"/>
      <c r="V55" s="3"/>
      <c r="X55" s="3"/>
      <c r="Y55" s="3"/>
      <c r="Z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</row>
    <row r="56" spans="2:48" x14ac:dyDescent="0.2">
      <c r="B56" s="3" t="s">
        <v>65</v>
      </c>
      <c r="C56" s="3"/>
      <c r="D56" s="3"/>
      <c r="E56" s="3"/>
      <c r="F56" s="3"/>
      <c r="G56" s="3"/>
      <c r="H56" s="3"/>
      <c r="I56" s="3">
        <v>0</v>
      </c>
      <c r="J56" s="3"/>
      <c r="K56" s="3">
        <v>25.17</v>
      </c>
      <c r="L56" s="10">
        <v>25.4</v>
      </c>
      <c r="M56" s="10">
        <v>20</v>
      </c>
      <c r="N56" s="10">
        <v>24.36</v>
      </c>
      <c r="O56" s="10">
        <v>32.97</v>
      </c>
      <c r="P56" s="10">
        <v>20</v>
      </c>
      <c r="Q56" s="10">
        <v>20</v>
      </c>
      <c r="R56" s="10">
        <v>23.33</v>
      </c>
      <c r="S56" s="10">
        <v>0</v>
      </c>
      <c r="T56" s="10">
        <v>0</v>
      </c>
      <c r="U56" s="3"/>
      <c r="V56" s="3"/>
      <c r="X56" s="3"/>
      <c r="Y56" s="3"/>
      <c r="Z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7" spans="2:48" x14ac:dyDescent="0.2">
      <c r="B57" s="3" t="s">
        <v>66</v>
      </c>
      <c r="C57" s="3"/>
      <c r="D57" s="3"/>
      <c r="E57" s="3"/>
      <c r="F57" s="3"/>
      <c r="G57" s="3"/>
      <c r="H57" s="3"/>
      <c r="I57" s="3">
        <v>42.93</v>
      </c>
      <c r="J57" s="3"/>
      <c r="K57" s="3">
        <v>49.41</v>
      </c>
      <c r="L57" s="10">
        <v>49.98</v>
      </c>
      <c r="M57" s="10">
        <v>55.1</v>
      </c>
      <c r="N57" s="10">
        <v>57.46</v>
      </c>
      <c r="O57" s="10">
        <v>57.56</v>
      </c>
      <c r="P57" s="10">
        <v>57.66</v>
      </c>
      <c r="Q57" s="10">
        <v>61.11</v>
      </c>
      <c r="R57" s="10">
        <v>62.27</v>
      </c>
      <c r="S57" s="10">
        <v>62.76</v>
      </c>
      <c r="T57" s="10">
        <v>63.92</v>
      </c>
      <c r="U57" s="3"/>
      <c r="V57" s="3"/>
      <c r="X57" s="3"/>
      <c r="Y57" s="3"/>
      <c r="Z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</row>
    <row r="58" spans="2:48" x14ac:dyDescent="0.2">
      <c r="B58" s="3" t="s">
        <v>81</v>
      </c>
      <c r="C58" s="3"/>
      <c r="D58" s="3"/>
      <c r="E58" s="3"/>
      <c r="F58" s="3"/>
      <c r="G58" s="3"/>
      <c r="H58" s="3"/>
      <c r="I58" s="3">
        <f>0.176+219.57</f>
        <v>219.74599999999998</v>
      </c>
      <c r="J58" s="3"/>
      <c r="K58" s="3">
        <f>329.95+226.19</f>
        <v>556.14</v>
      </c>
      <c r="L58" s="10">
        <f>312.82+216.04</f>
        <v>528.86</v>
      </c>
      <c r="M58" s="10">
        <f>204.77+312.81</f>
        <v>517.58000000000004</v>
      </c>
      <c r="N58" s="10">
        <f>302.03+224.84</f>
        <v>526.87</v>
      </c>
      <c r="O58" s="10">
        <f>301.97+228.17</f>
        <v>530.14</v>
      </c>
      <c r="P58" s="10">
        <f>301.9+231.58</f>
        <v>533.48</v>
      </c>
      <c r="Q58" s="10">
        <f>299.3+226.01</f>
        <v>525.30999999999995</v>
      </c>
      <c r="R58" s="10">
        <f>12.91+565.18</f>
        <v>578.08999999999992</v>
      </c>
      <c r="S58" s="10">
        <f>12.87+558.91</f>
        <v>571.78</v>
      </c>
      <c r="T58" s="10">
        <f>12.84+557.58</f>
        <v>570.42000000000007</v>
      </c>
      <c r="U58" s="3"/>
      <c r="V58" s="3"/>
      <c r="X58" s="3"/>
      <c r="Y58" s="3"/>
      <c r="Z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</row>
    <row r="59" spans="2:48" x14ac:dyDescent="0.2">
      <c r="B59" s="3" t="s">
        <v>67</v>
      </c>
      <c r="C59" s="3"/>
      <c r="D59" s="3"/>
      <c r="E59" s="3"/>
      <c r="F59" s="3"/>
      <c r="G59" s="3"/>
      <c r="H59" s="3"/>
      <c r="I59" s="3">
        <v>771.39</v>
      </c>
      <c r="J59" s="3"/>
      <c r="K59" s="3">
        <v>2851.26</v>
      </c>
      <c r="L59" s="10">
        <v>2743.51</v>
      </c>
      <c r="M59" s="10">
        <v>2595.7669999999998</v>
      </c>
      <c r="N59" s="10">
        <v>2298.027</v>
      </c>
      <c r="O59" s="10">
        <v>2250.29</v>
      </c>
      <c r="P59" s="10">
        <v>2007.49</v>
      </c>
      <c r="Q59" s="10">
        <v>1918.67</v>
      </c>
      <c r="R59" s="10">
        <v>1640.9960000000001</v>
      </c>
      <c r="S59" s="10">
        <v>1727.15</v>
      </c>
      <c r="T59" s="10">
        <v>1529.57</v>
      </c>
      <c r="U59" s="3"/>
      <c r="V59" s="3"/>
      <c r="X59" s="3"/>
      <c r="Y59" s="3"/>
      <c r="Z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</row>
    <row r="60" spans="2:48" x14ac:dyDescent="0.2">
      <c r="B60" s="3" t="s">
        <v>68</v>
      </c>
      <c r="C60" s="3"/>
      <c r="D60" s="3"/>
      <c r="E60" s="3"/>
      <c r="F60" s="3"/>
      <c r="G60" s="3"/>
      <c r="H60" s="3"/>
      <c r="I60" s="3">
        <v>149.24</v>
      </c>
      <c r="J60" s="3"/>
      <c r="K60" s="3">
        <v>181.07</v>
      </c>
      <c r="L60" s="10">
        <v>217.59</v>
      </c>
      <c r="M60" s="10">
        <v>225.39500000000001</v>
      </c>
      <c r="N60" s="10">
        <v>215.12</v>
      </c>
      <c r="O60" s="10">
        <v>209.82</v>
      </c>
      <c r="P60" s="10">
        <v>204.09</v>
      </c>
      <c r="Q60" s="10">
        <v>286.91000000000003</v>
      </c>
      <c r="R60" s="10">
        <v>269.77</v>
      </c>
      <c r="S60" s="10">
        <v>267.79000000000002</v>
      </c>
      <c r="T60" s="10">
        <v>277.11</v>
      </c>
      <c r="U60" s="3"/>
      <c r="V60" s="3"/>
      <c r="X60" s="3"/>
      <c r="Y60" s="3"/>
      <c r="Z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spans="2:48" x14ac:dyDescent="0.2">
      <c r="B61" s="3" t="s">
        <v>69</v>
      </c>
      <c r="C61" s="3"/>
      <c r="D61" s="3"/>
      <c r="E61" s="3"/>
      <c r="F61" s="3"/>
      <c r="G61" s="3"/>
      <c r="H61" s="3"/>
      <c r="I61" s="3">
        <v>2.37</v>
      </c>
      <c r="J61" s="3"/>
      <c r="K61" s="3">
        <v>2.25</v>
      </c>
      <c r="L61" s="10">
        <v>2.59</v>
      </c>
      <c r="M61" s="10">
        <v>2.46</v>
      </c>
      <c r="N61" s="10">
        <v>2.58</v>
      </c>
      <c r="O61" s="10">
        <v>2.5299999999999998</v>
      </c>
      <c r="P61" s="10">
        <v>2.44</v>
      </c>
      <c r="Q61" s="10">
        <v>2.35</v>
      </c>
      <c r="R61" s="10">
        <v>2.77</v>
      </c>
      <c r="S61" s="10">
        <v>3.26</v>
      </c>
      <c r="T61" s="10">
        <v>3.07</v>
      </c>
      <c r="U61" s="3"/>
      <c r="V61" s="3"/>
      <c r="X61" s="3"/>
      <c r="Y61" s="3"/>
      <c r="Z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</row>
    <row r="62" spans="2:48" x14ac:dyDescent="0.2">
      <c r="B62" s="3" t="s">
        <v>70</v>
      </c>
      <c r="C62" s="3"/>
      <c r="D62" s="3"/>
      <c r="E62" s="3"/>
      <c r="F62" s="3"/>
      <c r="G62" s="3"/>
      <c r="H62" s="3"/>
      <c r="I62" s="3">
        <v>14.08</v>
      </c>
      <c r="J62" s="3"/>
      <c r="K62" s="3">
        <v>349.17</v>
      </c>
      <c r="L62" s="10">
        <v>491.97</v>
      </c>
      <c r="M62" s="10">
        <v>630.80200000000002</v>
      </c>
      <c r="N62" s="10">
        <v>817.93100000000004</v>
      </c>
      <c r="O62" s="10">
        <v>968.5</v>
      </c>
      <c r="P62" s="10">
        <v>1189.69</v>
      </c>
      <c r="Q62" s="10">
        <v>1200.26</v>
      </c>
      <c r="R62" s="10">
        <v>1453.923</v>
      </c>
      <c r="S62" s="10">
        <v>1597.01</v>
      </c>
      <c r="T62" s="10">
        <v>1653.21</v>
      </c>
      <c r="U62" s="3"/>
      <c r="V62" s="3"/>
      <c r="X62" s="3"/>
      <c r="Y62" s="3"/>
      <c r="Z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</row>
    <row r="63" spans="2:48" x14ac:dyDescent="0.2">
      <c r="B63" s="3" t="s">
        <v>71</v>
      </c>
      <c r="C63" s="11">
        <f t="shared" ref="C63:T63" si="17">SUM(C53:C62)</f>
        <v>0</v>
      </c>
      <c r="D63" s="11">
        <f t="shared" si="17"/>
        <v>0</v>
      </c>
      <c r="E63" s="11">
        <f t="shared" si="17"/>
        <v>0</v>
      </c>
      <c r="F63" s="11">
        <f t="shared" si="17"/>
        <v>0</v>
      </c>
      <c r="G63" s="11">
        <f t="shared" si="17"/>
        <v>0</v>
      </c>
      <c r="H63" s="11">
        <f t="shared" si="17"/>
        <v>0</v>
      </c>
      <c r="I63" s="11">
        <f>SUM(I53:I62)</f>
        <v>1545.0759999999998</v>
      </c>
      <c r="J63" s="11">
        <f>SUM(J53:J62)</f>
        <v>0</v>
      </c>
      <c r="K63" s="11">
        <f t="shared" si="17"/>
        <v>4470.67</v>
      </c>
      <c r="L63" s="11">
        <f t="shared" si="17"/>
        <v>4586.652000000001</v>
      </c>
      <c r="M63" s="11">
        <f t="shared" si="17"/>
        <v>4543.1610000000001</v>
      </c>
      <c r="N63" s="11">
        <f t="shared" si="17"/>
        <v>4501.7980000000007</v>
      </c>
      <c r="O63" s="11">
        <f t="shared" si="17"/>
        <v>4595.643</v>
      </c>
      <c r="P63" s="11">
        <f t="shared" si="17"/>
        <v>4603.1400000000003</v>
      </c>
      <c r="Q63" s="11">
        <f t="shared" si="17"/>
        <v>4581.38</v>
      </c>
      <c r="R63" s="11">
        <f t="shared" si="17"/>
        <v>4643.8509999999997</v>
      </c>
      <c r="S63" s="11">
        <f t="shared" si="17"/>
        <v>4795.5600000000004</v>
      </c>
      <c r="T63" s="11">
        <f t="shared" si="17"/>
        <v>4719.8</v>
      </c>
      <c r="U63" s="3"/>
      <c r="V63" s="3"/>
      <c r="X63" s="3"/>
      <c r="Y63" s="3"/>
      <c r="Z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</row>
  </sheetData>
  <pageMargins left="0.7" right="0.7" top="0.75" bottom="0.75" header="0.3" footer="0.3"/>
  <ignoredErrors>
    <ignoredError sqref="R20 Q39 N2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6014D-D36A-4E78-AF0D-E6F4D39413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Debt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</dc:creator>
  <cp:lastModifiedBy>Jacob H</cp:lastModifiedBy>
  <dcterms:created xsi:type="dcterms:W3CDTF">2024-08-28T06:22:52Z</dcterms:created>
  <dcterms:modified xsi:type="dcterms:W3CDTF">2025-04-04T10:40:23Z</dcterms:modified>
</cp:coreProperties>
</file>