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User\Desktop\Equity Research\Models\Health Care\"/>
    </mc:Choice>
  </mc:AlternateContent>
  <xr:revisionPtr revIDLastSave="0" documentId="13_ncr:1_{6A92E477-A4DE-454E-8011-C11EC8DFCF58}" xr6:coauthVersionLast="47" xr6:coauthVersionMax="47" xr10:uidLastSave="{00000000-0000-0000-0000-000000000000}"/>
  <bookViews>
    <workbookView xWindow="28680" yWindow="-120" windowWidth="29040" windowHeight="15720" activeTab="1" xr2:uid="{00000000-000D-0000-FFFF-FFFF00000000}"/>
  </bookViews>
  <sheets>
    <sheet name="Main | Overview" sheetId="1" r:id="rId1"/>
    <sheet name="Model" sheetId="2" r:id="rId2"/>
    <sheet name="Notes | Quant Analysis" sheetId="3" r:id="rId3"/>
    <sheet name="Markets | Product Lines" sheetId="4" r:id="rId4"/>
    <sheet name="Management" sheetId="6" r:id="rId5"/>
    <sheet name="Clinical Trail Channel"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38" i="2" l="1"/>
  <c r="AU38" i="2"/>
  <c r="AT38" i="2"/>
  <c r="AS38" i="2"/>
  <c r="AW38" i="2"/>
  <c r="U47" i="2"/>
  <c r="T47" i="2"/>
  <c r="S47" i="2"/>
  <c r="Q47" i="2"/>
  <c r="P47" i="2"/>
  <c r="O47" i="2"/>
  <c r="M47" i="2"/>
  <c r="L47" i="2"/>
  <c r="K47" i="2"/>
  <c r="I47" i="2"/>
  <c r="H47" i="2"/>
  <c r="G47" i="2"/>
  <c r="E47" i="2"/>
  <c r="D47" i="2"/>
  <c r="C47" i="2"/>
  <c r="U46" i="2"/>
  <c r="T46" i="2"/>
  <c r="S46" i="2"/>
  <c r="Q46" i="2"/>
  <c r="P46" i="2"/>
  <c r="O46" i="2"/>
  <c r="M46" i="2"/>
  <c r="L46" i="2"/>
  <c r="K46" i="2"/>
  <c r="I46" i="2"/>
  <c r="H46" i="2"/>
  <c r="G46" i="2"/>
  <c r="E46" i="2"/>
  <c r="D46" i="2"/>
  <c r="C46" i="2"/>
  <c r="J28" i="2"/>
  <c r="J46" i="2" s="1"/>
  <c r="AT46" i="2" s="1"/>
  <c r="J37" i="2"/>
  <c r="J35" i="2"/>
  <c r="F37" i="2"/>
  <c r="C33" i="2"/>
  <c r="F25" i="2"/>
  <c r="F47" i="2" s="1"/>
  <c r="AS47" i="2" s="1"/>
  <c r="F26" i="2"/>
  <c r="F28" i="2"/>
  <c r="F46" i="2" s="1"/>
  <c r="F35" i="2"/>
  <c r="F29" i="2"/>
  <c r="F31" i="2"/>
  <c r="F30" i="2"/>
  <c r="D33" i="2"/>
  <c r="E33" i="2"/>
  <c r="J31" i="2"/>
  <c r="J30" i="2"/>
  <c r="J29" i="2"/>
  <c r="J47" i="2" s="1"/>
  <c r="J26" i="2"/>
  <c r="J25" i="2"/>
  <c r="N35" i="2"/>
  <c r="N31" i="2"/>
  <c r="N30" i="2"/>
  <c r="N29" i="2"/>
  <c r="N47" i="2" s="1"/>
  <c r="N28" i="2"/>
  <c r="N46" i="2" s="1"/>
  <c r="N26" i="2"/>
  <c r="N25" i="2"/>
  <c r="K33" i="2"/>
  <c r="G33" i="2"/>
  <c r="H33" i="2"/>
  <c r="L33" i="2"/>
  <c r="H21" i="2"/>
  <c r="I33" i="2"/>
  <c r="M33" i="2"/>
  <c r="V35" i="2"/>
  <c r="V33" i="2"/>
  <c r="V31" i="2"/>
  <c r="V30" i="2"/>
  <c r="V29" i="2"/>
  <c r="V28" i="2"/>
  <c r="V26" i="2"/>
  <c r="V25" i="2"/>
  <c r="R35" i="2"/>
  <c r="R33" i="2"/>
  <c r="R31" i="2"/>
  <c r="R30" i="2"/>
  <c r="R29" i="2"/>
  <c r="R28" i="2"/>
  <c r="R26" i="2"/>
  <c r="R25" i="2"/>
  <c r="AW74" i="2"/>
  <c r="AV74" i="2"/>
  <c r="AU74" i="2"/>
  <c r="AT74" i="2"/>
  <c r="AS74" i="2"/>
  <c r="AW73" i="2"/>
  <c r="AV73" i="2"/>
  <c r="AU73" i="2"/>
  <c r="AT73" i="2"/>
  <c r="AS73" i="2"/>
  <c r="U76" i="2"/>
  <c r="T76" i="2"/>
  <c r="S76" i="2"/>
  <c r="R76" i="2"/>
  <c r="AV76" i="2" s="1"/>
  <c r="Q76" i="2"/>
  <c r="P76" i="2"/>
  <c r="O76" i="2"/>
  <c r="N76" i="2"/>
  <c r="M76" i="2"/>
  <c r="L76" i="2"/>
  <c r="K76" i="2"/>
  <c r="J76" i="2"/>
  <c r="AT76" i="2" s="1"/>
  <c r="I76" i="2"/>
  <c r="H76" i="2"/>
  <c r="G76" i="2"/>
  <c r="F76" i="2"/>
  <c r="E76" i="2"/>
  <c r="D76" i="2"/>
  <c r="C76" i="2"/>
  <c r="V76" i="2"/>
  <c r="U75" i="2"/>
  <c r="T75" i="2"/>
  <c r="S75" i="2"/>
  <c r="R75" i="2"/>
  <c r="Q75" i="2"/>
  <c r="P75" i="2"/>
  <c r="O75" i="2"/>
  <c r="N75" i="2"/>
  <c r="M75" i="2"/>
  <c r="L75" i="2"/>
  <c r="K75" i="2"/>
  <c r="J75" i="2"/>
  <c r="I75" i="2"/>
  <c r="H75" i="2"/>
  <c r="G75" i="2"/>
  <c r="F75" i="2"/>
  <c r="E75" i="2"/>
  <c r="D75" i="2"/>
  <c r="C75" i="2"/>
  <c r="V75" i="2"/>
  <c r="T27" i="2"/>
  <c r="T32" i="2" s="1"/>
  <c r="T34" i="2" s="1"/>
  <c r="T36" i="2" s="1"/>
  <c r="T38" i="2" s="1"/>
  <c r="T40" i="2" s="1"/>
  <c r="S27" i="2"/>
  <c r="S32" i="2" s="1"/>
  <c r="S34" i="2" s="1"/>
  <c r="S36" i="2" s="1"/>
  <c r="S38" i="2" s="1"/>
  <c r="S40" i="2" s="1"/>
  <c r="Q27" i="2"/>
  <c r="Q32" i="2" s="1"/>
  <c r="Q34" i="2" s="1"/>
  <c r="P27" i="2"/>
  <c r="P43" i="2" s="1"/>
  <c r="O27" i="2"/>
  <c r="O32" i="2" s="1"/>
  <c r="O34" i="2" s="1"/>
  <c r="O36" i="2" s="1"/>
  <c r="O38" i="2" s="1"/>
  <c r="O40" i="2" s="1"/>
  <c r="M27" i="2"/>
  <c r="M32" i="2" s="1"/>
  <c r="M44" i="2" s="1"/>
  <c r="L27" i="2"/>
  <c r="L32" i="2" s="1"/>
  <c r="L44" i="2" s="1"/>
  <c r="K27" i="2"/>
  <c r="K32" i="2" s="1"/>
  <c r="K44" i="2" s="1"/>
  <c r="I27" i="2"/>
  <c r="I43" i="2" s="1"/>
  <c r="H27" i="2"/>
  <c r="H32" i="2" s="1"/>
  <c r="G27" i="2"/>
  <c r="G32" i="2" s="1"/>
  <c r="G44" i="2" s="1"/>
  <c r="E27" i="2"/>
  <c r="E43" i="2" s="1"/>
  <c r="D27" i="2"/>
  <c r="D32" i="2" s="1"/>
  <c r="D44" i="2" s="1"/>
  <c r="C27" i="2"/>
  <c r="C32" i="2" s="1"/>
  <c r="C44" i="2" s="1"/>
  <c r="G19" i="2"/>
  <c r="U21" i="2"/>
  <c r="T21" i="2"/>
  <c r="S21" i="2"/>
  <c r="Q21" i="2"/>
  <c r="P21" i="2"/>
  <c r="O21" i="2"/>
  <c r="M21" i="2"/>
  <c r="L21" i="2"/>
  <c r="K21" i="2"/>
  <c r="I21" i="2"/>
  <c r="G21" i="2"/>
  <c r="U19" i="2"/>
  <c r="T19" i="2"/>
  <c r="S19" i="2"/>
  <c r="Q19" i="2"/>
  <c r="P19" i="2"/>
  <c r="O19" i="2"/>
  <c r="M19" i="2"/>
  <c r="L19" i="2"/>
  <c r="K19" i="2"/>
  <c r="I19" i="2"/>
  <c r="H19" i="2"/>
  <c r="F15" i="2"/>
  <c r="F14" i="2"/>
  <c r="R46" i="2" l="1"/>
  <c r="R47" i="2"/>
  <c r="V46" i="2"/>
  <c r="V47" i="2"/>
  <c r="AW47" i="2" s="1"/>
  <c r="AU47" i="2"/>
  <c r="AV47" i="2"/>
  <c r="AU46" i="2"/>
  <c r="AT47" i="2"/>
  <c r="AS46" i="2"/>
  <c r="AV46" i="2"/>
  <c r="AW46" i="2"/>
  <c r="S45" i="2"/>
  <c r="O45" i="2"/>
  <c r="T45" i="2"/>
  <c r="AV75" i="2"/>
  <c r="K77" i="2"/>
  <c r="H34" i="2"/>
  <c r="H36" i="2" s="1"/>
  <c r="H38" i="2" s="1"/>
  <c r="H77" i="2"/>
  <c r="P77" i="2"/>
  <c r="AT75" i="2"/>
  <c r="C77" i="2"/>
  <c r="S77" i="2"/>
  <c r="P32" i="2"/>
  <c r="P34" i="2" s="1"/>
  <c r="P36" i="2" s="1"/>
  <c r="P38" i="2" s="1"/>
  <c r="O44" i="2"/>
  <c r="F33" i="2"/>
  <c r="F27" i="2"/>
  <c r="F43" i="2" s="1"/>
  <c r="S44" i="2"/>
  <c r="C43" i="2"/>
  <c r="T44" i="2"/>
  <c r="E32" i="2"/>
  <c r="E34" i="2" s="1"/>
  <c r="E36" i="2" s="1"/>
  <c r="E38" i="2" s="1"/>
  <c r="D77" i="2"/>
  <c r="L77" i="2"/>
  <c r="T77" i="2"/>
  <c r="N33" i="2"/>
  <c r="Q77" i="2"/>
  <c r="H44" i="2"/>
  <c r="Q44" i="2"/>
  <c r="G43" i="2"/>
  <c r="K34" i="2"/>
  <c r="K36" i="2" s="1"/>
  <c r="K38" i="2" s="1"/>
  <c r="K43" i="2"/>
  <c r="L43" i="2"/>
  <c r="M43" i="2"/>
  <c r="S43" i="2"/>
  <c r="J27" i="2"/>
  <c r="J43" i="2" s="1"/>
  <c r="AS75" i="2"/>
  <c r="AW75" i="2"/>
  <c r="I77" i="2"/>
  <c r="AU75" i="2"/>
  <c r="V77" i="2"/>
  <c r="J33" i="2"/>
  <c r="R27" i="2"/>
  <c r="R43" i="2" s="1"/>
  <c r="D43" i="2"/>
  <c r="L34" i="2"/>
  <c r="L36" i="2" s="1"/>
  <c r="L38" i="2" s="1"/>
  <c r="R77" i="2"/>
  <c r="N77" i="2"/>
  <c r="U77" i="2"/>
  <c r="AU76" i="2"/>
  <c r="O43" i="2"/>
  <c r="G77" i="2"/>
  <c r="O77" i="2"/>
  <c r="E77" i="2"/>
  <c r="H43" i="2"/>
  <c r="T43" i="2"/>
  <c r="I32" i="2"/>
  <c r="M77" i="2"/>
  <c r="F77" i="2"/>
  <c r="G34" i="2"/>
  <c r="Q43" i="2"/>
  <c r="AS76" i="2"/>
  <c r="C34" i="2"/>
  <c r="C36" i="2" s="1"/>
  <c r="C38" i="2" s="1"/>
  <c r="D34" i="2"/>
  <c r="D36" i="2" s="1"/>
  <c r="D38" i="2" s="1"/>
  <c r="J77" i="2"/>
  <c r="N27" i="2"/>
  <c r="M34" i="2"/>
  <c r="M36" i="2" s="1"/>
  <c r="M38" i="2" s="1"/>
  <c r="AW76" i="2"/>
  <c r="V27" i="2"/>
  <c r="Q36" i="2"/>
  <c r="Q38" i="2" s="1"/>
  <c r="AU77" i="2" l="1"/>
  <c r="M40" i="2"/>
  <c r="M45" i="2"/>
  <c r="D40" i="2"/>
  <c r="D45" i="2"/>
  <c r="K40" i="2"/>
  <c r="K45" i="2"/>
  <c r="P40" i="2"/>
  <c r="P45" i="2"/>
  <c r="Q40" i="2"/>
  <c r="Q45" i="2"/>
  <c r="E40" i="2"/>
  <c r="E45" i="2"/>
  <c r="P44" i="2"/>
  <c r="H40" i="2"/>
  <c r="H45" i="2"/>
  <c r="C40" i="2"/>
  <c r="C45" i="2"/>
  <c r="L40" i="2"/>
  <c r="L45" i="2"/>
  <c r="F32" i="2"/>
  <c r="F34" i="2" s="1"/>
  <c r="F36" i="2" s="1"/>
  <c r="F38" i="2" s="1"/>
  <c r="AT77" i="2"/>
  <c r="AW77" i="2"/>
  <c r="I34" i="2"/>
  <c r="I36" i="2" s="1"/>
  <c r="I38" i="2" s="1"/>
  <c r="I44" i="2"/>
  <c r="E44" i="2"/>
  <c r="G36" i="2"/>
  <c r="G38" i="2" s="1"/>
  <c r="AV77" i="2"/>
  <c r="AS43" i="2"/>
  <c r="J32" i="2"/>
  <c r="AV43" i="2"/>
  <c r="AT43" i="2"/>
  <c r="AS77" i="2"/>
  <c r="R32" i="2"/>
  <c r="N32" i="2"/>
  <c r="N43" i="2"/>
  <c r="AU43" i="2" s="1"/>
  <c r="V32" i="2"/>
  <c r="V43" i="2"/>
  <c r="F40" i="2" l="1"/>
  <c r="F41" i="2" s="1"/>
  <c r="F45" i="2"/>
  <c r="AS45" i="2" s="1"/>
  <c r="G40" i="2"/>
  <c r="G45" i="2"/>
  <c r="F44" i="2"/>
  <c r="AS44" i="2" s="1"/>
  <c r="I40" i="2"/>
  <c r="I45" i="2"/>
  <c r="J34" i="2"/>
  <c r="J36" i="2" s="1"/>
  <c r="J38" i="2" s="1"/>
  <c r="J44" i="2"/>
  <c r="AT44" i="2" s="1"/>
  <c r="V34" i="2"/>
  <c r="V36" i="2" s="1"/>
  <c r="V38" i="2" s="1"/>
  <c r="V44" i="2"/>
  <c r="N34" i="2"/>
  <c r="N36" i="2" s="1"/>
  <c r="N44" i="2"/>
  <c r="AU44" i="2" s="1"/>
  <c r="R34" i="2"/>
  <c r="R36" i="2" s="1"/>
  <c r="R38" i="2" s="1"/>
  <c r="R44" i="2"/>
  <c r="AV44" i="2" s="1"/>
  <c r="R14" i="2"/>
  <c r="V15" i="2"/>
  <c r="V14" i="2"/>
  <c r="J15" i="2"/>
  <c r="J14" i="2"/>
  <c r="N15" i="2"/>
  <c r="N14" i="2"/>
  <c r="I16" i="2"/>
  <c r="M16" i="2"/>
  <c r="V4" i="2"/>
  <c r="V3" i="2"/>
  <c r="R15" i="2"/>
  <c r="R4" i="2"/>
  <c r="R3" i="2"/>
  <c r="C71" i="2"/>
  <c r="C61" i="2"/>
  <c r="R40" i="2" l="1"/>
  <c r="R45" i="2"/>
  <c r="AV45" i="2" s="1"/>
  <c r="V40" i="2"/>
  <c r="V45" i="2"/>
  <c r="J40" i="2"/>
  <c r="J41" i="2" s="1"/>
  <c r="J45" i="2"/>
  <c r="AT45" i="2" s="1"/>
  <c r="N38" i="2"/>
  <c r="R5" i="2"/>
  <c r="V5" i="2"/>
  <c r="J21" i="2"/>
  <c r="AT21" i="2" s="1"/>
  <c r="R21" i="2"/>
  <c r="AV21" i="2" s="1"/>
  <c r="M18" i="2"/>
  <c r="M22" i="2"/>
  <c r="M20" i="2"/>
  <c r="V16" i="2"/>
  <c r="N16" i="2"/>
  <c r="N20" i="2" s="1"/>
  <c r="N21" i="2"/>
  <c r="AU21" i="2" s="1"/>
  <c r="J19" i="2"/>
  <c r="AT19" i="2" s="1"/>
  <c r="I20" i="2"/>
  <c r="I18" i="2"/>
  <c r="R19" i="2"/>
  <c r="AV19" i="2" s="1"/>
  <c r="N19" i="2"/>
  <c r="AU19" i="2" s="1"/>
  <c r="R16" i="2"/>
  <c r="R20" i="2" s="1"/>
  <c r="J16" i="2"/>
  <c r="J18" i="2" s="1"/>
  <c r="V19" i="2"/>
  <c r="AW19" i="2" s="1"/>
  <c r="V21" i="2"/>
  <c r="AW21" i="2" s="1"/>
  <c r="N40" i="2" l="1"/>
  <c r="N41" i="2" s="1"/>
  <c r="N45" i="2"/>
  <c r="AU45" i="2" s="1"/>
  <c r="N18" i="2"/>
  <c r="V20" i="2"/>
  <c r="V18" i="2"/>
  <c r="R18" i="2"/>
  <c r="N22" i="2"/>
  <c r="R22" i="2"/>
  <c r="J20" i="2"/>
  <c r="AW4" i="2" l="1"/>
  <c r="AW3" i="2"/>
  <c r="AW70" i="2"/>
  <c r="AW69" i="2"/>
  <c r="AW68" i="2"/>
  <c r="AW67" i="2"/>
  <c r="AW66" i="2"/>
  <c r="AW65" i="2"/>
  <c r="AW64" i="2"/>
  <c r="AW63" i="2"/>
  <c r="AW60" i="2"/>
  <c r="AW59" i="2"/>
  <c r="AW58" i="2"/>
  <c r="AW57" i="2"/>
  <c r="AW56" i="2"/>
  <c r="AW55" i="2"/>
  <c r="AW54" i="2"/>
  <c r="AW53" i="2"/>
  <c r="AW52" i="2"/>
  <c r="AW51" i="2"/>
  <c r="AW50" i="2"/>
  <c r="AW49" i="2"/>
  <c r="AW39" i="2"/>
  <c r="AW35" i="2"/>
  <c r="AW33" i="2"/>
  <c r="AW31" i="2"/>
  <c r="AW30" i="2"/>
  <c r="AW29" i="2"/>
  <c r="AW28" i="2"/>
  <c r="AW26" i="2"/>
  <c r="AW15" i="2"/>
  <c r="AW14" i="2"/>
  <c r="AV70" i="2"/>
  <c r="AV69" i="2"/>
  <c r="AV68" i="2"/>
  <c r="AV67" i="2"/>
  <c r="AV66" i="2"/>
  <c r="AV65" i="2"/>
  <c r="AV64" i="2"/>
  <c r="AV63" i="2"/>
  <c r="AV60" i="2"/>
  <c r="AV59" i="2"/>
  <c r="AV58" i="2"/>
  <c r="AV57" i="2"/>
  <c r="AV56" i="2"/>
  <c r="AV55" i="2"/>
  <c r="AV54" i="2"/>
  <c r="AV53" i="2"/>
  <c r="AV52" i="2"/>
  <c r="AV51" i="2"/>
  <c r="AV50" i="2"/>
  <c r="AV49" i="2"/>
  <c r="AV39" i="2"/>
  <c r="AV35" i="2"/>
  <c r="AV33" i="2"/>
  <c r="AV31" i="2"/>
  <c r="AV30" i="2"/>
  <c r="AV29" i="2"/>
  <c r="AV28" i="2"/>
  <c r="AV26" i="2"/>
  <c r="AV15" i="2"/>
  <c r="AV14" i="2"/>
  <c r="AV4" i="2"/>
  <c r="AV3" i="2"/>
  <c r="V71" i="2"/>
  <c r="V61" i="2"/>
  <c r="AU70" i="2"/>
  <c r="AU69" i="2"/>
  <c r="AU68" i="2"/>
  <c r="AU67" i="2"/>
  <c r="AU66" i="2"/>
  <c r="AU65" i="2"/>
  <c r="AU64" i="2"/>
  <c r="AU63" i="2"/>
  <c r="AU60" i="2"/>
  <c r="AU59" i="2"/>
  <c r="AU58" i="2"/>
  <c r="AU57" i="2"/>
  <c r="AU56" i="2"/>
  <c r="AU55" i="2"/>
  <c r="AU54" i="2"/>
  <c r="AU53" i="2"/>
  <c r="AU52" i="2"/>
  <c r="AU51" i="2"/>
  <c r="AU50" i="2"/>
  <c r="AU49" i="2"/>
  <c r="AU39" i="2"/>
  <c r="AU35" i="2"/>
  <c r="AU33" i="2"/>
  <c r="AU31" i="2"/>
  <c r="AU30" i="2"/>
  <c r="AU29" i="2"/>
  <c r="AU28" i="2"/>
  <c r="AU26" i="2"/>
  <c r="AU15" i="2"/>
  <c r="AU14" i="2"/>
  <c r="AT70" i="2"/>
  <c r="AT69" i="2"/>
  <c r="AT68" i="2"/>
  <c r="AT67" i="2"/>
  <c r="AT66" i="2"/>
  <c r="AT65" i="2"/>
  <c r="AT64" i="2"/>
  <c r="AT63" i="2"/>
  <c r="AT60" i="2"/>
  <c r="AT59" i="2"/>
  <c r="AT58" i="2"/>
  <c r="AT57" i="2"/>
  <c r="AT56" i="2"/>
  <c r="AT55" i="2"/>
  <c r="AT54" i="2"/>
  <c r="AT53" i="2"/>
  <c r="AT52" i="2"/>
  <c r="AT51" i="2"/>
  <c r="AT50" i="2"/>
  <c r="AT49" i="2"/>
  <c r="AT39" i="2"/>
  <c r="AT35" i="2"/>
  <c r="AT33" i="2"/>
  <c r="AT31" i="2"/>
  <c r="AT30" i="2"/>
  <c r="AT29" i="2"/>
  <c r="AT28" i="2"/>
  <c r="AT26" i="2"/>
  <c r="AT15" i="2"/>
  <c r="AT14" i="2"/>
  <c r="AS70" i="2"/>
  <c r="AS69" i="2"/>
  <c r="AS68" i="2"/>
  <c r="AS67" i="2"/>
  <c r="AS66" i="2"/>
  <c r="AS65" i="2"/>
  <c r="AS64" i="2"/>
  <c r="AS63" i="2"/>
  <c r="AS60" i="2"/>
  <c r="AS59" i="2"/>
  <c r="AS58" i="2"/>
  <c r="AS57" i="2"/>
  <c r="AS56" i="2"/>
  <c r="AS55" i="2"/>
  <c r="AS54" i="2"/>
  <c r="AS53" i="2"/>
  <c r="AS52" i="2"/>
  <c r="AS51" i="2"/>
  <c r="AS50" i="2"/>
  <c r="AS49" i="2"/>
  <c r="AS39" i="2"/>
  <c r="AS35" i="2"/>
  <c r="AS33" i="2"/>
  <c r="AS31" i="2"/>
  <c r="AS30" i="2"/>
  <c r="AS29" i="2"/>
  <c r="AS28" i="2"/>
  <c r="AS26" i="2"/>
  <c r="AS15" i="2"/>
  <c r="AS14" i="2"/>
  <c r="U71" i="2"/>
  <c r="T71" i="2"/>
  <c r="S71" i="2"/>
  <c r="R71" i="2"/>
  <c r="Q71" i="2"/>
  <c r="P71" i="2"/>
  <c r="O71" i="2"/>
  <c r="N71" i="2"/>
  <c r="M71" i="2"/>
  <c r="L71" i="2"/>
  <c r="K71" i="2"/>
  <c r="J71" i="2"/>
  <c r="I71" i="2"/>
  <c r="H71" i="2"/>
  <c r="G71" i="2"/>
  <c r="F71" i="2"/>
  <c r="E71" i="2"/>
  <c r="D71" i="2"/>
  <c r="T61" i="2"/>
  <c r="S61" i="2"/>
  <c r="R61" i="2"/>
  <c r="Q61" i="2"/>
  <c r="P61" i="2"/>
  <c r="O61" i="2"/>
  <c r="N61" i="2"/>
  <c r="M61" i="2"/>
  <c r="L61" i="2"/>
  <c r="K61" i="2"/>
  <c r="J61" i="2"/>
  <c r="I61" i="2"/>
  <c r="H61" i="2"/>
  <c r="G61" i="2"/>
  <c r="F61" i="2"/>
  <c r="E61" i="2"/>
  <c r="D61" i="2"/>
  <c r="U61" i="2"/>
  <c r="T16" i="2"/>
  <c r="S16" i="2"/>
  <c r="Q16" i="2"/>
  <c r="P16" i="2"/>
  <c r="O16" i="2"/>
  <c r="L16" i="2"/>
  <c r="K16" i="2"/>
  <c r="H16" i="2"/>
  <c r="G16" i="2"/>
  <c r="F16" i="2"/>
  <c r="E16" i="2"/>
  <c r="D16" i="2"/>
  <c r="C16" i="2"/>
  <c r="U16" i="2"/>
  <c r="T5" i="2"/>
  <c r="S5" i="2"/>
  <c r="S8" i="2" s="1"/>
  <c r="Q5" i="2"/>
  <c r="Q8" i="2" s="1"/>
  <c r="P5" i="2"/>
  <c r="P7" i="2" s="1"/>
  <c r="O5" i="2"/>
  <c r="U5" i="2"/>
  <c r="U7" i="2" s="1"/>
  <c r="AW61" i="2" l="1"/>
  <c r="AT61" i="2"/>
  <c r="AS61" i="2"/>
  <c r="AU61" i="2"/>
  <c r="AS71" i="2"/>
  <c r="AU71" i="2"/>
  <c r="AW71" i="2"/>
  <c r="AV61" i="2"/>
  <c r="AT71" i="2"/>
  <c r="AV71" i="2"/>
  <c r="C18" i="2"/>
  <c r="C20" i="2"/>
  <c r="O20" i="2"/>
  <c r="O18" i="2"/>
  <c r="O22" i="2"/>
  <c r="E18" i="2"/>
  <c r="E20" i="2"/>
  <c r="I22" i="2"/>
  <c r="P20" i="2"/>
  <c r="P18" i="2"/>
  <c r="P22" i="2"/>
  <c r="Q20" i="2"/>
  <c r="Q18" i="2"/>
  <c r="Q22" i="2"/>
  <c r="F18" i="2"/>
  <c r="F20" i="2"/>
  <c r="J22" i="2"/>
  <c r="S18" i="2"/>
  <c r="S22" i="2"/>
  <c r="S20" i="2"/>
  <c r="G20" i="2"/>
  <c r="G18" i="2"/>
  <c r="G22" i="2"/>
  <c r="T18" i="2"/>
  <c r="T22" i="2"/>
  <c r="T20" i="2"/>
  <c r="H20" i="2"/>
  <c r="H18" i="2"/>
  <c r="H22" i="2"/>
  <c r="T12" i="2"/>
  <c r="K18" i="2"/>
  <c r="K22" i="2"/>
  <c r="K20" i="2"/>
  <c r="D18" i="2"/>
  <c r="D20" i="2"/>
  <c r="U18" i="2"/>
  <c r="U22" i="2"/>
  <c r="U20" i="2"/>
  <c r="L18" i="2"/>
  <c r="L22" i="2"/>
  <c r="L20" i="2"/>
  <c r="AU16" i="2"/>
  <c r="AS16" i="2"/>
  <c r="AT16" i="2"/>
  <c r="O8" i="2"/>
  <c r="O7" i="2"/>
  <c r="AW16" i="2"/>
  <c r="S12" i="2"/>
  <c r="AV16" i="2"/>
  <c r="P8" i="2"/>
  <c r="T8" i="2"/>
  <c r="V7" i="2"/>
  <c r="Q7" i="2"/>
  <c r="AV5" i="2"/>
  <c r="U8" i="2"/>
  <c r="U11" i="2" s="1"/>
  <c r="U12" i="2"/>
  <c r="S7" i="2"/>
  <c r="T7" i="2"/>
  <c r="T10" i="2" s="1"/>
  <c r="AT20" i="2" l="1"/>
  <c r="AW20" i="2"/>
  <c r="AV20" i="2"/>
  <c r="AU22" i="2"/>
  <c r="AT22" i="2"/>
  <c r="AS18" i="2"/>
  <c r="AV22" i="2"/>
  <c r="AV18" i="2"/>
  <c r="AU20" i="2"/>
  <c r="AW18" i="2"/>
  <c r="AS20" i="2"/>
  <c r="AU18" i="2"/>
  <c r="AT18" i="2"/>
  <c r="U10" i="2"/>
  <c r="AS25" i="2"/>
  <c r="AT25" i="2"/>
  <c r="S11" i="2"/>
  <c r="AU27" i="2"/>
  <c r="AU25" i="2"/>
  <c r="AW5" i="2"/>
  <c r="AW7" i="2"/>
  <c r="S10" i="2"/>
  <c r="V22" i="2"/>
  <c r="AW22" i="2" s="1"/>
  <c r="T11" i="2"/>
  <c r="R7" i="2"/>
  <c r="R8" i="2"/>
  <c r="V12" i="2"/>
  <c r="AW12" i="2" s="1"/>
  <c r="V8" i="2"/>
  <c r="AW8" i="2" s="1"/>
  <c r="AS27" i="2"/>
  <c r="AU32" i="2"/>
  <c r="U27" i="2"/>
  <c r="U43" i="2" s="1"/>
  <c r="AW43" i="2" s="1"/>
  <c r="AW25" i="2"/>
  <c r="AV2" i="2"/>
  <c r="AW2" i="2" s="1"/>
  <c r="AX2" i="2" s="1"/>
  <c r="AY2" i="2" s="1"/>
  <c r="AZ2" i="2" s="1"/>
  <c r="BA2" i="2" s="1"/>
  <c r="BB2" i="2" s="1"/>
  <c r="BC2" i="2" s="1"/>
  <c r="BD2" i="2" s="1"/>
  <c r="BE2" i="2" s="1"/>
  <c r="BF2" i="2" s="1"/>
  <c r="BG2" i="2" s="1"/>
  <c r="BH2" i="2" s="1"/>
  <c r="BI2" i="2" s="1"/>
  <c r="BJ2" i="2" s="1"/>
  <c r="BK2" i="2" s="1"/>
  <c r="BL2" i="2" s="1"/>
  <c r="BM2" i="2" s="1"/>
  <c r="BN2" i="2" s="1"/>
  <c r="BO2" i="2" s="1"/>
  <c r="BP2" i="2" s="1"/>
  <c r="BQ2" i="2" s="1"/>
  <c r="BR2" i="2" s="1"/>
  <c r="BS2" i="2" s="1"/>
  <c r="BT2" i="2" s="1"/>
  <c r="BU2" i="2" s="1"/>
  <c r="BV2" i="2" s="1"/>
  <c r="BW2" i="2" s="1"/>
  <c r="BX2" i="2" s="1"/>
  <c r="BY2" i="2" s="1"/>
  <c r="BZ2" i="2" s="1"/>
  <c r="CA2" i="2" s="1"/>
  <c r="CB2" i="2" s="1"/>
  <c r="CC2" i="2" s="1"/>
  <c r="CD2" i="2" s="1"/>
  <c r="CE2" i="2" s="1"/>
  <c r="CF2" i="2" s="1"/>
  <c r="CG2" i="2" s="1"/>
  <c r="CH2" i="2" s="1"/>
  <c r="CI2" i="2" s="1"/>
  <c r="CJ2" i="2" s="1"/>
  <c r="CK2" i="2" s="1"/>
  <c r="CL2" i="2" s="1"/>
  <c r="BJ256" i="3"/>
  <c r="BJ255" i="3"/>
  <c r="BJ254" i="3"/>
  <c r="BJ253" i="3"/>
  <c r="BJ252" i="3"/>
  <c r="BJ251" i="3"/>
  <c r="BJ250" i="3"/>
  <c r="BJ249" i="3"/>
  <c r="BJ248" i="3"/>
  <c r="BJ247" i="3"/>
  <c r="BJ246" i="3"/>
  <c r="BJ245" i="3"/>
  <c r="BJ244" i="3"/>
  <c r="BJ243" i="3"/>
  <c r="BJ242" i="3"/>
  <c r="BJ241" i="3"/>
  <c r="BJ240" i="3"/>
  <c r="BJ239" i="3"/>
  <c r="BJ238" i="3"/>
  <c r="BJ237" i="3"/>
  <c r="BJ236" i="3"/>
  <c r="BJ235" i="3"/>
  <c r="BJ234" i="3"/>
  <c r="BJ233" i="3"/>
  <c r="BJ232" i="3"/>
  <c r="BJ231" i="3"/>
  <c r="BJ230" i="3"/>
  <c r="BJ229" i="3"/>
  <c r="BJ228" i="3"/>
  <c r="BJ227" i="3"/>
  <c r="BJ226" i="3"/>
  <c r="BJ225" i="3"/>
  <c r="BJ224" i="3"/>
  <c r="BJ223" i="3"/>
  <c r="BJ222" i="3"/>
  <c r="BJ221" i="3"/>
  <c r="BJ220" i="3"/>
  <c r="BJ219" i="3"/>
  <c r="BJ218" i="3"/>
  <c r="BJ217" i="3"/>
  <c r="BJ216" i="3"/>
  <c r="BJ215" i="3"/>
  <c r="BJ214" i="3"/>
  <c r="BJ213" i="3"/>
  <c r="BJ212" i="3"/>
  <c r="BJ211" i="3"/>
  <c r="BJ210" i="3"/>
  <c r="BJ209" i="3"/>
  <c r="BJ208" i="3"/>
  <c r="BJ207" i="3"/>
  <c r="BJ206" i="3"/>
  <c r="BJ205" i="3"/>
  <c r="BJ204" i="3"/>
  <c r="BJ203" i="3"/>
  <c r="BJ202" i="3"/>
  <c r="BJ201" i="3"/>
  <c r="BJ200" i="3"/>
  <c r="BJ199" i="3"/>
  <c r="BJ198" i="3"/>
  <c r="BJ197" i="3"/>
  <c r="BJ196" i="3"/>
  <c r="BJ195" i="3"/>
  <c r="BJ194" i="3"/>
  <c r="BJ193" i="3"/>
  <c r="BJ192" i="3"/>
  <c r="BJ191" i="3"/>
  <c r="BJ190" i="3"/>
  <c r="BJ189" i="3"/>
  <c r="BJ188" i="3"/>
  <c r="BJ187" i="3"/>
  <c r="BJ186" i="3"/>
  <c r="BJ185" i="3"/>
  <c r="BJ184" i="3"/>
  <c r="BJ183" i="3"/>
  <c r="BJ182" i="3"/>
  <c r="BJ181" i="3"/>
  <c r="BJ180" i="3"/>
  <c r="BJ179" i="3"/>
  <c r="BJ178" i="3"/>
  <c r="BJ177" i="3"/>
  <c r="BJ176" i="3"/>
  <c r="BJ175" i="3"/>
  <c r="BJ174" i="3"/>
  <c r="BJ173" i="3"/>
  <c r="BJ172" i="3"/>
  <c r="BJ171" i="3"/>
  <c r="BJ170" i="3"/>
  <c r="BJ169" i="3"/>
  <c r="BJ168" i="3"/>
  <c r="BJ167" i="3"/>
  <c r="BJ166" i="3"/>
  <c r="BJ165" i="3"/>
  <c r="BJ164" i="3"/>
  <c r="BJ163" i="3"/>
  <c r="BJ162" i="3"/>
  <c r="BJ161" i="3"/>
  <c r="BJ160" i="3"/>
  <c r="BJ159" i="3"/>
  <c r="BJ158" i="3"/>
  <c r="BJ157" i="3"/>
  <c r="BJ156" i="3"/>
  <c r="BJ155" i="3"/>
  <c r="BJ154" i="3"/>
  <c r="BJ153" i="3"/>
  <c r="BJ152" i="3"/>
  <c r="BJ151" i="3"/>
  <c r="BJ150" i="3"/>
  <c r="BJ149" i="3"/>
  <c r="BJ148" i="3"/>
  <c r="BJ147" i="3"/>
  <c r="BJ146" i="3"/>
  <c r="BJ145" i="3"/>
  <c r="BJ144" i="3"/>
  <c r="BJ143" i="3"/>
  <c r="BJ142" i="3"/>
  <c r="BJ141" i="3"/>
  <c r="BJ140" i="3"/>
  <c r="BJ139" i="3"/>
  <c r="BJ138" i="3"/>
  <c r="BJ137" i="3"/>
  <c r="BJ136" i="3"/>
  <c r="BJ135" i="3"/>
  <c r="BJ134" i="3"/>
  <c r="BJ133" i="3"/>
  <c r="BJ132" i="3"/>
  <c r="BJ131" i="3"/>
  <c r="BJ130" i="3"/>
  <c r="BJ129" i="3"/>
  <c r="BJ128" i="3"/>
  <c r="BJ127" i="3"/>
  <c r="BJ126" i="3"/>
  <c r="BJ125" i="3"/>
  <c r="BJ124" i="3"/>
  <c r="BJ123" i="3"/>
  <c r="BJ122" i="3"/>
  <c r="BJ121" i="3"/>
  <c r="BJ120" i="3"/>
  <c r="BJ119" i="3"/>
  <c r="BJ118" i="3"/>
  <c r="BJ117" i="3"/>
  <c r="BJ116" i="3"/>
  <c r="BJ115" i="3"/>
  <c r="BJ114" i="3"/>
  <c r="BJ113" i="3"/>
  <c r="BJ112" i="3"/>
  <c r="BJ111" i="3"/>
  <c r="BJ110" i="3"/>
  <c r="BJ109" i="3"/>
  <c r="BJ108" i="3"/>
  <c r="BJ107" i="3"/>
  <c r="BJ106" i="3"/>
  <c r="BJ105" i="3"/>
  <c r="BJ104" i="3"/>
  <c r="BJ103" i="3"/>
  <c r="BJ102" i="3"/>
  <c r="BJ101" i="3"/>
  <c r="BJ100" i="3"/>
  <c r="BJ99" i="3"/>
  <c r="BJ98" i="3"/>
  <c r="BJ97" i="3"/>
  <c r="BJ96" i="3"/>
  <c r="BJ95" i="3"/>
  <c r="BJ94" i="3"/>
  <c r="BJ93" i="3"/>
  <c r="BJ92" i="3"/>
  <c r="BJ91" i="3"/>
  <c r="BJ90" i="3"/>
  <c r="BJ89" i="3"/>
  <c r="BJ88" i="3"/>
  <c r="BJ87" i="3"/>
  <c r="BJ86" i="3"/>
  <c r="BJ85" i="3"/>
  <c r="BJ84" i="3"/>
  <c r="BJ83" i="3"/>
  <c r="BJ82" i="3"/>
  <c r="BJ81" i="3"/>
  <c r="BJ80" i="3"/>
  <c r="BJ79" i="3"/>
  <c r="BJ78" i="3"/>
  <c r="BJ77" i="3"/>
  <c r="BJ76" i="3"/>
  <c r="BJ75" i="3"/>
  <c r="BJ74" i="3"/>
  <c r="BJ73" i="3"/>
  <c r="BJ72" i="3"/>
  <c r="BJ71" i="3"/>
  <c r="BJ70" i="3"/>
  <c r="BJ69" i="3"/>
  <c r="BJ68" i="3"/>
  <c r="BJ67" i="3"/>
  <c r="BJ66" i="3"/>
  <c r="BJ65" i="3"/>
  <c r="BJ64" i="3"/>
  <c r="BJ63" i="3"/>
  <c r="BJ62" i="3"/>
  <c r="BJ61" i="3"/>
  <c r="BJ60" i="3"/>
  <c r="BJ59" i="3"/>
  <c r="BJ58" i="3"/>
  <c r="BJ57" i="3"/>
  <c r="BJ56" i="3"/>
  <c r="BJ55" i="3"/>
  <c r="BJ54" i="3"/>
  <c r="BJ53" i="3"/>
  <c r="BJ52" i="3"/>
  <c r="BJ51" i="3"/>
  <c r="BJ50" i="3"/>
  <c r="BJ49" i="3"/>
  <c r="BJ48" i="3"/>
  <c r="BJ47" i="3"/>
  <c r="BJ46" i="3"/>
  <c r="BJ45" i="3"/>
  <c r="BJ44" i="3"/>
  <c r="BJ43" i="3"/>
  <c r="BJ42" i="3"/>
  <c r="BJ41" i="3"/>
  <c r="BJ40" i="3"/>
  <c r="BJ39" i="3"/>
  <c r="BJ38" i="3"/>
  <c r="BJ37" i="3"/>
  <c r="BJ36" i="3"/>
  <c r="BJ35" i="3"/>
  <c r="BJ34" i="3"/>
  <c r="BJ33" i="3"/>
  <c r="BJ32" i="3"/>
  <c r="BJ31" i="3"/>
  <c r="BJ30" i="3"/>
  <c r="BJ29" i="3"/>
  <c r="BJ28" i="3"/>
  <c r="BJ27" i="3"/>
  <c r="BJ26" i="3"/>
  <c r="BJ25" i="3"/>
  <c r="BJ24" i="3"/>
  <c r="BJ23" i="3"/>
  <c r="BJ22" i="3"/>
  <c r="BJ21" i="3"/>
  <c r="BJ20" i="3"/>
  <c r="BJ19" i="3"/>
  <c r="BJ18" i="3"/>
  <c r="BJ17" i="3"/>
  <c r="BJ16" i="3"/>
  <c r="BJ15" i="3"/>
  <c r="BJ14" i="3"/>
  <c r="BJ13" i="3"/>
  <c r="BJ12" i="3"/>
  <c r="BJ11" i="3"/>
  <c r="BJ10" i="3"/>
  <c r="BJ9" i="3"/>
  <c r="BJ8" i="3"/>
  <c r="BJ7" i="3"/>
  <c r="C8" i="1"/>
  <c r="C7" i="1"/>
  <c r="AT27" i="2" l="1"/>
  <c r="AV7" i="2"/>
  <c r="AV25" i="2"/>
  <c r="V10" i="2"/>
  <c r="AW10" i="2" s="1"/>
  <c r="AV8" i="2"/>
  <c r="V11" i="2"/>
  <c r="AW11" i="2" s="1"/>
  <c r="AS32" i="2"/>
  <c r="AU34" i="2"/>
  <c r="AV27" i="2"/>
  <c r="AW27" i="2"/>
  <c r="U32" i="2"/>
  <c r="BJ2" i="3"/>
  <c r="BJ3" i="3"/>
  <c r="BJ5" i="3"/>
  <c r="BJ4" i="3" s="1"/>
  <c r="BN4" i="3" s="1"/>
  <c r="C10" i="1"/>
  <c r="U34" i="2" l="1"/>
  <c r="U44" i="2"/>
  <c r="AW44" i="2" s="1"/>
  <c r="AT32" i="2"/>
  <c r="AU36" i="2"/>
  <c r="AU40" i="2"/>
  <c r="AS34" i="2"/>
  <c r="AV32" i="2"/>
  <c r="AW32" i="2"/>
  <c r="AT34" i="2" l="1"/>
  <c r="AS40" i="2"/>
  <c r="AS36" i="2"/>
  <c r="AV34" i="2"/>
  <c r="AW34" i="2"/>
  <c r="U36" i="2"/>
  <c r="U38" i="2" s="1"/>
  <c r="U40" i="2" l="1"/>
  <c r="U45" i="2"/>
  <c r="AW45" i="2" s="1"/>
  <c r="V41" i="2"/>
  <c r="AW40" i="2"/>
  <c r="AT36" i="2"/>
  <c r="AT40" i="2"/>
  <c r="AV36" i="2"/>
  <c r="R41" i="2" l="1"/>
  <c r="AV40" i="2"/>
  <c r="AW36" i="2"/>
</calcChain>
</file>

<file path=xl/sharedStrings.xml><?xml version="1.0" encoding="utf-8"?>
<sst xmlns="http://schemas.openxmlformats.org/spreadsheetml/2006/main" count="722" uniqueCount="664">
  <si>
    <t xml:space="preserve">Price </t>
  </si>
  <si>
    <t>MC</t>
  </si>
  <si>
    <t>Cash</t>
  </si>
  <si>
    <t>Debt</t>
  </si>
  <si>
    <t>EV</t>
  </si>
  <si>
    <t>PEN</t>
  </si>
  <si>
    <t>Company Overview:</t>
  </si>
  <si>
    <t>Founded: 2004</t>
  </si>
  <si>
    <t>Headquarted: Alameda</t>
  </si>
  <si>
    <t>Current CEO: Adam Elsesser (Founding Member)</t>
  </si>
  <si>
    <t>Employees: 4,500</t>
  </si>
  <si>
    <t>Rev, Earnings, FCF graph</t>
  </si>
  <si>
    <t>Mon, 01 Apr 2024 00:00:00 GMT</t>
  </si>
  <si>
    <t>Tue, 02 Apr 2024 00:00:00 GMT</t>
  </si>
  <si>
    <t>Wed, 03 Apr 2024 00:00:00 GMT</t>
  </si>
  <si>
    <t>Thu, 04 Apr 2024 00:00:00 GMT</t>
  </si>
  <si>
    <t>Fri, 05 Apr 2024 00:00:00 GMT</t>
  </si>
  <si>
    <t>Mon, 08 Apr 2024 00:00:00 GMT</t>
  </si>
  <si>
    <t>Tue, 09 Apr 2024 00:00:00 GMT</t>
  </si>
  <si>
    <t>Wed, 10 Apr 2024 00:00:00 GMT</t>
  </si>
  <si>
    <t>Thu, 11 Apr 2024 00:00:00 GMT</t>
  </si>
  <si>
    <t>Fri, 12 Apr 2024 00:00:00 GMT</t>
  </si>
  <si>
    <t>Mon, 15 Apr 2024 00:00:00 GMT</t>
  </si>
  <si>
    <t>Tue, 16 Apr 2024 00:00:00 GMT</t>
  </si>
  <si>
    <t>Wed, 17 Apr 2024 00:00:00 GMT</t>
  </si>
  <si>
    <t>Thu, 18 Apr 2024 00:00:00 GMT</t>
  </si>
  <si>
    <t>Fri, 19 Apr 2024 00:00:00 GMT</t>
  </si>
  <si>
    <t>Mon, 22 Apr 2024 00:00:00 GMT</t>
  </si>
  <si>
    <t>Tue, 23 Apr 2024 00:00:00 GMT</t>
  </si>
  <si>
    <t>Wed, 24 Apr 2024 00:00:00 GMT</t>
  </si>
  <si>
    <t>Thu, 25 Apr 2024 00:00:00 GMT</t>
  </si>
  <si>
    <t>Fri, 26 Apr 2024 00:00:00 GMT</t>
  </si>
  <si>
    <t>Mon, 29 Apr 2024 00:00:00 GMT</t>
  </si>
  <si>
    <t>Tue, 30 Apr 2024 00:00:00 GMT</t>
  </si>
  <si>
    <t>Wed, 01 May 2024 00:00:00 GMT</t>
  </si>
  <si>
    <t>Thu, 02 May 2024 00:00:00 GMT</t>
  </si>
  <si>
    <t>Fri, 03 May 2024 00:00:00 GMT</t>
  </si>
  <si>
    <t>Mon, 06 May 2024 00:00:00 GMT</t>
  </si>
  <si>
    <t>Tue, 07 May 2024 00:00:00 GMT</t>
  </si>
  <si>
    <t>Wed, 08 May 2024 00:00:00 GMT</t>
  </si>
  <si>
    <t>Thu, 09 May 2024 00:00:00 GMT</t>
  </si>
  <si>
    <t>Fri, 10 May 2024 00:00:00 GMT</t>
  </si>
  <si>
    <t>Mon, 13 May 2024 00:00:00 GMT</t>
  </si>
  <si>
    <t>Tue, 14 May 2024 00:00:00 GMT</t>
  </si>
  <si>
    <t>Wed, 15 May 2024 00:00:00 GMT</t>
  </si>
  <si>
    <t>Thu, 16 May 2024 00:00:00 GMT</t>
  </si>
  <si>
    <t>Fri, 17 May 2024 00:00:00 GMT</t>
  </si>
  <si>
    <t>Mon, 20 May 2024 00:00:00 GMT</t>
  </si>
  <si>
    <t>Tue, 21 May 2024 00:00:00 GMT</t>
  </si>
  <si>
    <t>Wed, 22 May 2024 00:00:00 GMT</t>
  </si>
  <si>
    <t>Thu, 23 May 2024 00:00:00 GMT</t>
  </si>
  <si>
    <t>Fri, 24 May 2024 00:00:00 GMT</t>
  </si>
  <si>
    <t>Tue, 28 May 2024 00:00:00 GMT</t>
  </si>
  <si>
    <t>Wed, 29 May 2024 00:00:00 GMT</t>
  </si>
  <si>
    <t>Thu, 30 May 2024 00:00:00 GMT</t>
  </si>
  <si>
    <t>Fri, 31 May 2024 00:00:00 GMT</t>
  </si>
  <si>
    <t>Mon, 03 Jun 2024 00:00:00 GMT</t>
  </si>
  <si>
    <t>Tue, 04 Jun 2024 00:00:00 GMT</t>
  </si>
  <si>
    <t>Wed, 05 Jun 2024 00:00:00 GMT</t>
  </si>
  <si>
    <t>Thu, 06 Jun 2024 00:00:00 GMT</t>
  </si>
  <si>
    <t>Fri, 07 Jun 2024 00:00:00 GMT</t>
  </si>
  <si>
    <t>Mon, 10 Jun 2024 00:00:00 GMT</t>
  </si>
  <si>
    <t>Tue, 11 Jun 2024 00:00:00 GMT</t>
  </si>
  <si>
    <t>Wed, 12 Jun 2024 00:00:00 GMT</t>
  </si>
  <si>
    <t>Thu, 13 Jun 2024 00:00:00 GMT</t>
  </si>
  <si>
    <t>Fri, 14 Jun 2024 00:00:00 GMT</t>
  </si>
  <si>
    <t>Mon, 17 Jun 2024 00:00:00 GMT</t>
  </si>
  <si>
    <t>Tue, 18 Jun 2024 00:00:00 GMT</t>
  </si>
  <si>
    <t>Thu, 20 Jun 2024 00:00:00 GMT</t>
  </si>
  <si>
    <t>Fri, 21 Jun 2024 00:00:00 GMT</t>
  </si>
  <si>
    <t>Mon, 24 Jun 2024 00:00:00 GMT</t>
  </si>
  <si>
    <t>Tue, 25 Jun 2024 00:00:00 GMT</t>
  </si>
  <si>
    <t>Wed, 26 Jun 2024 00:00:00 GMT</t>
  </si>
  <si>
    <t>Thu, 27 Jun 2024 00:00:00 GMT</t>
  </si>
  <si>
    <t>Fri, 28 Jun 2024 00:00:00 GMT</t>
  </si>
  <si>
    <t>Mon, 01 Jul 2024 00:00:00 GMT</t>
  </si>
  <si>
    <t>Tue, 02 Jul 2024 00:00:00 GMT</t>
  </si>
  <si>
    <t>Wed, 03 Jul 2024 00:00:00 GMT</t>
  </si>
  <si>
    <t>Fri, 05 Jul 2024 00:00:00 GMT</t>
  </si>
  <si>
    <t>Mon, 08 Jul 2024 00:00:00 GMT</t>
  </si>
  <si>
    <t>Tue, 09 Jul 2024 00:00:00 GMT</t>
  </si>
  <si>
    <t>Wed, 10 Jul 2024 00:00:00 GMT</t>
  </si>
  <si>
    <t>Thu, 11 Jul 2024 00:00:00 GMT</t>
  </si>
  <si>
    <t>Fri, 12 Jul 2024 00:00:00 GMT</t>
  </si>
  <si>
    <t>Mon, 15 Jul 2024 00:00:00 GMT</t>
  </si>
  <si>
    <t>Tue, 16 Jul 2024 00:00:00 GMT</t>
  </si>
  <si>
    <t>Wed, 17 Jul 2024 00:00:00 GMT</t>
  </si>
  <si>
    <t>Thu, 18 Jul 2024 00:00:00 GMT</t>
  </si>
  <si>
    <t>Fri, 19 Jul 2024 00:00:00 GMT</t>
  </si>
  <si>
    <t>Mon, 22 Jul 2024 00:00:00 GMT</t>
  </si>
  <si>
    <t>Tue, 23 Jul 2024 00:00:00 GMT</t>
  </si>
  <si>
    <t>Wed, 24 Jul 2024 00:00:00 GMT</t>
  </si>
  <si>
    <t>Thu, 25 Jul 2024 00:00:00 GMT</t>
  </si>
  <si>
    <t>Fri, 26 Jul 2024 00:00:00 GMT</t>
  </si>
  <si>
    <t>Mon, 29 Jul 2024 00:00:00 GMT</t>
  </si>
  <si>
    <t>Tue, 30 Jul 2024 00:00:00 GMT</t>
  </si>
  <si>
    <t>Wed, 31 Jul 2024 00:00:00 GMT</t>
  </si>
  <si>
    <t>Thu, 01 Aug 2024 00:00:00 GMT</t>
  </si>
  <si>
    <t>Fri, 02 Aug 2024 00:00:00 GMT</t>
  </si>
  <si>
    <t>Mon, 05 Aug 2024 00:00:00 GMT</t>
  </si>
  <si>
    <t>Tue, 06 Aug 2024 00:00:00 GMT</t>
  </si>
  <si>
    <t>Wed, 07 Aug 2024 00:00:00 GMT</t>
  </si>
  <si>
    <t>Thu, 08 Aug 2024 00:00:00 GMT</t>
  </si>
  <si>
    <t>Fri, 09 Aug 2024 00:00:00 GMT</t>
  </si>
  <si>
    <t>Mon, 12 Aug 2024 00:00:00 GMT</t>
  </si>
  <si>
    <t>Tue, 13 Aug 2024 00:00:00 GMT</t>
  </si>
  <si>
    <t>Wed, 14 Aug 2024 00:00:00 GMT</t>
  </si>
  <si>
    <t>Thu, 15 Aug 2024 00:00:00 GMT</t>
  </si>
  <si>
    <t>Fri, 16 Aug 2024 00:00:00 GMT</t>
  </si>
  <si>
    <t>Mon, 19 Aug 2024 00:00:00 GMT</t>
  </si>
  <si>
    <t>Tue, 20 Aug 2024 00:00:00 GMT</t>
  </si>
  <si>
    <t>Wed, 21 Aug 2024 00:00:00 GMT</t>
  </si>
  <si>
    <t>Thu, 22 Aug 2024 00:00:00 GMT</t>
  </si>
  <si>
    <t>Fri, 23 Aug 2024 00:00:00 GMT</t>
  </si>
  <si>
    <t>Mon, 26 Aug 2024 00:00:00 GMT</t>
  </si>
  <si>
    <t>Tue, 27 Aug 2024 00:00:00 GMT</t>
  </si>
  <si>
    <t>Wed, 28 Aug 2024 00:00:00 GMT</t>
  </si>
  <si>
    <t>Thu, 29 Aug 2024 00:00:00 GMT</t>
  </si>
  <si>
    <t>Fri, 30 Aug 2024 00:00:00 GMT</t>
  </si>
  <si>
    <t>Tue, 03 Sep 2024 00:00:00 GMT</t>
  </si>
  <si>
    <t>Wed, 04 Sep 2024 00:00:00 GMT</t>
  </si>
  <si>
    <t>Thu, 05 Sep 2024 00:00:00 GMT</t>
  </si>
  <si>
    <t>Fri, 06 Sep 2024 00:00:00 GMT</t>
  </si>
  <si>
    <t>Mon, 09 Sep 2024 00:00:00 GMT</t>
  </si>
  <si>
    <t>Tue, 10 Sep 2024 00:00:00 GMT</t>
  </si>
  <si>
    <t>Wed, 11 Sep 2024 00:00:00 GMT</t>
  </si>
  <si>
    <t>Thu, 12 Sep 2024 00:00:00 GMT</t>
  </si>
  <si>
    <t>Fri, 13 Sep 2024 00:00:00 GMT</t>
  </si>
  <si>
    <t>Mon, 16 Sep 2024 00:00:00 GMT</t>
  </si>
  <si>
    <t>Tue, 17 Sep 2024 00:00:00 GMT</t>
  </si>
  <si>
    <t>Wed, 18 Sep 2024 00:00:00 GMT</t>
  </si>
  <si>
    <t>Thu, 19 Sep 2024 00:00:00 GMT</t>
  </si>
  <si>
    <t>Fri, 20 Sep 2024 00:00:00 GMT</t>
  </si>
  <si>
    <t>Mon, 23 Sep 2024 00:00:00 GMT</t>
  </si>
  <si>
    <t>Tue, 24 Sep 2024 00:00:00 GMT</t>
  </si>
  <si>
    <t>Wed, 25 Sep 2024 00:00:00 GMT</t>
  </si>
  <si>
    <t>Thu, 26 Sep 2024 00:00:00 GMT</t>
  </si>
  <si>
    <t>Fri, 27 Sep 2024 00:00:00 GMT</t>
  </si>
  <si>
    <t>Mon, 30 Sep 2024 00:00:00 GMT</t>
  </si>
  <si>
    <t>Tue, 01 Oct 2024 00:00:00 GMT</t>
  </si>
  <si>
    <t>Wed, 02 Oct 2024 00:00:00 GMT</t>
  </si>
  <si>
    <t>Thu, 03 Oct 2024 00:00:00 GMT</t>
  </si>
  <si>
    <t>Fri, 04 Oct 2024 00:00:00 GMT</t>
  </si>
  <si>
    <t>Mon, 07 Oct 2024 00:00:00 GMT</t>
  </si>
  <si>
    <t>Tue, 08 Oct 2024 00:00:00 GMT</t>
  </si>
  <si>
    <t>Wed, 09 Oct 2024 00:00:00 GMT</t>
  </si>
  <si>
    <t>Thu, 10 Oct 2024 00:00:00 GMT</t>
  </si>
  <si>
    <t>Fri, 11 Oct 2024 00:00:00 GMT</t>
  </si>
  <si>
    <t>Mon, 14 Oct 2024 00:00:00 GMT</t>
  </si>
  <si>
    <t>Tue, 15 Oct 2024 00:00:00 GMT</t>
  </si>
  <si>
    <t>Wed, 16 Oct 2024 00:00:00 GMT</t>
  </si>
  <si>
    <t>Thu, 17 Oct 2024 00:00:00 GMT</t>
  </si>
  <si>
    <t>Fri, 18 Oct 2024 00:00:00 GMT</t>
  </si>
  <si>
    <t>Mon, 21 Oct 2024 00:00:00 GMT</t>
  </si>
  <si>
    <t>Tue, 22 Oct 2024 00:00:00 GMT</t>
  </si>
  <si>
    <t>Wed, 23 Oct 2024 00:00:00 GMT</t>
  </si>
  <si>
    <t>Thu, 24 Oct 2024 00:00:00 GMT</t>
  </si>
  <si>
    <t>Fri, 25 Oct 2024 00:00:00 GMT</t>
  </si>
  <si>
    <t>Mon, 28 Oct 2024 00:00:00 GMT</t>
  </si>
  <si>
    <t>Tue, 29 Oct 2024 00:00:00 GMT</t>
  </si>
  <si>
    <t>Wed, 30 Oct 2024 00:00:00 GMT</t>
  </si>
  <si>
    <t>Thu, 31 Oct 2024 00:00:00 GMT</t>
  </si>
  <si>
    <t>Fri, 01 Nov 2024 00:00:00 GMT</t>
  </si>
  <si>
    <t>Mon, 04 Nov 2024 00:00:00 GMT</t>
  </si>
  <si>
    <t>Tue, 05 Nov 2024 00:00:00 GMT</t>
  </si>
  <si>
    <t>Wed, 06 Nov 2024 00:00:00 GMT</t>
  </si>
  <si>
    <t>Thu, 07 Nov 2024 00:00:00 GMT</t>
  </si>
  <si>
    <t>Fri, 08 Nov 2024 00:00:00 GMT</t>
  </si>
  <si>
    <t>Mon, 11 Nov 2024 00:00:00 GMT</t>
  </si>
  <si>
    <t>Tue, 12 Nov 2024 00:00:00 GMT</t>
  </si>
  <si>
    <t>Wed, 13 Nov 2024 00:00:00 GMT</t>
  </si>
  <si>
    <t>Thu, 14 Nov 2024 00:00:00 GMT</t>
  </si>
  <si>
    <t>Fri, 15 Nov 2024 00:00:00 GMT</t>
  </si>
  <si>
    <t>Mon, 18 Nov 2024 00:00:00 GMT</t>
  </si>
  <si>
    <t>Tue, 19 Nov 2024 00:00:00 GMT</t>
  </si>
  <si>
    <t>Wed, 20 Nov 2024 00:00:00 GMT</t>
  </si>
  <si>
    <t>Thu, 21 Nov 2024 00:00:00 GMT</t>
  </si>
  <si>
    <t>Fri, 22 Nov 2024 00:00:00 GMT</t>
  </si>
  <si>
    <t>Mon, 25 Nov 2024 00:00:00 GMT</t>
  </si>
  <si>
    <t>Tue, 26 Nov 2024 00:00:00 GMT</t>
  </si>
  <si>
    <t>Wed, 27 Nov 2024 00:00:00 GMT</t>
  </si>
  <si>
    <t>Fri, 29 Nov 2024 00:00:00 GMT</t>
  </si>
  <si>
    <t>Mon, 02 Dec 2024 00:00:00 GMT</t>
  </si>
  <si>
    <t>Tue, 03 Dec 2024 00:00:00 GMT</t>
  </si>
  <si>
    <t>Wed, 04 Dec 2024 00:00:00 GMT</t>
  </si>
  <si>
    <t>Thu, 05 Dec 2024 00:00:00 GMT</t>
  </si>
  <si>
    <t>Fri, 06 Dec 2024 00:00:00 GMT</t>
  </si>
  <si>
    <t>Mon, 09 Dec 2024 00:00:00 GMT</t>
  </si>
  <si>
    <t>Tue, 10 Dec 2024 00:00:00 GMT</t>
  </si>
  <si>
    <t>Wed, 11 Dec 2024 00:00:00 GMT</t>
  </si>
  <si>
    <t>Thu, 12 Dec 2024 00:00:00 GMT</t>
  </si>
  <si>
    <t>Fri, 13 Dec 2024 00:00:00 GMT</t>
  </si>
  <si>
    <t>Mon, 16 Dec 2024 00:00:00 GMT</t>
  </si>
  <si>
    <t>Tue, 17 Dec 2024 00:00:00 GMT</t>
  </si>
  <si>
    <t>Wed, 18 Dec 2024 00:00:00 GMT</t>
  </si>
  <si>
    <t>Thu, 19 Dec 2024 00:00:00 GMT</t>
  </si>
  <si>
    <t>Fri, 20 Dec 2024 00:00:00 GMT</t>
  </si>
  <si>
    <t>Mon, 23 Dec 2024 00:00:00 GMT</t>
  </si>
  <si>
    <t>Tue, 24 Dec 2024 00:00:00 GMT</t>
  </si>
  <si>
    <t>Thu, 26 Dec 2024 00:00:00 GMT</t>
  </si>
  <si>
    <t>Fri, 27 Dec 2024 00:00:00 GMT</t>
  </si>
  <si>
    <t>Mon, 30 Dec 2024 00:00:00 GMT</t>
  </si>
  <si>
    <t>Tue, 31 Dec 2024 00:00:00 GMT</t>
  </si>
  <si>
    <t>Thu, 02 Jan 2025 00:00:00 GMT</t>
  </si>
  <si>
    <t>Fri, 03 Jan 2025 00:00:00 GMT</t>
  </si>
  <si>
    <t>Mon, 06 Jan 2025 00:00:00 GMT</t>
  </si>
  <si>
    <t>Tue, 07 Jan 2025 00:00:00 GMT</t>
  </si>
  <si>
    <t>Wed, 08 Jan 2025 00:00:00 GMT</t>
  </si>
  <si>
    <t>Fri, 10 Jan 2025 00:00:00 GMT</t>
  </si>
  <si>
    <t>Mon, 13 Jan 2025 00:00:00 GMT</t>
  </si>
  <si>
    <t>Tue, 14 Jan 2025 00:00:00 GMT</t>
  </si>
  <si>
    <t>Wed, 15 Jan 2025 00:00:00 GMT</t>
  </si>
  <si>
    <t>Thu, 16 Jan 2025 00:00:00 GMT</t>
  </si>
  <si>
    <t>Fri, 17 Jan 2025 00:00:00 GMT</t>
  </si>
  <si>
    <t>Tue, 21 Jan 2025 00:00:00 GMT</t>
  </si>
  <si>
    <t>Wed, 22 Jan 2025 00:00:00 GMT</t>
  </si>
  <si>
    <t>Thu, 23 Jan 2025 00:00:00 GMT</t>
  </si>
  <si>
    <t>Fri, 24 Jan 2025 00:00:00 GMT</t>
  </si>
  <si>
    <t>Mon, 27 Jan 2025 00:00:00 GMT</t>
  </si>
  <si>
    <t>Tue, 28 Jan 2025 00:00:00 GMT</t>
  </si>
  <si>
    <t>Wed, 29 Jan 2025 00:00:00 GMT</t>
  </si>
  <si>
    <t>Thu, 30 Jan 2025 00:00:00 GMT</t>
  </si>
  <si>
    <t>Fri, 31 Jan 2025 00:00:00 GMT</t>
  </si>
  <si>
    <t>Mon, 03 Feb 2025 00:00:00 GMT</t>
  </si>
  <si>
    <t>Tue, 04 Feb 2025 00:00:00 GMT</t>
  </si>
  <si>
    <t>Wed, 05 Feb 2025 00:00:00 GMT</t>
  </si>
  <si>
    <t>Thu, 06 Feb 2025 00:00:00 GMT</t>
  </si>
  <si>
    <t>Fri, 07 Feb 2025 00:00:00 GMT</t>
  </si>
  <si>
    <t>Mon, 10 Feb 2025 00:00:00 GMT</t>
  </si>
  <si>
    <t>Tue, 11 Feb 2025 00:00:00 GMT</t>
  </si>
  <si>
    <t>Wed, 12 Feb 2025 00:00:00 GMT</t>
  </si>
  <si>
    <t>Thu, 13 Feb 2025 00:00:00 GMT</t>
  </si>
  <si>
    <t>Fri, 14 Feb 2025 00:00:00 GMT</t>
  </si>
  <si>
    <t>Tue, 18 Feb 2025 00:00:00 GMT</t>
  </si>
  <si>
    <t>Wed, 19 Feb 2025 00:00:00 GMT</t>
  </si>
  <si>
    <t>Thu, 20 Feb 2025 00:00:00 GMT</t>
  </si>
  <si>
    <t>Fri, 21 Feb 2025 00:00:00 GMT</t>
  </si>
  <si>
    <t>Mon, 24 Feb 2025 00:00:00 GMT</t>
  </si>
  <si>
    <t>Tue, 25 Feb 2025 00:00:00 GMT</t>
  </si>
  <si>
    <t>Wed, 26 Feb 2025 00:00:00 GMT</t>
  </si>
  <si>
    <t>Thu, 27 Feb 2025 00:00:00 GMT</t>
  </si>
  <si>
    <t>Fri, 28 Feb 2025 00:00:00 GMT</t>
  </si>
  <si>
    <t>Mon, 03 Mar 2025 00:00:00 GMT</t>
  </si>
  <si>
    <t>Tue, 04 Mar 2025 00:00:00 GMT</t>
  </si>
  <si>
    <t>Wed, 05 Mar 2025 00:00:00 GMT</t>
  </si>
  <si>
    <t>Thu, 06 Mar 2025 00:00:00 GMT</t>
  </si>
  <si>
    <t>Fri, 07 Mar 2025 00:00:00 GMT</t>
  </si>
  <si>
    <t>Mon, 10 Mar 2025 00:00:00 GMT</t>
  </si>
  <si>
    <t>Tue, 11 Mar 2025 00:00:00 GMT</t>
  </si>
  <si>
    <t>Wed, 12 Mar 2025 00:00:00 GMT</t>
  </si>
  <si>
    <t>Thu, 13 Mar 2025 00:00:00 GMT</t>
  </si>
  <si>
    <t>Fri, 14 Mar 2025 00:00:00 GMT</t>
  </si>
  <si>
    <t>Mon, 17 Mar 2025 00:00:00 GMT</t>
  </si>
  <si>
    <t>Tue, 18 Mar 2025 00:00:00 GMT</t>
  </si>
  <si>
    <t>Wed, 19 Mar 2025 00:00:00 GMT</t>
  </si>
  <si>
    <t>Thu, 20 Mar 2025 00:00:00 GMT</t>
  </si>
  <si>
    <t>Fri, 21 Mar 2025 00:00:00 GMT</t>
  </si>
  <si>
    <t>Mon, 24 Mar 2025 00:00:00 GMT</t>
  </si>
  <si>
    <t>Tue, 25 Mar 2025 00:00:00 GMT</t>
  </si>
  <si>
    <t>Wed, 26 Mar 2025 00:00:00 GMT</t>
  </si>
  <si>
    <t>Thu, 27 Mar 2025 00:00:00 GMT</t>
  </si>
  <si>
    <t>Fri, 28 Mar 2025 00:00:00 GMT</t>
  </si>
  <si>
    <t>UTC Date</t>
  </si>
  <si>
    <t>Volume</t>
  </si>
  <si>
    <t>Open</t>
  </si>
  <si>
    <t>Low</t>
  </si>
  <si>
    <t>High</t>
  </si>
  <si>
    <t>Close</t>
  </si>
  <si>
    <t>Max</t>
  </si>
  <si>
    <t>Min</t>
  </si>
  <si>
    <t>SD σ</t>
  </si>
  <si>
    <t>Mean</t>
  </si>
  <si>
    <t>PEN 1 Year Historical Return Histogram (3/30/25)</t>
  </si>
  <si>
    <t>1D Change</t>
  </si>
  <si>
    <t>3 σ 1-Day Delta: ±</t>
  </si>
  <si>
    <t>The return distribution doesn't quite follow a normal distribution curve. There is slight implied upside to mean 1-day returns</t>
  </si>
  <si>
    <t>Notes/observations while working on historicals</t>
  </si>
  <si>
    <t>Apr</t>
  </si>
  <si>
    <t>July</t>
  </si>
  <si>
    <t>Oct</t>
  </si>
  <si>
    <t>Jan</t>
  </si>
  <si>
    <t>Q1'20</t>
  </si>
  <si>
    <t>Q2'20</t>
  </si>
  <si>
    <t>Q3'20</t>
  </si>
  <si>
    <t>Q4'20</t>
  </si>
  <si>
    <t>Q1'21</t>
  </si>
  <si>
    <t>Q2'21</t>
  </si>
  <si>
    <t>Q3'21</t>
  </si>
  <si>
    <t>Q4'21</t>
  </si>
  <si>
    <t>Q1'22</t>
  </si>
  <si>
    <t>Q2'22</t>
  </si>
  <si>
    <t>Q3'22</t>
  </si>
  <si>
    <t>Q4'22</t>
  </si>
  <si>
    <t>Q1'23</t>
  </si>
  <si>
    <t>Q2'23</t>
  </si>
  <si>
    <t>Q3'23</t>
  </si>
  <si>
    <t>Q4'23</t>
  </si>
  <si>
    <t>Q1'24</t>
  </si>
  <si>
    <t>Q2'24</t>
  </si>
  <si>
    <t>Q3'24</t>
  </si>
  <si>
    <t>Q4'24</t>
  </si>
  <si>
    <t>Q1'25</t>
  </si>
  <si>
    <t>Q2'25</t>
  </si>
  <si>
    <t>Q3'25</t>
  </si>
  <si>
    <t>Q4'25</t>
  </si>
  <si>
    <t>Q1'26</t>
  </si>
  <si>
    <t>Q2'26</t>
  </si>
  <si>
    <t>Q3'26</t>
  </si>
  <si>
    <t>Q4'26</t>
  </si>
  <si>
    <t>Quarterly</t>
  </si>
  <si>
    <t>Revenues</t>
  </si>
  <si>
    <t>Thrombectomy</t>
  </si>
  <si>
    <t>Embolization and Access</t>
  </si>
  <si>
    <t>Ttl Revenues</t>
  </si>
  <si>
    <t>U.S. Revenues</t>
  </si>
  <si>
    <t>International Revenues</t>
  </si>
  <si>
    <t>Total Revenue Growth Y/y</t>
  </si>
  <si>
    <t>Thrombectomy % of Ttl Revenues</t>
  </si>
  <si>
    <t>E &amp; A % of Ttl Revenues</t>
  </si>
  <si>
    <t>Thrombectomy Revenue Growth Y/y</t>
  </si>
  <si>
    <t>E &amp; A  Revenue Growth Y/y</t>
  </si>
  <si>
    <t>U.S. % of Ttl Revenues</t>
  </si>
  <si>
    <t>International % of Ttl Revenues</t>
  </si>
  <si>
    <t>U.S. Revenue Growth Y/y</t>
  </si>
  <si>
    <t>International Revenue Growth Y/y</t>
  </si>
  <si>
    <t>Cost of Revenues</t>
  </si>
  <si>
    <t>GP</t>
  </si>
  <si>
    <t>R&amp;D</t>
  </si>
  <si>
    <t>SG&amp;A</t>
  </si>
  <si>
    <t>Acquired In-Process R&amp;D</t>
  </si>
  <si>
    <t>Impairment Charges</t>
  </si>
  <si>
    <t>Operating Income</t>
  </si>
  <si>
    <t>Interest and Other Income, net</t>
  </si>
  <si>
    <t>Pretax Income</t>
  </si>
  <si>
    <t>Taxes</t>
  </si>
  <si>
    <t>SC</t>
  </si>
  <si>
    <t>EPS</t>
  </si>
  <si>
    <t>Cash &amp; C.E.s</t>
  </si>
  <si>
    <t>Marketable Investments</t>
  </si>
  <si>
    <t>A/R</t>
  </si>
  <si>
    <t>Inventories</t>
  </si>
  <si>
    <t>Prepaid Expenses</t>
  </si>
  <si>
    <t>PP&amp;E</t>
  </si>
  <si>
    <t>Financing Leases</t>
  </si>
  <si>
    <t>Operating Leases</t>
  </si>
  <si>
    <t>Intangible Assets, net</t>
  </si>
  <si>
    <t>Goodwill</t>
  </si>
  <si>
    <t>Deffered Tax Assets</t>
  </si>
  <si>
    <t>Other LT Assets</t>
  </si>
  <si>
    <t>Ttl Assets</t>
  </si>
  <si>
    <t>A/P</t>
  </si>
  <si>
    <t>Accrued Liabilities</t>
  </si>
  <si>
    <t>Current Operating Lease Liabilities</t>
  </si>
  <si>
    <t>Current Finance Lease Liabilities</t>
  </si>
  <si>
    <t>Non-current Operating Lease Liabilities</t>
  </si>
  <si>
    <t>Non-current Finance Lease Liabilities</t>
  </si>
  <si>
    <t>Other Liabilities</t>
  </si>
  <si>
    <t>SE</t>
  </si>
  <si>
    <t>Ttl L + SE</t>
  </si>
  <si>
    <t>(important to track/sum the total impairment cost in model)</t>
  </si>
  <si>
    <t>Strong track record of organic product development and commercial expansion that has established the foundation of our global organization</t>
  </si>
  <si>
    <t>Capital Structure Snapshot:</t>
  </si>
  <si>
    <r>
      <t xml:space="preserve">Penumbra, Inc. </t>
    </r>
    <r>
      <rPr>
        <b/>
        <sz val="11"/>
        <color theme="1"/>
        <rFont val="Calibre"/>
      </rPr>
      <t>designs, develops, manufactures,</t>
    </r>
    <r>
      <rPr>
        <sz val="11"/>
        <color theme="1"/>
        <rFont val="Calibre"/>
      </rPr>
      <t xml:space="preserve"> and </t>
    </r>
    <r>
      <rPr>
        <b/>
        <sz val="11"/>
        <color theme="1"/>
        <rFont val="Calibre"/>
      </rPr>
      <t>markets medical devices</t>
    </r>
    <r>
      <rPr>
        <sz val="11"/>
        <color theme="1"/>
        <rFont val="Calibre"/>
      </rPr>
      <t xml:space="preserve"> in the </t>
    </r>
    <r>
      <rPr>
        <b/>
        <sz val="11"/>
        <color theme="1"/>
        <rFont val="Calibre"/>
      </rPr>
      <t>United States and internationally</t>
    </r>
  </si>
  <si>
    <r>
      <t xml:space="preserve">the </t>
    </r>
    <r>
      <rPr>
        <b/>
        <sz val="11"/>
        <color theme="1"/>
        <rFont val="Calibre"/>
      </rPr>
      <t>Thrombectomy</t>
    </r>
    <r>
      <rPr>
        <sz val="11"/>
        <color theme="1"/>
        <rFont val="Calibre"/>
      </rPr>
      <t xml:space="preserve"> market (entered 2007)</t>
    </r>
  </si>
  <si>
    <r>
      <t xml:space="preserve">the </t>
    </r>
    <r>
      <rPr>
        <b/>
        <sz val="11"/>
        <color theme="1"/>
        <rFont val="Calibre"/>
      </rPr>
      <t>Access</t>
    </r>
    <r>
      <rPr>
        <sz val="11"/>
        <color theme="1"/>
        <rFont val="Calibre"/>
      </rPr>
      <t xml:space="preserve"> market (entered 2008)</t>
    </r>
  </si>
  <si>
    <r>
      <t xml:space="preserve">the </t>
    </r>
    <r>
      <rPr>
        <b/>
        <sz val="11"/>
        <color theme="1"/>
        <rFont val="Calibre"/>
      </rPr>
      <t>Embolization</t>
    </r>
    <r>
      <rPr>
        <sz val="11"/>
        <color theme="1"/>
        <rFont val="Calibre"/>
      </rPr>
      <t xml:space="preserve"> market (entered 2011)</t>
    </r>
  </si>
  <si>
    <r>
      <t xml:space="preserve">the </t>
    </r>
    <r>
      <rPr>
        <b/>
        <sz val="11"/>
        <color theme="1"/>
        <rFont val="Calibre"/>
      </rPr>
      <t>Neurosurgical</t>
    </r>
    <r>
      <rPr>
        <sz val="11"/>
        <color theme="1"/>
        <rFont val="Calibre"/>
      </rPr>
      <t xml:space="preserve"> market (entered 2014)</t>
    </r>
  </si>
  <si>
    <r>
      <t xml:space="preserve">the </t>
    </r>
    <r>
      <rPr>
        <b/>
        <sz val="11"/>
        <color theme="1"/>
        <rFont val="Calibre"/>
      </rPr>
      <t>Immersive</t>
    </r>
    <r>
      <rPr>
        <sz val="11"/>
        <color theme="1"/>
        <rFont val="Calibre"/>
      </rPr>
      <t xml:space="preserve"> </t>
    </r>
    <r>
      <rPr>
        <b/>
        <sz val="11"/>
        <color theme="1"/>
        <rFont val="Calibre"/>
      </rPr>
      <t>Healthcare</t>
    </r>
    <r>
      <rPr>
        <sz val="11"/>
        <color theme="1"/>
        <rFont val="Calibre"/>
      </rPr>
      <t xml:space="preserve"> market (entered 2020, </t>
    </r>
    <r>
      <rPr>
        <b/>
        <sz val="11"/>
        <color theme="1"/>
        <rFont val="Calibre"/>
      </rPr>
      <t>exited September 2024</t>
    </r>
    <r>
      <rPr>
        <sz val="11"/>
        <color theme="1"/>
        <rFont val="Calibre"/>
      </rPr>
      <t xml:space="preserve">) &lt;-- Decision to wind down and exit the Immersive Healthcare business, and as a result, incurred a $115.3 million impairment charge at year end </t>
    </r>
  </si>
  <si>
    <t>The Company sells its products through direct sales organizations and distributors</t>
  </si>
  <si>
    <t>-</t>
  </si>
  <si>
    <t>Thrombosis: Thrombosis is the formation of a blood clot (thrombus) inside a blood vessel, obstructing blood flow</t>
  </si>
  <si>
    <r>
      <t xml:space="preserve">Can occur in arteries </t>
    </r>
    <r>
      <rPr>
        <b/>
        <sz val="11"/>
        <color theme="1"/>
        <rFont val="Calibre"/>
      </rPr>
      <t>(arterial thrombosis)</t>
    </r>
    <r>
      <rPr>
        <sz val="11"/>
        <color theme="1"/>
        <rFont val="Calibre"/>
      </rPr>
      <t xml:space="preserve"> or veins </t>
    </r>
    <r>
      <rPr>
        <b/>
        <sz val="11"/>
        <color theme="1"/>
        <rFont val="Calibre"/>
      </rPr>
      <t>(venous thrombosis)</t>
    </r>
    <r>
      <rPr>
        <sz val="11"/>
        <color theme="1"/>
        <rFont val="Calibre"/>
      </rPr>
      <t xml:space="preserve"> &lt;-- Penumbra's product are FDA-approved for arterial cases, but have been used off-label for </t>
    </r>
    <r>
      <rPr>
        <b/>
        <sz val="11"/>
        <color theme="1"/>
        <rFont val="Calibre"/>
      </rPr>
      <t>DVT/PE</t>
    </r>
    <r>
      <rPr>
        <sz val="11"/>
        <color theme="1"/>
        <rFont val="Calibre"/>
      </rPr>
      <t xml:space="preserve"> in some cases </t>
    </r>
  </si>
  <si>
    <t>The Company expects to continue developing and building a portfolio of products, including thrombectomy, embolization and access technologies, while iterating on currently available products</t>
  </si>
  <si>
    <r>
      <t xml:space="preserve">The Company </t>
    </r>
    <r>
      <rPr>
        <b/>
        <sz val="11"/>
        <color theme="1"/>
        <rFont val="Calibre"/>
      </rPr>
      <t>sells products to healthcare providers</t>
    </r>
    <r>
      <rPr>
        <sz val="11"/>
        <color theme="1"/>
        <rFont val="Calibre"/>
      </rPr>
      <t xml:space="preserve"> primarily </t>
    </r>
    <r>
      <rPr>
        <b/>
        <sz val="11"/>
        <color theme="1"/>
        <rFont val="Calibre"/>
      </rPr>
      <t>through our direct sales organization</t>
    </r>
    <r>
      <rPr>
        <sz val="11"/>
        <color theme="1"/>
        <rFont val="Calibre"/>
      </rPr>
      <t xml:space="preserve"> in the </t>
    </r>
    <r>
      <rPr>
        <b/>
        <sz val="11"/>
        <color theme="1"/>
        <rFont val="Calibre"/>
      </rPr>
      <t xml:space="preserve">United States, </t>
    </r>
    <r>
      <rPr>
        <sz val="11"/>
        <color theme="1"/>
        <rFont val="Calibre"/>
      </rPr>
      <t>most of</t>
    </r>
    <r>
      <rPr>
        <b/>
        <sz val="11"/>
        <color theme="1"/>
        <rFont val="Calibre"/>
      </rPr>
      <t xml:space="preserve"> Europe, Canada </t>
    </r>
    <r>
      <rPr>
        <sz val="11"/>
        <color theme="1"/>
        <rFont val="Calibre"/>
      </rPr>
      <t>and</t>
    </r>
    <r>
      <rPr>
        <b/>
        <sz val="11"/>
        <color theme="1"/>
        <rFont val="Calibre"/>
      </rPr>
      <t xml:space="preserve"> Australia</t>
    </r>
    <r>
      <rPr>
        <sz val="11"/>
        <color theme="1"/>
        <rFont val="Calibre"/>
      </rPr>
      <t xml:space="preserve">, </t>
    </r>
    <r>
      <rPr>
        <b/>
        <sz val="11"/>
        <color theme="1"/>
        <rFont val="Calibre"/>
      </rPr>
      <t>as well as through distributors in select international markets (China, APac, LatAm)</t>
    </r>
  </si>
  <si>
    <t>It will be important to track and quantify the total write-down/impairment of Immersive</t>
  </si>
  <si>
    <t>As stated in the business overview section: "Generally, when introducing a next generation product or a new product designed to replace a current product, sales of the earlier generation product or the product replaced decline"</t>
  </si>
  <si>
    <t>Similar to BioPharma, economic returns decline once a treatment option "goes generic," or a newer, more effective form of treatment is developed/commercialized</t>
  </si>
  <si>
    <t>It will be important to track depreciation and ammortization expenses for the various product lines</t>
  </si>
  <si>
    <t>Inventories, and inventory fair-value adjustments will also be important figures to track. Management must be incredibly dilligent with revenue/profit maximization models for their current portfolio, and continue to develop a pipeline of new/innovative products</t>
  </si>
  <si>
    <t>During the year ended December 31, 2024, The Company permanently ceased sales of Immersive Healthcare products and related commercial operations</t>
  </si>
  <si>
    <r>
      <t xml:space="preserve">Generally, </t>
    </r>
    <r>
      <rPr>
        <b/>
        <sz val="11"/>
        <color theme="1"/>
        <rFont val="Calibre"/>
      </rPr>
      <t xml:space="preserve">when introducing a next generation product </t>
    </r>
    <r>
      <rPr>
        <sz val="11"/>
        <color theme="1"/>
        <rFont val="Calibre"/>
      </rPr>
      <t xml:space="preserve">or a new product designed to replace a current product, </t>
    </r>
    <r>
      <rPr>
        <b/>
        <sz val="11"/>
        <color theme="1"/>
        <rFont val="Calibre"/>
      </rPr>
      <t>sales of the earlier generation product or the product replaced decline</t>
    </r>
  </si>
  <si>
    <r>
      <t xml:space="preserve">Similar to BioPharma, </t>
    </r>
    <r>
      <rPr>
        <b/>
        <sz val="11"/>
        <color theme="1"/>
        <rFont val="Calibre"/>
      </rPr>
      <t>economic returns decline once a treatment option "goes generic," or a newer, more effective form of treatment is developed/commercialized</t>
    </r>
  </si>
  <si>
    <t>The Company's research and development activities are centered around development of new products and clinical activities designed to support regulatory submissions and demonstrate product efficacy to regulating bodies and medical professionals</t>
  </si>
  <si>
    <t>The Business was impacted by the COVID-19 Pandemic</t>
  </si>
  <si>
    <t>The pandemic impacted the performance of certain elective and semi-elective medical procedures, which were deferred to provide resources to fight the pandemic</t>
  </si>
  <si>
    <t>The pandemic impacted global supply chains and labor markets, resulting in cost inflation and raw material supply constraints for The Company and wider economy</t>
  </si>
  <si>
    <t>Markets:</t>
  </si>
  <si>
    <t>The Company concentrates on improving treatment outcomes for patients with certain forms of vascular disease</t>
  </si>
  <si>
    <t>Vascular disease refers to any condition that affects the circulatory system and typically manifests as a blockage or rupture of an artery or a vein</t>
  </si>
  <si>
    <r>
      <t>The Company has successfully developed, obtained regulatory clearance or approval for, and</t>
    </r>
    <r>
      <rPr>
        <b/>
        <sz val="11"/>
        <color theme="1"/>
        <rFont val="Calibre"/>
      </rPr>
      <t xml:space="preserve"> introduced products into a range of markets including: </t>
    </r>
  </si>
  <si>
    <t>While reliable third-party data is not available for many markets outside the United States, we believe there are substantial additional market opportunities for our thrombectomy and embolization and access products throughout the world.</t>
  </si>
  <si>
    <t>General Definitions:</t>
  </si>
  <si>
    <t>Penumbra Operating Definitions</t>
  </si>
  <si>
    <t>Disruption of blood flow to the vasculature can have serious adverse consequences, including death and morbidity, and our solutions address the intervention of these diseases</t>
  </si>
  <si>
    <t>Thrombectomy Market:</t>
  </si>
  <si>
    <t>Studies have shown that patients treated with mechanical thrombectomy had improved functional outcomes compared with treatments such as tissue-type plasminogen activator (tPA) alone</t>
  </si>
  <si>
    <t>There are approximately 2.15 million incidences of clot in the vasculature each year in the United States, the vast majority of which do not currently receive mechanical thrombectomy intervention</t>
  </si>
  <si>
    <t>Common conditions The Company is focused on are:</t>
  </si>
  <si>
    <t>Deep Vein Thrombosis ("DVT"):</t>
  </si>
  <si>
    <t>Acute Limb Ischemia ("ALI"):</t>
  </si>
  <si>
    <t>Ischemic Stroke:</t>
  </si>
  <si>
    <t>PE is a condition that occurs when blood clots, which typically travel from the veins in the legs, get caught in the lungs</t>
  </si>
  <si>
    <t>Approximately 1.2 million PEs occur annually worldwide. In the U.S., there are approximately 350,000 PEs per year causing approximately 50,000 annual deaths according to the Centers for Disease Control and Prevention</t>
  </si>
  <si>
    <t>Embolism: An embolism occurs when a blood clot (thrombus), air bubble, fat globule, or other foreign material travels through the bloodstream and lodges in a blood vessel, blocking blood flow.</t>
  </si>
  <si>
    <t>Thrombus/I : A clot that forms and remains in place inside a blood vessel</t>
  </si>
  <si>
    <t>Embolization and Access Market:</t>
  </si>
  <si>
    <t>The embolization and access markets are comprised of various diseases and conditions throughout the body, such as aneurysm, hemorrhagic stroke, vessel malformations, bleeding, endoleaks, ovarian veins, varicoceles, and hematomas, as well as products that provide access to the diseased area.</t>
  </si>
  <si>
    <t>Aneurysm:</t>
  </si>
  <si>
    <t xml:space="preserve">Hemorrhagic Stroke: </t>
  </si>
  <si>
    <t>Most endovascular procedures require access to the diseased area using guidewires and catheters</t>
  </si>
  <si>
    <t>Accessing the brain through the tortuous neurovasculature has been a substantial challenge for physicians treating vascular disorders in the brain</t>
  </si>
  <si>
    <t>Companies that developed catheters and other products for neurovascular applications historically leveraged technologies developed for use in coronary or peripheral vascular interventions</t>
  </si>
  <si>
    <t>This approach created challenges given the vastly different anatomy, structure and sizing of the neurovascular vessels.</t>
  </si>
  <si>
    <t>Approximately 800,000 annual PEs outside the U.S. and approximately 350,000 of them are massive or sub-massive, making them eligible for thrombectomy</t>
  </si>
  <si>
    <t>U.S. # of PEs per year:</t>
  </si>
  <si>
    <t>~350k</t>
  </si>
  <si>
    <t>~800k</t>
  </si>
  <si>
    <t>Clot from Arteriovenous Graft or Fistula:</t>
  </si>
  <si>
    <t>~1.2 mil</t>
  </si>
  <si>
    <t>DVT occurs when a clot forms in a deep vein, usually in the leg and sometimes in the arm</t>
  </si>
  <si>
    <t>Sum total estimated PEs per year:</t>
  </si>
  <si>
    <t>ALI occurs when the leg experiences an occlusion in an artery, caused either by a blood clot in the artery or by emboli from the heart or another place within the body that travel to the leg and cause an occlusion</t>
  </si>
  <si>
    <t>Approximately 2.5 million ALIs occur annually and that there are approximately 16 million ALI survivors worldwide.</t>
  </si>
  <si>
    <t>Approximately 2.25 million annual ALIs outside the U.S. that are eligible for thrombectomy</t>
  </si>
  <si>
    <t>A stroke occurs when a blood vessel that carries oxygen and nutrients to the brain is either blocked by a clot or bursts (ruptures)</t>
  </si>
  <si>
    <t>It is estimated that nearly 14 million strokes occur annually and that there are more than 80 million survivors of stroke globally</t>
  </si>
  <si>
    <t>Ischemic strokes represent approximately 87% of strokes, or approximately 700,000 patients annually, in the United States</t>
  </si>
  <si>
    <t>Outside of the United States, we estimate, based on published sources, that there are approximately 9.7 million ischemic strokes annually and that 1.9 million of these patients are treatable with mechanical thrombectomy</t>
  </si>
  <si>
    <t>Nearly 800,000 strokes occur annually, and lead to approximately 150,000 deaths per year.</t>
  </si>
  <si>
    <t>ACS includes various conditions associated with sudden, reduced blood flow to the heart</t>
  </si>
  <si>
    <t>We estimate there are approximately 8 million annual AMIs outside the U.S. that are eligible for mechanical thrombectomy.</t>
  </si>
  <si>
    <t>Arteriovenous grafts or fistulas are created for access to dialyze the blood of patients with end-stage renal disease.</t>
  </si>
  <si>
    <t>It is common for clots to form within these access vessels when patients undergo dialysis long-term</t>
  </si>
  <si>
    <r>
      <t>T</t>
    </r>
    <r>
      <rPr>
        <b/>
        <sz val="11"/>
        <color theme="1"/>
        <rFont val="Calibre"/>
      </rPr>
      <t>he Company classifies end markets according to the anatomic location</t>
    </r>
    <r>
      <rPr>
        <sz val="11"/>
        <color theme="1"/>
        <rFont val="Calibre"/>
      </rPr>
      <t xml:space="preserve"> of the disorder and </t>
    </r>
    <r>
      <rPr>
        <b/>
        <sz val="11"/>
        <color theme="1"/>
        <rFont val="Calibre"/>
      </rPr>
      <t>divides them into two</t>
    </r>
    <r>
      <rPr>
        <sz val="11"/>
        <color theme="1"/>
        <rFont val="Calibre"/>
      </rPr>
      <t xml:space="preserve"> categories:</t>
    </r>
  </si>
  <si>
    <r>
      <rPr>
        <b/>
        <sz val="11"/>
        <color theme="1"/>
        <rFont val="Calibre"/>
      </rPr>
      <t>Neuro</t>
    </r>
    <r>
      <rPr>
        <sz val="11"/>
        <color theme="1"/>
        <rFont val="Calibre"/>
      </rPr>
      <t>, which included neurovascular and neurosurgical</t>
    </r>
  </si>
  <si>
    <r>
      <rPr>
        <b/>
        <sz val="11"/>
        <color theme="1"/>
        <rFont val="Calibre"/>
      </rPr>
      <t>Vascular</t>
    </r>
    <r>
      <rPr>
        <sz val="11"/>
        <color theme="1"/>
        <rFont val="Calibre"/>
      </rPr>
      <t>, which included peripheral vascular and cardiovascular.</t>
    </r>
  </si>
  <si>
    <r>
      <rPr>
        <b/>
        <sz val="11"/>
        <color theme="1"/>
        <rFont val="Calibre"/>
      </rPr>
      <t>The Company began to classify</t>
    </r>
    <r>
      <rPr>
        <sz val="11"/>
        <color theme="1"/>
        <rFont val="Calibre"/>
      </rPr>
      <t xml:space="preserve"> end markets based on the</t>
    </r>
    <r>
      <rPr>
        <b/>
        <sz val="11"/>
        <color theme="1"/>
        <rFont val="Calibre"/>
      </rPr>
      <t xml:space="preserve"> type of procedure being performed</t>
    </r>
    <r>
      <rPr>
        <sz val="11"/>
        <color theme="1"/>
        <rFont val="Calibre"/>
      </rPr>
      <t xml:space="preserve"> (beginning with the three months ended December 31, 2023), and therefore </t>
    </r>
    <r>
      <rPr>
        <b/>
        <sz val="11"/>
        <color theme="1"/>
        <rFont val="Calibre"/>
      </rPr>
      <t>divide markets into two</t>
    </r>
    <r>
      <rPr>
        <sz val="11"/>
        <color theme="1"/>
        <rFont val="Calibre"/>
      </rPr>
      <t xml:space="preserve"> categories: </t>
    </r>
  </si>
  <si>
    <r>
      <rPr>
        <b/>
        <sz val="11"/>
        <color theme="1"/>
        <rFont val="Calibre"/>
      </rPr>
      <t>Thrombectomy</t>
    </r>
    <r>
      <rPr>
        <sz val="11"/>
        <color theme="1"/>
        <rFont val="Calibre"/>
      </rPr>
      <t>, which includes products that treat conditions such as pulmonary embolism, deep vein thrombosis, acute limb ischemia, ischemic stroke and coronary disease</t>
    </r>
  </si>
  <si>
    <r>
      <rPr>
        <b/>
        <sz val="11"/>
        <color theme="1"/>
        <rFont val="Calibre"/>
      </rPr>
      <t>Embolization and Access,</t>
    </r>
    <r>
      <rPr>
        <sz val="11"/>
        <color theme="1"/>
        <rFont val="Calibre"/>
      </rPr>
      <t xml:space="preserve"> which include products to treat aneurysms and to occlude vessels as well as products to access the vasculature</t>
    </r>
  </si>
  <si>
    <t xml:space="preserve">Approximately 350,000 DVTs are eligible for treatment with mechanical or computer assisted vacuum thrombectomy in the U.S. </t>
  </si>
  <si>
    <t>Approximately 2 million annual DVTs outside the U.S. that are eligible for thrombectomy procedures</t>
  </si>
  <si>
    <t>In the U.S., there are approximately 30,000 annual deaths caused by DVT according to the Centers for Disease Control and Prevention</t>
  </si>
  <si>
    <t>Approximately 4 million DVTs occur annually worldwide</t>
  </si>
  <si>
    <t>High- and intermediate-risk PEs, which are generally eligible for treatment with mechanical or computer assisted vacuum thrombectomy, represent approximately 44% of such PEs, or approximately 150,000 U.S. patients</t>
  </si>
  <si>
    <t>The thrombectomy market is comprised of vascular diseases and disorders occurring in vessels throughout the body, including ischemic stroke, VT such as pulmonary embolism, acute limb ischemia, DVT, coronary disease and other conditions</t>
  </si>
  <si>
    <t>Of these cases, we estimate that approximately 200,000 are treatable with mechanical thrombectomy, which involves removal of the clot causing the blockage by mechanical means and restoring blood flow to the blocked vessels</t>
  </si>
  <si>
    <t>One such condition is a heart attack (acute myocardial infarction or “AMI”), when cell death results in damaged or destroyed heart tissue. Heart attacks can often be associated with high thrombus burden in the coronary arteries</t>
  </si>
  <si>
    <t>Approximately 8.5 million AMIs occur annually and there are approximately 23.5 million AMI survivors worldwide</t>
  </si>
  <si>
    <t>In the U.S., there are approximately 500,000 AMIs per year causing approximately 350,000 annual deaths according to the American Heart Association.</t>
  </si>
  <si>
    <t xml:space="preserve"> AMIs involving high thrombus burden, which are generally eligible for treatment with mechanical thrombectomy, represent approximately 60% of U.S. AMIs, or approximately 300,000 U.S. patients</t>
  </si>
  <si>
    <t>An aneurysm is a weak area in a blood vessel that usually enlarges and is often described as a “ballooning” of the blood vessel.</t>
  </si>
  <si>
    <t>Approximately 2% of the general population has or will develop an aneurysm and approximately 9 million people in the United States may currently have an aneurysm</t>
  </si>
  <si>
    <t>If a patient has had an aneurysm, there is a 20% likelihood that the patient will have one or more additional aneurysms</t>
  </si>
  <si>
    <t>The primary endovascular procedure for treating unruptured aneurysms uses a repair technique called embolization, in which the aneurysm is packed with coils in a minimally invasive procedure</t>
  </si>
  <si>
    <t>Brain aneurysms and arteriovenous malformations (“AVM”) can both cause hemorrhagic stroke</t>
  </si>
  <si>
    <t>Hemorrhagic strokes, caused by the sudden rupture of a brain artery that leads to bleeding into or around the brain, represent approximately 13% of strokes in the United States</t>
  </si>
  <si>
    <t>According to independent sources, every year 0.5% to 3.0% of people with a brain aneurysm and 1.0% to 3.0% of people with an AVM may suffer from bleeding</t>
  </si>
  <si>
    <t>According to the AHA and ASA, once a brain aneurysm or an AVM bleeds, the chance of death is 30% to 40% and 10% to 15%, respectively</t>
  </si>
  <si>
    <t>Intracerebral hemorrhage, a type of hemorrhagic stroke, occurs when a vessel within the brain bursts, allowing blood to leak inside the brain</t>
  </si>
  <si>
    <t>Product Portfolio Scope:</t>
  </si>
  <si>
    <t>Product Families</t>
  </si>
  <si>
    <t>Embolus/I : a thrombus, or other substance that breaks free and circulates through blood vessels</t>
  </si>
  <si>
    <t>Pulmonary Embolism ("PE"):</t>
  </si>
  <si>
    <t>Key Product Brands</t>
  </si>
  <si>
    <t>Indigo System</t>
  </si>
  <si>
    <t>Lightning</t>
  </si>
  <si>
    <t>Bolt</t>
  </si>
  <si>
    <t>Cat RX</t>
  </si>
  <si>
    <t>Penumbra System</t>
  </si>
  <si>
    <t>Penumbra RED, SENDit, JET, ACE, BMX, and MAX catheters</t>
  </si>
  <si>
    <t>3D Revascularization Device</t>
  </si>
  <si>
    <t>Penumbra Engine and other components and accessories</t>
  </si>
  <si>
    <t>Ruby Coil System</t>
  </si>
  <si>
    <t>Ruby LP</t>
  </si>
  <si>
    <t>Lantern</t>
  </si>
  <si>
    <t>POD (Penumbra Occlusion Device)</t>
  </si>
  <si>
    <t>Packing Coil</t>
  </si>
  <si>
    <t>Packing Coil LP</t>
  </si>
  <si>
    <t>Penumbra Coil 400</t>
  </si>
  <si>
    <t>POD400</t>
  </si>
  <si>
    <t>PAC400</t>
  </si>
  <si>
    <t>Penumbra SMART COIL</t>
  </si>
  <si>
    <t>SwiftPAC Coil</t>
  </si>
  <si>
    <t>Neuron</t>
  </si>
  <si>
    <t>Neuron Max</t>
  </si>
  <si>
    <t>BENCHMARK</t>
  </si>
  <si>
    <t>BMX</t>
  </si>
  <si>
    <t>DDC</t>
  </si>
  <si>
    <t>PX SLIM</t>
  </si>
  <si>
    <t>MIDWAY</t>
  </si>
  <si>
    <t>Artemis Neuro Evacuation Device</t>
  </si>
  <si>
    <t>Peripheral</t>
  </si>
  <si>
    <t>Neuro</t>
  </si>
  <si>
    <t xml:space="preserve">Peripheral </t>
  </si>
  <si>
    <t>Embolization</t>
  </si>
  <si>
    <t>Access</t>
  </si>
  <si>
    <t>Neurosurgical Tools</t>
  </si>
  <si>
    <t>For further analysis on markets and product lines, visit "Markets | Product Lines" tab</t>
  </si>
  <si>
    <t>Our research and development team has a track record of product innovation and significant product improvements</t>
  </si>
  <si>
    <t>Since inception, we have introduced multiple brands in either the United States, international markets, or both</t>
  </si>
  <si>
    <t>In addition, we have recruited and retained engineers with a variety of backgrounds and experience to support the development of innovative therapies</t>
  </si>
  <si>
    <t>We believe we have adequate supplies or sources of availability of raw materials necessary to meet our needs</t>
  </si>
  <si>
    <t>We also utilize long-term supply contracts with some suppliers to help maintain continuity of supply and manage the risk of price increases</t>
  </si>
  <si>
    <t>Where possible, we seek second source suppliers or suppliers that have alternate manufacturing sites at which they could manufacture our parts</t>
  </si>
  <si>
    <t>Research and Development:</t>
  </si>
  <si>
    <t>Manufacturing:</t>
  </si>
  <si>
    <t>In an effort to manage risk associated with raw materials supply, we work closely with suppliers to help ensure availability and continuity of supply while maintaining high quality and reliability</t>
  </si>
  <si>
    <t>There are risks and uncertainties with respect to the supply of raw materials, particularly where provided by a single supplier, which could impact availability in sufficient quantities to meet our needs</t>
  </si>
  <si>
    <t>Sales and Marketing:</t>
  </si>
  <si>
    <t>We have complemented our direct sales organization with distributors in most international markets</t>
  </si>
  <si>
    <t>Look into product sales cycles</t>
  </si>
  <si>
    <t xml:space="preserve">Look into deal structures. How does the transaction shape up for domestic clients? </t>
  </si>
  <si>
    <t>Are there a variety of offerings for consumers (hospitals potentially leasing Penumbra products vs buying)? Do international sales function differently (liscenses, joint-partnerships)</t>
  </si>
  <si>
    <t>~2 mil</t>
  </si>
  <si>
    <t>~2.4 mil</t>
  </si>
  <si>
    <t>U.S. # of DVTs per year:</t>
  </si>
  <si>
    <t>Sum total estimated DVTs per year:</t>
  </si>
  <si>
    <t>Approximately 250,000 ALIs per year in the U.S., which are generally eligible for treatment with mechanical or computer assisted vacuum thrombectomy</t>
  </si>
  <si>
    <t>~250k</t>
  </si>
  <si>
    <t>~2.25 mil</t>
  </si>
  <si>
    <t>~2.5 mil</t>
  </si>
  <si>
    <t>U.S. # of ALIs per year:</t>
  </si>
  <si>
    <t>Sum total estimated ALIs per year:</t>
  </si>
  <si>
    <t>U.S. # of strokes per year:</t>
  </si>
  <si>
    <t>Sum total estimated strokes per year:</t>
  </si>
  <si>
    <t>Intl. # of strokes per year:</t>
  </si>
  <si>
    <t>Intl. # of ALIs per year:</t>
  </si>
  <si>
    <t>Intl. # of DVTs per year:</t>
  </si>
  <si>
    <t>Intl. # of PEs per year:</t>
  </si>
  <si>
    <t>Our sales representatives and sales managers generally have substantial medical device experience and market our products directly to a variety of specialist physicians engaged in the treatment of vascular disorders, who are the end users of our products and significantly influence buying decisions in hospitals and other healthcare settings relating to medical devices</t>
  </si>
  <si>
    <t>focused on developing strong relationships with specialist physicians and other healthcare providers and devote significant resources to training and educating physicians and other healthcare providers in the use and benefits of our products</t>
  </si>
  <si>
    <r>
      <rPr>
        <b/>
        <sz val="11"/>
        <color theme="1"/>
        <rFont val="Calibre"/>
      </rPr>
      <t>Thrombectomy</t>
    </r>
    <r>
      <rPr>
        <sz val="11"/>
        <color theme="1"/>
        <rFont val="Calibre"/>
      </rPr>
      <t>: Interventional radiologists, interventional neuroradiologists, vascular surgeons, neurosurgeons, interventional cardiologists and interventional neurologists</t>
    </r>
  </si>
  <si>
    <t>We believe these arrangements will allow us to monetize our technology while helping us to mitigate market risk</t>
  </si>
  <si>
    <t>In 2024, direct sales accounted for approximately 87% of our revenue, with the balance generated by independent distributors that sell our products outside of the United States and by the arrangements with our partner in China, which include licensing royalty and distribution revenue</t>
  </si>
  <si>
    <t>Competition:</t>
  </si>
  <si>
    <t>The medical device industry is intensely competitive, subject to rapid change and significantly affected by new product introductions and other market activities of industry participants.</t>
  </si>
  <si>
    <t>Boston Scientific</t>
  </si>
  <si>
    <t>Inari Medical</t>
  </si>
  <si>
    <t>Medtronic</t>
  </si>
  <si>
    <t>Stryker</t>
  </si>
  <si>
    <t>Terumo:</t>
  </si>
  <si>
    <t>Johnson and Johnson</t>
  </si>
  <si>
    <t>Ticker:</t>
  </si>
  <si>
    <t>Public Competitors:</t>
  </si>
  <si>
    <t>BSX</t>
  </si>
  <si>
    <t xml:space="preserve">NARI </t>
  </si>
  <si>
    <t>&lt;- Acquired by Stryker (Feb. 20, 2025) for ~$4.9 billion (an incredible 60% premium on the trading market valuation)</t>
  </si>
  <si>
    <t>https://pubmed.ncbi.nlm.nih.gov/?term=Penumbra+Inc</t>
  </si>
  <si>
    <t>SO</t>
  </si>
  <si>
    <t xml:space="preserve">Embolization </t>
  </si>
  <si>
    <t>&amp; Access</t>
  </si>
  <si>
    <t>Private Competitors:</t>
  </si>
  <si>
    <t>MDT</t>
  </si>
  <si>
    <t>TRUMY (Japanese)</t>
  </si>
  <si>
    <t>JNJ</t>
  </si>
  <si>
    <t>Imperative Care</t>
  </si>
  <si>
    <t>SILK</t>
  </si>
  <si>
    <t>Silk Road Medical</t>
  </si>
  <si>
    <t>Rapid Medical</t>
  </si>
  <si>
    <t>Vesalio</t>
  </si>
  <si>
    <t>The Company's direct sales have been, and we anticipate will continue to represent, a majority of our revenues</t>
  </si>
  <si>
    <t>In addition to direct sales organizations, The Company works with distributors in certain geographic areas, having determined that selling through distributors is likely to be more effective</t>
  </si>
  <si>
    <t>The Company has continued licensing the technology of certain products to our existing distribution partner in China pursuant to a series of licensing arrangements entered into in December 2020, February 2022, September 2023 and March 2024, which permit The Company's partner to manufacture and commercialize such products in China in exchange for fixed payments upon the transfer of the distinct licensed technology and upon the provision of related regulatory support, as well as, in certain cases, royalty payments on downstream sales of the licensed products</t>
  </si>
  <si>
    <t>The principal specialist physicians and other healthcare providers in The Company's target end markets include:</t>
  </si>
  <si>
    <t>The Company currently sells products in the United States through a dedicated "in-house" salesforce</t>
  </si>
  <si>
    <t>The Company sells products directly in the United States, most of Europe, Canada and Australia, subject to required regulatory clearances and approvals</t>
  </si>
  <si>
    <t>Most of these competitors are large, well-capitalized companies with longer operating histories and greater resources than we have</t>
  </si>
  <si>
    <t>As a consequence, they are able to spend more on product acquisition, development, marketing, sales and other product initiatives than we can</t>
  </si>
  <si>
    <t>We also compete with a number of smaller medical device companies that have single products or a limited range of products</t>
  </si>
  <si>
    <t>Some of the advantages competing firms have:</t>
  </si>
  <si>
    <t>Significantly greater name recognition</t>
  </si>
  <si>
    <t>Broader or deeper relations with healthcare professionals, customers, group purchasing organizations, and third-party payors</t>
  </si>
  <si>
    <t>More established distribution networks</t>
  </si>
  <si>
    <t>Additional lines of products and the ability to offer rebates or bundle products to offer greater discounts or other incentives to gain a competitive advantage</t>
  </si>
  <si>
    <t>Greater experience in conducting research and development, manufacturing, clinical trials, marketing and obtaining regulatory clearance or approval for products</t>
  </si>
  <si>
    <t>Greater financial and human resources for product development, sales and marketing and patent litigation</t>
  </si>
  <si>
    <t>We compete primarily on the basis that our products are able to treat patients with neuro and vascular diseases and disorders and other health conditions safely and effectively</t>
  </si>
  <si>
    <t>The Company's advantages depend on the continued ability to:</t>
  </si>
  <si>
    <t>Develop innovative, proprietary products that can cost-effectively address significant clinical needs</t>
  </si>
  <si>
    <t>Continue to innovate and develop scientifically advanced technology</t>
  </si>
  <si>
    <t>Obtain and maintain regulatory clearances or approvals</t>
  </si>
  <si>
    <t>Demonstrate safety and efficacy in Penumbra-sponsored and third-party clinical trials and studies</t>
  </si>
  <si>
    <t>Apply technology across product lines and markets</t>
  </si>
  <si>
    <t>Attract and retain skilled research and development and sales personnel</t>
  </si>
  <si>
    <t>Cost-effectively manufacture and successfully market and sell products</t>
  </si>
  <si>
    <t>Intellectual Property:</t>
  </si>
  <si>
    <t>Our success depends in part on our ability to protect our proprietary technology and intellectual property and operate without infringing the patents and other proprietary rights of third parties</t>
  </si>
  <si>
    <t>Innovation is key; consequences mean falling behind -&gt; reducing earnings potential if The Company falls behind in product pipeline while requiring the same if not more R&amp;D spend to catch up/leapfrog competitors back into a dominant position (think mix between semiconductor and biopharma industries)</t>
  </si>
  <si>
    <t>We rely on a combination of patent, trademark, trade secret, copyright and other intellectual property rights and measures to protect our intellectual property rights that we consider important to our business</t>
  </si>
  <si>
    <t>We also rely on know-how and continuing technological innovation to develop and maintain our competitive position</t>
  </si>
  <si>
    <t>We do not have any material licenses to any technology or intellectual property rights</t>
  </si>
  <si>
    <t>Penumbra's Patent Catalog: https://www.penumbrainc.com/patents/</t>
  </si>
  <si>
    <t>SYK</t>
  </si>
  <si>
    <t>Penumbra Inc. (PEN)</t>
  </si>
  <si>
    <t>~200k</t>
  </si>
  <si>
    <t>~1.9 mil</t>
  </si>
  <si>
    <t>~2.1 mil</t>
  </si>
  <si>
    <t>~300k</t>
  </si>
  <si>
    <t>~8 mil</t>
  </si>
  <si>
    <t>~8.3 mil</t>
  </si>
  <si>
    <t>U.S. # of ACS per year:</t>
  </si>
  <si>
    <t>Intl. # of ACS per year:</t>
  </si>
  <si>
    <t>Sum total estimated ACS per year:</t>
  </si>
  <si>
    <t>Eligible for mechanical intervention</t>
  </si>
  <si>
    <t>U.S. Patent Search Tool: https://ppubs.uspto.gov/pubwebapp/static/pages/ppubsbasic.html</t>
  </si>
  <si>
    <r>
      <rPr>
        <b/>
        <sz val="11"/>
        <color theme="1"/>
        <rFont val="Calibre"/>
      </rPr>
      <t>! Important !</t>
    </r>
    <r>
      <rPr>
        <sz val="11"/>
        <color theme="1"/>
        <rFont val="Calibre"/>
      </rPr>
      <t xml:space="preserve"> As of December 31, 2024, we owned and/or had rights to 120 issued patents globally, of which 58 were U.S. patents. As of December 31, 2024, we owned and/or had rights to 55 pending patent applications, of which 29 were patent applications pending in the United States</t>
    </r>
  </si>
  <si>
    <t>16 of our issued patents are currently expected to expire between 2025 and 2026</t>
  </si>
  <si>
    <t>13 of these patents relate to components of the Penumbra System and the Indigo System</t>
  </si>
  <si>
    <t>Thirty-seven of our issued patents, which relate to components of the Penumbra Coil 400, Ruby Coil System and Smart Coil System, are currently expected to expire between 2029 and 2037</t>
  </si>
  <si>
    <t>Eighteen patents pertaining to the 3D Revascularization Device are projected to expire between 2032 and 2034</t>
  </si>
  <si>
    <t>Additionally, we own or have rights to trademarks or trade names that are used in our business and in conjunction with the sale of our products, including 45 U.S. trademark registrations and 225 foreign trademark registrations as of December 31, 2024</t>
  </si>
  <si>
    <t>Government Regulation:</t>
  </si>
  <si>
    <r>
      <t>Embolization and Access</t>
    </r>
    <r>
      <rPr>
        <b/>
        <sz val="11"/>
        <color rgb="FF000000"/>
        <rFont val="Times New Roman"/>
        <family val="1"/>
      </rPr>
      <t>: </t>
    </r>
    <r>
      <rPr>
        <sz val="11"/>
        <color theme="1"/>
        <rFont val="Calibre"/>
      </rPr>
      <t>Neurosurgeons, interventional neuroradiologists, interventional neurologists, interventional radiologists, vascular surgeons and pediatric interventional cardiologists</t>
    </r>
  </si>
  <si>
    <t>Our products are subject to extensive and ongoing regulation by the United States Food and Drug Administration (“FDA”) under the Federal Food, Drug, and Cosmetic Act (the “FD&amp;C Act”) and its implementing regulations, as well as other federal and state regulatory bodies in the United States and comparable authorities in other countries under other statutes and regulations</t>
  </si>
  <si>
    <t>United States</t>
  </si>
  <si>
    <t>Acute Coronary Syndrome ("ACS"):</t>
  </si>
  <si>
    <t>Medical devices are classified into three classes—Class I, Class II or Class III—depending on the degree of risk associated with each medical device and the extent of control needed to provide reasonable assurance of safety and effectiveness</t>
  </si>
  <si>
    <t>https://www.penumbrainc.com/about-us/leadership/</t>
  </si>
  <si>
    <t>PubMed for efficacy research:</t>
  </si>
  <si>
    <t>Look into MedTech sales rep protocols. Does medtech sales function similarly to biopharma reps?</t>
  </si>
  <si>
    <t>Master</t>
  </si>
  <si>
    <t>Q1'27</t>
  </si>
  <si>
    <t>Q2'27</t>
  </si>
  <si>
    <t>Q3'27</t>
  </si>
  <si>
    <t>Q4'27</t>
  </si>
  <si>
    <t>European Union</t>
  </si>
  <si>
    <t>Other Regions</t>
  </si>
  <si>
    <t>Healthcare Fraud &amp; Abuse Regulations</t>
  </si>
  <si>
    <t>Human Capital Resources</t>
  </si>
  <si>
    <t>As of December 31st, 2024, The Company had appx. 4,500 employees worldwide, with the majority of employees being in a manufacturing specialist role (blue collar)</t>
  </si>
  <si>
    <t xml:space="preserve">Manufacturing &amp; Operations appx. 30-40% </t>
  </si>
  <si>
    <t>Sales &amp; Clinical Support appx. 20-25%</t>
  </si>
  <si>
    <t xml:space="preserve">Regulatory &amp; Compliance appx. 10% </t>
  </si>
  <si>
    <t>&lt;-- focus on developing the next generations of cutting edge products</t>
  </si>
  <si>
    <t>&lt;-- skilled labor force focused on device assembly, QC, and supply chain management</t>
  </si>
  <si>
    <t>&lt;-- direct engagement with hospitals neuro and vascular specialist for outreach, sales, and teaching purposes</t>
  </si>
  <si>
    <t>&lt;-- ensures FDA, CE, EMA and other market approvals; manages global initiatives</t>
  </si>
  <si>
    <t xml:space="preserve">Engineering &amp; R&amp;D appx. 25-30% </t>
  </si>
  <si>
    <t xml:space="preserve">&lt;- Acquired by Boston Scientific (Sep. 17, 2024) for ~$1.16 billion </t>
  </si>
  <si>
    <t>Gross Profit Margin</t>
  </si>
  <si>
    <t>Operating Profit Margin</t>
  </si>
  <si>
    <t>Net Profit Margin</t>
  </si>
  <si>
    <t>R&amp;D as % of Revenues</t>
  </si>
  <si>
    <t>CFFO</t>
  </si>
  <si>
    <t>CapEx</t>
  </si>
  <si>
    <t>FCF</t>
  </si>
  <si>
    <t>FCF per Share</t>
  </si>
  <si>
    <t>Revenue growth is quite impressive</t>
  </si>
  <si>
    <t>Focus up on  stalling embolization growth. Why is thrombectomy continuining to drive massive growth from a larger base while embolization falls to the wayside</t>
  </si>
  <si>
    <t>Focus up on lagard international growth. I remember announcments of slight pullbacks in EU during my 2023 internship, and the china market has been struggling since late 2023</t>
  </si>
  <si>
    <t>Institutional Ownership Snapshot (4/14/2025)</t>
  </si>
  <si>
    <t>Address: One Penumbra Place, 
Alameda, CA 94502</t>
  </si>
  <si>
    <t>https://ppubs.uspto.gov/pubwebapp/static/pages/ppubsbasic.html</t>
  </si>
  <si>
    <t>Registered Exchange: NYSE</t>
  </si>
  <si>
    <t>See Management Scope for further details on company personnel structure</t>
  </si>
  <si>
    <t>The Comany competes with a number of manufacturers and distributors of neuro and vascular medical devices. Notable competitors include:</t>
  </si>
  <si>
    <t>See in notes tab about pricing/long term economic returns of med tech products… does it follow similar suit to pharma, meaning rapid depreciation of asset FMV after the product line is innovated upon, or "goes generic" with competing firms entering the market after economic barriers are reduced</t>
  </si>
  <si>
    <t>The Comany currently maintains manufacturing facilities in Alameda and Roseville, California and currently produce substantially all products in-house.</t>
  </si>
  <si>
    <t>Substantially all of The Company's research and development efforts are based out of the campus in Alameda, California</t>
  </si>
  <si>
    <t>The Comany believe's its ability to rapidly develop innovative products is in large part attributable to the fully integrated product innovation process that has been implemented, and the management philosophy behind that process.</t>
  </si>
  <si>
    <t>Net Income attr to Non-Cont</t>
  </si>
  <si>
    <t>Consolidated Net Income</t>
  </si>
  <si>
    <t>Net Income attr to PEN</t>
  </si>
  <si>
    <t xml:space="preserve">SG&amp;A as % of Revenues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</si>
</sst>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
    <numFmt numFmtId="166" formatCode="0.0%"/>
  </numFmts>
  <fonts count="16">
    <font>
      <sz val="11"/>
      <color theme="1"/>
      <name val="Calibri"/>
      <family val="2"/>
      <scheme val="minor"/>
    </font>
    <font>
      <b/>
      <sz val="11"/>
      <color theme="1"/>
      <name val="Calibre"/>
    </font>
    <font>
      <sz val="11"/>
      <color theme="1"/>
      <name val="Calibre"/>
    </font>
    <font>
      <sz val="10"/>
      <name val="Arial"/>
      <family val="2"/>
    </font>
    <font>
      <b/>
      <sz val="10"/>
      <name val="Arial"/>
      <family val="2"/>
    </font>
    <font>
      <b/>
      <sz val="10"/>
      <name val="Calibre"/>
    </font>
    <font>
      <b/>
      <sz val="11"/>
      <color rgb="FF002060"/>
      <name val="Calibre"/>
    </font>
    <font>
      <sz val="11"/>
      <color theme="0"/>
      <name val="Calibre"/>
    </font>
    <font>
      <b/>
      <sz val="11"/>
      <color theme="0"/>
      <name val="Calibre"/>
    </font>
    <font>
      <b/>
      <u/>
      <sz val="11"/>
      <color theme="1"/>
      <name val="Calibre"/>
    </font>
    <font>
      <u/>
      <sz val="11"/>
      <color theme="10"/>
      <name val="Calibri"/>
      <family val="2"/>
      <scheme val="minor"/>
    </font>
    <font>
      <sz val="11"/>
      <color rgb="FF000000"/>
      <name val="Times New Roman"/>
      <family val="1"/>
    </font>
    <font>
      <b/>
      <sz val="11"/>
      <color rgb="FF000000"/>
      <name val="Times New Roman"/>
      <family val="1"/>
    </font>
    <font>
      <u/>
      <sz val="11"/>
      <color rgb="FF0070C0"/>
      <name val="Calibre"/>
    </font>
    <font>
      <u/>
      <sz val="11"/>
      <color theme="10"/>
      <name val="Calibre"/>
    </font>
    <font>
      <u/>
      <sz val="11"/>
      <color rgb="FF00B0F0"/>
      <name val="Calibri"/>
      <family val="2"/>
      <scheme val="minor"/>
    </font>
  </fonts>
  <fills count="6">
    <fill>
      <patternFill patternType="none"/>
    </fill>
    <fill>
      <patternFill patternType="gray125"/>
    </fill>
    <fill>
      <patternFill patternType="solid">
        <fgColor rgb="FFF5F5F5"/>
      </patternFill>
    </fill>
    <fill>
      <patternFill patternType="solid">
        <fgColor theme="4" tint="0.79998168889431442"/>
        <bgColor indexed="64"/>
      </patternFill>
    </fill>
    <fill>
      <patternFill patternType="solid">
        <fgColor rgb="FF002060"/>
        <bgColor indexed="64"/>
      </patternFill>
    </fill>
    <fill>
      <patternFill patternType="solid">
        <fgColor theme="4" tint="-0.249977111117893"/>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55">
    <xf numFmtId="0" fontId="0" fillId="0" borderId="0" xfId="0"/>
    <xf numFmtId="0" fontId="1" fillId="0" borderId="0" xfId="0" applyFont="1"/>
    <xf numFmtId="0" fontId="2" fillId="0" borderId="0" xfId="0" applyFont="1"/>
    <xf numFmtId="14" fontId="2" fillId="0" borderId="0" xfId="0" applyNumberFormat="1" applyFont="1"/>
    <xf numFmtId="164" fontId="2" fillId="0" borderId="0" xfId="0" applyNumberFormat="1" applyFont="1"/>
    <xf numFmtId="0" fontId="3" fillId="0" borderId="0" xfId="0" applyFont="1"/>
    <xf numFmtId="0" fontId="4" fillId="2" borderId="0" xfId="0" applyFont="1" applyFill="1" applyAlignment="1">
      <alignment horizontal="center" vertical="center"/>
    </xf>
    <xf numFmtId="10" fontId="2" fillId="0" borderId="0" xfId="0" applyNumberFormat="1" applyFont="1"/>
    <xf numFmtId="0" fontId="5" fillId="2" borderId="0" xfId="0" applyFont="1" applyFill="1" applyAlignment="1">
      <alignment horizontal="center" vertical="center"/>
    </xf>
    <xf numFmtId="10" fontId="5" fillId="2" borderId="0" xfId="0" applyNumberFormat="1" applyFont="1" applyFill="1" applyAlignment="1">
      <alignment horizontal="center" vertical="center"/>
    </xf>
    <xf numFmtId="0" fontId="6" fillId="0" borderId="0" xfId="0" applyFont="1"/>
    <xf numFmtId="0" fontId="2" fillId="0" borderId="0" xfId="0" applyFont="1" applyAlignment="1">
      <alignment horizontal="right"/>
    </xf>
    <xf numFmtId="0" fontId="2" fillId="0" borderId="0" xfId="0" applyFont="1" applyAlignment="1">
      <alignment horizontal="left"/>
    </xf>
    <xf numFmtId="0" fontId="1" fillId="0" borderId="0" xfId="0" applyFont="1" applyAlignment="1">
      <alignment horizontal="left"/>
    </xf>
    <xf numFmtId="0" fontId="2" fillId="3" borderId="0" xfId="0" applyFont="1" applyFill="1"/>
    <xf numFmtId="0" fontId="2" fillId="3" borderId="1" xfId="0" applyFont="1" applyFill="1" applyBorder="1"/>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3" borderId="6" xfId="0" applyFont="1" applyFill="1" applyBorder="1"/>
    <xf numFmtId="0" fontId="2" fillId="3" borderId="7" xfId="0" applyFont="1" applyFill="1" applyBorder="1"/>
    <xf numFmtId="0" fontId="2" fillId="3" borderId="8" xfId="0" applyFont="1" applyFill="1" applyBorder="1"/>
    <xf numFmtId="0" fontId="7" fillId="4" borderId="0" xfId="0" applyFont="1" applyFill="1"/>
    <xf numFmtId="0" fontId="8" fillId="4" borderId="0" xfId="0" applyFont="1" applyFill="1" applyAlignment="1">
      <alignment horizontal="right"/>
    </xf>
    <xf numFmtId="0" fontId="8" fillId="4" borderId="0" xfId="0" applyFont="1" applyFill="1"/>
    <xf numFmtId="0" fontId="7" fillId="5" borderId="0" xfId="0" applyFont="1" applyFill="1" applyAlignment="1">
      <alignment horizontal="center"/>
    </xf>
    <xf numFmtId="0" fontId="8" fillId="5" borderId="0" xfId="0" applyFont="1" applyFill="1" applyAlignment="1">
      <alignment horizontal="center"/>
    </xf>
    <xf numFmtId="0" fontId="1" fillId="3" borderId="4" xfId="0" applyFont="1" applyFill="1" applyBorder="1"/>
    <xf numFmtId="0" fontId="1" fillId="3" borderId="6" xfId="0" applyFont="1" applyFill="1" applyBorder="1" applyAlignment="1">
      <alignment horizontal="left"/>
    </xf>
    <xf numFmtId="0" fontId="1" fillId="3" borderId="4" xfId="0" applyFont="1" applyFill="1" applyBorder="1" applyAlignment="1">
      <alignment horizontal="right"/>
    </xf>
    <xf numFmtId="0" fontId="7" fillId="5" borderId="1" xfId="0" applyFont="1" applyFill="1" applyBorder="1" applyAlignment="1">
      <alignment horizontal="center"/>
    </xf>
    <xf numFmtId="0" fontId="7" fillId="5" borderId="4" xfId="0" applyFont="1" applyFill="1" applyBorder="1" applyAlignment="1">
      <alignment horizontal="center"/>
    </xf>
    <xf numFmtId="0" fontId="8" fillId="5" borderId="4" xfId="0" applyFont="1" applyFill="1" applyBorder="1" applyAlignment="1">
      <alignment horizontal="center"/>
    </xf>
    <xf numFmtId="0" fontId="7" fillId="5" borderId="6" xfId="0" applyFont="1" applyFill="1" applyBorder="1" applyAlignment="1">
      <alignment horizontal="center"/>
    </xf>
    <xf numFmtId="0" fontId="1" fillId="3" borderId="5" xfId="0" applyFont="1" applyFill="1" applyBorder="1" applyAlignment="1">
      <alignment horizontal="left"/>
    </xf>
    <xf numFmtId="0" fontId="2" fillId="3" borderId="5" xfId="0" applyFont="1" applyFill="1" applyBorder="1" applyAlignment="1">
      <alignment horizontal="left"/>
    </xf>
    <xf numFmtId="0" fontId="1" fillId="3" borderId="0" xfId="0" applyFont="1" applyFill="1" applyAlignment="1">
      <alignment horizontal="center"/>
    </xf>
    <xf numFmtId="0" fontId="2" fillId="3" borderId="0" xfId="0" applyFont="1" applyFill="1" applyAlignment="1">
      <alignment horizontal="center"/>
    </xf>
    <xf numFmtId="0" fontId="1" fillId="3" borderId="7" xfId="0" applyFont="1" applyFill="1" applyBorder="1" applyAlignment="1">
      <alignment horizontal="center"/>
    </xf>
    <xf numFmtId="0" fontId="2" fillId="4" borderId="0" xfId="0" applyFont="1" applyFill="1"/>
    <xf numFmtId="0" fontId="2" fillId="3" borderId="7" xfId="0" applyFont="1" applyFill="1" applyBorder="1" applyAlignment="1">
      <alignment horizontal="center"/>
    </xf>
    <xf numFmtId="0" fontId="2" fillId="3" borderId="2" xfId="0" applyFont="1" applyFill="1" applyBorder="1" applyAlignment="1">
      <alignment horizontal="center"/>
    </xf>
    <xf numFmtId="0" fontId="9" fillId="0" borderId="0" xfId="0" applyFont="1"/>
    <xf numFmtId="0" fontId="11" fillId="0" borderId="0" xfId="0" applyFont="1"/>
    <xf numFmtId="0" fontId="11" fillId="0" borderId="0" xfId="0" applyFont="1" applyAlignment="1">
      <alignment vertical="center" wrapText="1"/>
    </xf>
    <xf numFmtId="165" fontId="2" fillId="0" borderId="0" xfId="0" applyNumberFormat="1" applyFont="1"/>
    <xf numFmtId="1" fontId="2" fillId="0" borderId="0" xfId="0" applyNumberFormat="1" applyFont="1"/>
    <xf numFmtId="166" fontId="2" fillId="0" borderId="0" xfId="0" applyNumberFormat="1" applyFont="1"/>
    <xf numFmtId="2" fontId="2" fillId="0" borderId="0" xfId="0" applyNumberFormat="1" applyFont="1"/>
    <xf numFmtId="0" fontId="13" fillId="0" borderId="0" xfId="1" quotePrefix="1" applyFont="1"/>
    <xf numFmtId="0" fontId="14" fillId="0" borderId="0" xfId="1" applyFont="1"/>
    <xf numFmtId="0" fontId="15" fillId="0" borderId="0" xfId="1" applyFont="1"/>
    <xf numFmtId="165" fontId="1" fillId="0" borderId="0" xfId="0" applyNumberFormat="1" applyFont="1"/>
    <xf numFmtId="0" fontId="2"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11206</xdr:colOff>
      <xdr:row>193</xdr:row>
      <xdr:rowOff>112058</xdr:rowOff>
    </xdr:from>
    <xdr:to>
      <xdr:col>3</xdr:col>
      <xdr:colOff>661147</xdr:colOff>
      <xdr:row>193</xdr:row>
      <xdr:rowOff>112059</xdr:rowOff>
    </xdr:to>
    <xdr:cxnSp macro="">
      <xdr:nvCxnSpPr>
        <xdr:cNvPr id="3" name="Straight Connector 2">
          <a:extLst>
            <a:ext uri="{FF2B5EF4-FFF2-40B4-BE49-F238E27FC236}">
              <a16:creationId xmlns:a16="http://schemas.microsoft.com/office/drawing/2014/main" id="{81631A79-5CF3-1633-3F81-E49CC3AFFC38}"/>
            </a:ext>
          </a:extLst>
        </xdr:cNvPr>
        <xdr:cNvCxnSpPr/>
      </xdr:nvCxnSpPr>
      <xdr:spPr>
        <a:xfrm>
          <a:off x="1725706" y="35365764"/>
          <a:ext cx="1434353" cy="1"/>
        </a:xfrm>
        <a:prstGeom prst="line">
          <a:avLst/>
        </a:prstGeom>
        <a:ln>
          <a:solidFill>
            <a:srgbClr val="FF0000"/>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0</xdr:colOff>
      <xdr:row>194</xdr:row>
      <xdr:rowOff>112060</xdr:rowOff>
    </xdr:from>
    <xdr:to>
      <xdr:col>3</xdr:col>
      <xdr:colOff>649941</xdr:colOff>
      <xdr:row>194</xdr:row>
      <xdr:rowOff>112061</xdr:rowOff>
    </xdr:to>
    <xdr:cxnSp macro="">
      <xdr:nvCxnSpPr>
        <xdr:cNvPr id="5" name="Straight Connector 4">
          <a:extLst>
            <a:ext uri="{FF2B5EF4-FFF2-40B4-BE49-F238E27FC236}">
              <a16:creationId xmlns:a16="http://schemas.microsoft.com/office/drawing/2014/main" id="{0A588176-D2E4-4E5C-B439-79905F0E541E}"/>
            </a:ext>
          </a:extLst>
        </xdr:cNvPr>
        <xdr:cNvCxnSpPr/>
      </xdr:nvCxnSpPr>
      <xdr:spPr>
        <a:xfrm>
          <a:off x="1714500" y="35556266"/>
          <a:ext cx="1434353" cy="1"/>
        </a:xfrm>
        <a:prstGeom prst="line">
          <a:avLst/>
        </a:prstGeom>
        <a:ln>
          <a:solidFill>
            <a:srgbClr val="FF0000"/>
          </a:solidFill>
        </a:ln>
      </xdr:spPr>
      <xdr:style>
        <a:lnRef idx="3">
          <a:schemeClr val="dk1"/>
        </a:lnRef>
        <a:fillRef idx="0">
          <a:schemeClr val="dk1"/>
        </a:fillRef>
        <a:effectRef idx="2">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201705</xdr:colOff>
      <xdr:row>26</xdr:row>
      <xdr:rowOff>179293</xdr:rowOff>
    </xdr:from>
    <xdr:to>
      <xdr:col>9</xdr:col>
      <xdr:colOff>604003</xdr:colOff>
      <xdr:row>55</xdr:row>
      <xdr:rowOff>11205</xdr:rowOff>
    </xdr:to>
    <xdr:pic>
      <xdr:nvPicPr>
        <xdr:cNvPr id="3" name="Picture 2">
          <a:extLst>
            <a:ext uri="{FF2B5EF4-FFF2-40B4-BE49-F238E27FC236}">
              <a16:creationId xmlns:a16="http://schemas.microsoft.com/office/drawing/2014/main" id="{BAC88A5C-F1C7-C9B7-CD05-D7DBD6F7D226}"/>
            </a:ext>
          </a:extLst>
        </xdr:cNvPr>
        <xdr:cNvPicPr>
          <a:picLocks noChangeAspect="1"/>
        </xdr:cNvPicPr>
      </xdr:nvPicPr>
      <xdr:blipFill>
        <a:blip xmlns:r="http://schemas.openxmlformats.org/officeDocument/2006/relationships" r:embed="rId1"/>
        <a:stretch>
          <a:fillRect/>
        </a:stretch>
      </xdr:blipFill>
      <xdr:spPr>
        <a:xfrm>
          <a:off x="201705" y="4863352"/>
          <a:ext cx="5444945" cy="50314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odel%20Price%20Targets.xlsx" TargetMode="External"/><Relationship Id="rId2" Type="http://schemas.openxmlformats.org/officeDocument/2006/relationships/hyperlink" Target="NARI_Model.xlsx" TargetMode="External"/><Relationship Id="rId1" Type="http://schemas.openxmlformats.org/officeDocument/2006/relationships/hyperlink" Target="SYK_Model.xlsx" TargetMode="External"/><Relationship Id="rId5" Type="http://schemas.openxmlformats.org/officeDocument/2006/relationships/drawing" Target="../drawings/drawing1.xml"/><Relationship Id="rId4" Type="http://schemas.openxmlformats.org/officeDocument/2006/relationships/hyperlink" Target="JNJ.xlsx"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260"/>
  <sheetViews>
    <sheetView topLeftCell="A148" zoomScale="84" zoomScaleNormal="85" workbookViewId="0">
      <selection activeCell="C154" sqref="C154"/>
    </sheetView>
  </sheetViews>
  <sheetFormatPr defaultRowHeight="14.25"/>
  <cols>
    <col min="1" max="1" width="2.85546875" style="2" customWidth="1"/>
    <col min="2" max="2" width="22.85546875" style="2" customWidth="1"/>
    <col min="3" max="3" width="11.7109375" style="2" customWidth="1"/>
    <col min="4" max="4" width="10.28515625" style="2" customWidth="1"/>
    <col min="5" max="5" width="10.140625" style="2" customWidth="1"/>
    <col min="6" max="6" width="10.28515625" style="2" customWidth="1"/>
    <col min="7" max="30" width="9.140625" style="2"/>
    <col min="31" max="31" width="27.42578125" style="2" customWidth="1"/>
    <col min="32" max="16384" width="9.140625" style="2"/>
  </cols>
  <sheetData>
    <row r="1" spans="1:80" ht="15">
      <c r="A1" s="52" t="s">
        <v>620</v>
      </c>
      <c r="CB1" s="2" t="s">
        <v>369</v>
      </c>
    </row>
    <row r="2" spans="1:80" ht="15">
      <c r="A2" s="1" t="s">
        <v>361</v>
      </c>
      <c r="AK2" s="1" t="s">
        <v>391</v>
      </c>
      <c r="BU2" s="2" t="s">
        <v>392</v>
      </c>
    </row>
    <row r="4" spans="1:80" ht="15">
      <c r="B4" s="1" t="s">
        <v>5</v>
      </c>
      <c r="AK4" s="2" t="s">
        <v>404</v>
      </c>
    </row>
    <row r="5" spans="1:80">
      <c r="B5" s="2" t="s">
        <v>0</v>
      </c>
      <c r="C5" s="4">
        <v>262.88</v>
      </c>
      <c r="D5" s="3">
        <v>45746</v>
      </c>
    </row>
    <row r="6" spans="1:80">
      <c r="B6" s="2" t="s">
        <v>548</v>
      </c>
      <c r="C6" s="2">
        <v>38.520000000000003</v>
      </c>
      <c r="D6" s="2" t="s">
        <v>304</v>
      </c>
      <c r="AK6" s="2" t="s">
        <v>370</v>
      </c>
    </row>
    <row r="7" spans="1:80" ht="15">
      <c r="B7" s="2" t="s">
        <v>1</v>
      </c>
      <c r="C7" s="4">
        <f>C5*C6</f>
        <v>10126.1376</v>
      </c>
      <c r="AL7" s="2" t="s">
        <v>371</v>
      </c>
    </row>
    <row r="8" spans="1:80">
      <c r="B8" s="2" t="s">
        <v>2</v>
      </c>
      <c r="C8" s="4">
        <f>280.5+10.5</f>
        <v>291</v>
      </c>
      <c r="D8" s="2" t="s">
        <v>304</v>
      </c>
    </row>
    <row r="9" spans="1:80">
      <c r="B9" s="2" t="s">
        <v>3</v>
      </c>
      <c r="C9" s="4">
        <v>0</v>
      </c>
      <c r="D9" s="2" t="s">
        <v>304</v>
      </c>
      <c r="AK9" s="2" t="s">
        <v>311</v>
      </c>
    </row>
    <row r="10" spans="1:80">
      <c r="B10" s="2" t="s">
        <v>4</v>
      </c>
      <c r="C10" s="4">
        <f>C7-C8+C9</f>
        <v>9835.1376</v>
      </c>
    </row>
    <row r="11" spans="1:80">
      <c r="AK11" s="2" t="s">
        <v>461</v>
      </c>
    </row>
    <row r="12" spans="1:80" ht="15">
      <c r="B12" s="1" t="s">
        <v>593</v>
      </c>
    </row>
    <row r="13" spans="1:80">
      <c r="AK13" s="2" t="s">
        <v>403</v>
      </c>
    </row>
    <row r="14" spans="1:80" ht="15">
      <c r="A14" s="1" t="s">
        <v>6</v>
      </c>
    </row>
    <row r="16" spans="1:80">
      <c r="B16" s="2" t="s">
        <v>7</v>
      </c>
      <c r="F16" s="2" t="s">
        <v>653</v>
      </c>
    </row>
    <row r="17" spans="2:6">
      <c r="B17" s="2" t="s">
        <v>8</v>
      </c>
      <c r="F17" s="54" t="s">
        <v>651</v>
      </c>
    </row>
    <row r="18" spans="2:6">
      <c r="B18" s="2" t="s">
        <v>9</v>
      </c>
    </row>
    <row r="19" spans="2:6">
      <c r="B19" s="2" t="s">
        <v>10</v>
      </c>
    </row>
    <row r="20" spans="2:6" ht="15">
      <c r="B20" s="1"/>
    </row>
    <row r="21" spans="2:6" ht="15">
      <c r="B21" s="2" t="s">
        <v>362</v>
      </c>
    </row>
    <row r="22" spans="2:6">
      <c r="C22" s="2" t="s">
        <v>360</v>
      </c>
    </row>
    <row r="23" spans="2:6" ht="15">
      <c r="B23" s="2" t="s">
        <v>389</v>
      </c>
    </row>
    <row r="24" spans="2:6" ht="15">
      <c r="C24" s="2" t="s">
        <v>363</v>
      </c>
    </row>
    <row r="25" spans="2:6" ht="15">
      <c r="C25" s="2" t="s">
        <v>364</v>
      </c>
    </row>
    <row r="26" spans="2:6" ht="15">
      <c r="C26" s="2" t="s">
        <v>365</v>
      </c>
    </row>
    <row r="27" spans="2:6" ht="15">
      <c r="C27" s="2" t="s">
        <v>366</v>
      </c>
    </row>
    <row r="28" spans="2:6" ht="15">
      <c r="C28" s="2" t="s">
        <v>367</v>
      </c>
    </row>
    <row r="29" spans="2:6">
      <c r="D29" s="2" t="s">
        <v>379</v>
      </c>
    </row>
    <row r="30" spans="2:6">
      <c r="D30" s="2" t="s">
        <v>359</v>
      </c>
    </row>
    <row r="31" spans="2:6">
      <c r="B31" s="2" t="s">
        <v>368</v>
      </c>
    </row>
    <row r="32" spans="2:6" ht="15">
      <c r="C32" s="2" t="s">
        <v>373</v>
      </c>
    </row>
    <row r="33" spans="1:4">
      <c r="B33" s="2" t="s">
        <v>372</v>
      </c>
    </row>
    <row r="34" spans="1:4">
      <c r="C34" s="2" t="s">
        <v>382</v>
      </c>
    </row>
    <row r="35" spans="1:4" ht="15">
      <c r="C35" s="2" t="s">
        <v>380</v>
      </c>
    </row>
    <row r="36" spans="1:4" ht="15">
      <c r="D36" s="2" t="s">
        <v>381</v>
      </c>
    </row>
    <row r="37" spans="1:4">
      <c r="B37" s="2" t="s">
        <v>383</v>
      </c>
    </row>
    <row r="38" spans="1:4">
      <c r="C38" s="2" t="s">
        <v>384</v>
      </c>
    </row>
    <row r="39" spans="1:4">
      <c r="C39" s="2" t="s">
        <v>385</v>
      </c>
    </row>
    <row r="41" spans="1:4" ht="15">
      <c r="A41" s="1" t="s">
        <v>386</v>
      </c>
    </row>
    <row r="43" spans="1:4">
      <c r="B43" s="2" t="s">
        <v>387</v>
      </c>
    </row>
    <row r="44" spans="1:4">
      <c r="C44" s="2" t="s">
        <v>388</v>
      </c>
    </row>
    <row r="45" spans="1:4" ht="15">
      <c r="B45" s="2" t="s">
        <v>433</v>
      </c>
    </row>
    <row r="46" spans="1:4" ht="15">
      <c r="C46" s="2" t="s">
        <v>434</v>
      </c>
    </row>
    <row r="47" spans="1:4" ht="15">
      <c r="C47" s="2" t="s">
        <v>435</v>
      </c>
    </row>
    <row r="48" spans="1:4" ht="15">
      <c r="B48" s="2" t="s">
        <v>436</v>
      </c>
    </row>
    <row r="49" spans="1:32" ht="15">
      <c r="C49" s="2" t="s">
        <v>437</v>
      </c>
    </row>
    <row r="50" spans="1:32" ht="15">
      <c r="C50" s="2" t="s">
        <v>438</v>
      </c>
    </row>
    <row r="52" spans="1:32" ht="15">
      <c r="A52" s="1" t="s">
        <v>394</v>
      </c>
    </row>
    <row r="54" spans="1:32">
      <c r="B54" s="2" t="s">
        <v>444</v>
      </c>
    </row>
    <row r="55" spans="1:32">
      <c r="C55" s="2" t="s">
        <v>393</v>
      </c>
    </row>
    <row r="56" spans="1:32">
      <c r="C56" s="2" t="s">
        <v>396</v>
      </c>
    </row>
    <row r="57" spans="1:32">
      <c r="C57" s="2" t="s">
        <v>395</v>
      </c>
    </row>
    <row r="58" spans="1:32">
      <c r="B58" s="2" t="s">
        <v>397</v>
      </c>
    </row>
    <row r="60" spans="1:32" ht="15">
      <c r="C60" s="1" t="s">
        <v>462</v>
      </c>
      <c r="G60" s="2" t="s">
        <v>401</v>
      </c>
      <c r="AE60" s="11" t="s">
        <v>603</v>
      </c>
    </row>
    <row r="61" spans="1:32">
      <c r="H61" s="2" t="s">
        <v>402</v>
      </c>
      <c r="AE61" s="11" t="s">
        <v>414</v>
      </c>
      <c r="AF61" s="11" t="s">
        <v>415</v>
      </c>
    </row>
    <row r="62" spans="1:32">
      <c r="H62" s="2" t="s">
        <v>443</v>
      </c>
      <c r="AE62" s="11" t="s">
        <v>528</v>
      </c>
      <c r="AF62" s="11" t="s">
        <v>416</v>
      </c>
    </row>
    <row r="63" spans="1:32">
      <c r="H63" s="2" t="s">
        <v>413</v>
      </c>
      <c r="AE63" s="11" t="s">
        <v>420</v>
      </c>
      <c r="AF63" s="11" t="s">
        <v>418</v>
      </c>
    </row>
    <row r="64" spans="1:32">
      <c r="AE64" s="11"/>
      <c r="AF64" s="11"/>
    </row>
    <row r="65" spans="3:32" ht="15">
      <c r="C65" s="13" t="s">
        <v>398</v>
      </c>
      <c r="G65" s="2" t="s">
        <v>419</v>
      </c>
      <c r="AE65" s="11" t="s">
        <v>603</v>
      </c>
    </row>
    <row r="66" spans="3:32">
      <c r="C66" s="12"/>
      <c r="H66" s="2" t="s">
        <v>442</v>
      </c>
      <c r="AE66" s="11" t="s">
        <v>515</v>
      </c>
      <c r="AF66" s="11" t="s">
        <v>415</v>
      </c>
    </row>
    <row r="67" spans="3:32">
      <c r="C67" s="12"/>
      <c r="H67" s="2" t="s">
        <v>439</v>
      </c>
      <c r="AE67" s="11" t="s">
        <v>527</v>
      </c>
      <c r="AF67" s="11" t="s">
        <v>513</v>
      </c>
    </row>
    <row r="68" spans="3:32">
      <c r="C68" s="12"/>
      <c r="I68" s="2" t="s">
        <v>441</v>
      </c>
      <c r="AE68" s="11" t="s">
        <v>516</v>
      </c>
      <c r="AF68" s="11" t="s">
        <v>514</v>
      </c>
    </row>
    <row r="69" spans="3:32">
      <c r="C69" s="12"/>
      <c r="H69" s="2" t="s">
        <v>440</v>
      </c>
    </row>
    <row r="70" spans="3:32">
      <c r="C70" s="12"/>
      <c r="AE70" s="11" t="s">
        <v>603</v>
      </c>
    </row>
    <row r="71" spans="3:32" ht="15">
      <c r="C71" s="13" t="s">
        <v>399</v>
      </c>
      <c r="G71" s="2" t="s">
        <v>421</v>
      </c>
      <c r="AE71" s="11" t="s">
        <v>521</v>
      </c>
      <c r="AF71" s="11" t="s">
        <v>518</v>
      </c>
    </row>
    <row r="72" spans="3:32" ht="15">
      <c r="C72" s="13"/>
      <c r="H72" s="2" t="s">
        <v>422</v>
      </c>
      <c r="AE72" s="11" t="s">
        <v>526</v>
      </c>
      <c r="AF72" s="11" t="s">
        <v>519</v>
      </c>
    </row>
    <row r="73" spans="3:32" ht="15">
      <c r="C73" s="13"/>
      <c r="H73" s="2" t="s">
        <v>517</v>
      </c>
      <c r="AE73" s="11" t="s">
        <v>522</v>
      </c>
      <c r="AF73" s="11" t="s">
        <v>520</v>
      </c>
    </row>
    <row r="74" spans="3:32" ht="15">
      <c r="C74" s="13"/>
      <c r="G74" s="44"/>
      <c r="H74" s="2" t="s">
        <v>423</v>
      </c>
    </row>
    <row r="75" spans="3:32" ht="15">
      <c r="C75" s="13"/>
      <c r="G75" s="44"/>
      <c r="H75" s="44"/>
      <c r="AE75" s="11" t="s">
        <v>603</v>
      </c>
    </row>
    <row r="76" spans="3:32" ht="15">
      <c r="C76" s="13" t="s">
        <v>400</v>
      </c>
      <c r="G76" s="2" t="s">
        <v>424</v>
      </c>
      <c r="AE76" s="11" t="s">
        <v>523</v>
      </c>
      <c r="AF76" s="11" t="s">
        <v>594</v>
      </c>
    </row>
    <row r="77" spans="3:32" ht="15">
      <c r="C77" s="13"/>
      <c r="H77" s="2" t="s">
        <v>425</v>
      </c>
      <c r="AE77" s="11" t="s">
        <v>525</v>
      </c>
      <c r="AF77" s="11" t="s">
        <v>595</v>
      </c>
    </row>
    <row r="78" spans="3:32" ht="15">
      <c r="C78" s="13"/>
      <c r="H78" s="2" t="s">
        <v>428</v>
      </c>
      <c r="AE78" s="11" t="s">
        <v>524</v>
      </c>
      <c r="AF78" s="11" t="s">
        <v>596</v>
      </c>
    </row>
    <row r="79" spans="3:32" ht="15">
      <c r="C79" s="13"/>
      <c r="H79" s="2" t="s">
        <v>426</v>
      </c>
    </row>
    <row r="80" spans="3:32" ht="15">
      <c r="C80" s="13"/>
      <c r="I80" s="2" t="s">
        <v>445</v>
      </c>
    </row>
    <row r="81" spans="1:32" ht="15">
      <c r="C81" s="13"/>
      <c r="H81" s="2" t="s">
        <v>427</v>
      </c>
    </row>
    <row r="82" spans="1:32" ht="15">
      <c r="C82" s="13"/>
    </row>
    <row r="83" spans="1:32" ht="15">
      <c r="C83" s="13" t="s">
        <v>615</v>
      </c>
      <c r="G83" s="2" t="s">
        <v>429</v>
      </c>
      <c r="AE83" s="11" t="s">
        <v>603</v>
      </c>
    </row>
    <row r="84" spans="1:32" ht="15">
      <c r="C84" s="13"/>
      <c r="H84" s="2" t="s">
        <v>446</v>
      </c>
      <c r="AE84" s="11" t="s">
        <v>600</v>
      </c>
      <c r="AF84" s="11" t="s">
        <v>597</v>
      </c>
    </row>
    <row r="85" spans="1:32" ht="15">
      <c r="C85" s="13"/>
      <c r="G85" s="2" t="s">
        <v>447</v>
      </c>
      <c r="AE85" s="11" t="s">
        <v>601</v>
      </c>
      <c r="AF85" s="11" t="s">
        <v>598</v>
      </c>
    </row>
    <row r="86" spans="1:32" ht="15">
      <c r="C86" s="13"/>
      <c r="G86" s="2" t="s">
        <v>448</v>
      </c>
      <c r="AE86" s="11" t="s">
        <v>602</v>
      </c>
      <c r="AF86" s="11" t="s">
        <v>599</v>
      </c>
    </row>
    <row r="87" spans="1:32" ht="15">
      <c r="C87" s="13"/>
      <c r="H87" s="2" t="s">
        <v>449</v>
      </c>
    </row>
    <row r="88" spans="1:32" ht="15">
      <c r="C88" s="13"/>
      <c r="G88" s="2" t="s">
        <v>430</v>
      </c>
    </row>
    <row r="89" spans="1:32" ht="15">
      <c r="C89" s="13"/>
      <c r="H89" s="44"/>
      <c r="I89" s="44"/>
    </row>
    <row r="90" spans="1:32" ht="15">
      <c r="C90" s="13" t="s">
        <v>417</v>
      </c>
      <c r="G90" s="2" t="s">
        <v>431</v>
      </c>
    </row>
    <row r="91" spans="1:32">
      <c r="H91" s="2" t="s">
        <v>432</v>
      </c>
    </row>
    <row r="93" spans="1:32" ht="15">
      <c r="A93" s="1" t="s">
        <v>405</v>
      </c>
    </row>
    <row r="95" spans="1:32">
      <c r="B95" s="2" t="s">
        <v>406</v>
      </c>
    </row>
    <row r="97" spans="2:8" ht="15">
      <c r="C97" s="1" t="s">
        <v>407</v>
      </c>
      <c r="G97" s="2" t="s">
        <v>450</v>
      </c>
    </row>
    <row r="98" spans="2:8">
      <c r="G98" s="2" t="s">
        <v>451</v>
      </c>
    </row>
    <row r="99" spans="2:8">
      <c r="H99" s="2" t="s">
        <v>452</v>
      </c>
    </row>
    <row r="100" spans="2:8">
      <c r="G100" s="2" t="s">
        <v>453</v>
      </c>
    </row>
    <row r="102" spans="2:8" ht="15">
      <c r="C102" s="1" t="s">
        <v>408</v>
      </c>
      <c r="G102" s="2" t="s">
        <v>455</v>
      </c>
    </row>
    <row r="103" spans="2:8" ht="15">
      <c r="C103" s="1"/>
      <c r="H103" s="2" t="s">
        <v>454</v>
      </c>
    </row>
    <row r="104" spans="2:8" ht="15">
      <c r="C104" s="1"/>
      <c r="H104" s="2" t="s">
        <v>456</v>
      </c>
    </row>
    <row r="105" spans="2:8" ht="15">
      <c r="C105" s="1"/>
      <c r="H105" s="2" t="s">
        <v>457</v>
      </c>
    </row>
    <row r="106" spans="2:8" ht="15">
      <c r="C106" s="1"/>
      <c r="H106" s="2" t="s">
        <v>458</v>
      </c>
    </row>
    <row r="107" spans="2:8" ht="15">
      <c r="C107" s="1"/>
      <c r="G107" s="44"/>
      <c r="H107" s="44"/>
    </row>
    <row r="108" spans="2:8">
      <c r="B108" s="2" t="s">
        <v>409</v>
      </c>
    </row>
    <row r="109" spans="2:8">
      <c r="C109" s="2" t="s">
        <v>410</v>
      </c>
    </row>
    <row r="110" spans="2:8">
      <c r="C110" s="2" t="s">
        <v>411</v>
      </c>
    </row>
    <row r="111" spans="2:8">
      <c r="C111" s="2" t="s">
        <v>412</v>
      </c>
    </row>
    <row r="113" spans="1:11">
      <c r="B113" s="2" t="s">
        <v>390</v>
      </c>
    </row>
    <row r="115" spans="1:11" ht="15">
      <c r="A115" s="1" t="s">
        <v>459</v>
      </c>
    </row>
    <row r="117" spans="1:11" ht="15">
      <c r="B117" s="23"/>
      <c r="C117" s="24" t="s">
        <v>460</v>
      </c>
      <c r="D117" s="23"/>
      <c r="E117" s="23"/>
      <c r="F117" s="23"/>
      <c r="G117" s="25" t="s">
        <v>463</v>
      </c>
      <c r="H117" s="23"/>
      <c r="I117" s="23"/>
      <c r="J117" s="23"/>
      <c r="K117" s="40"/>
    </row>
    <row r="118" spans="1:11">
      <c r="B118" s="26"/>
      <c r="C118" s="15"/>
      <c r="D118" s="16"/>
      <c r="E118" s="17"/>
      <c r="F118" s="16" t="s">
        <v>464</v>
      </c>
      <c r="G118" s="16"/>
      <c r="H118" s="16"/>
      <c r="I118" s="16"/>
      <c r="J118" s="16"/>
      <c r="K118" s="17"/>
    </row>
    <row r="119" spans="1:11" ht="15">
      <c r="B119" s="26"/>
      <c r="C119" s="28"/>
      <c r="D119" s="37" t="s">
        <v>491</v>
      </c>
      <c r="E119" s="19"/>
      <c r="F119" s="14" t="s">
        <v>465</v>
      </c>
      <c r="G119" s="14"/>
      <c r="H119" s="14"/>
      <c r="I119" s="14"/>
      <c r="J119" s="14"/>
      <c r="K119" s="19"/>
    </row>
    <row r="120" spans="1:11">
      <c r="B120" s="26"/>
      <c r="C120" s="18"/>
      <c r="D120" s="38"/>
      <c r="E120" s="19"/>
      <c r="F120" s="14" t="s">
        <v>466</v>
      </c>
      <c r="G120" s="14"/>
      <c r="H120" s="14"/>
      <c r="I120" s="14"/>
      <c r="J120" s="14"/>
      <c r="K120" s="19"/>
    </row>
    <row r="121" spans="1:11" ht="15">
      <c r="B121" s="27" t="s">
        <v>311</v>
      </c>
      <c r="C121" s="20"/>
      <c r="D121" s="41"/>
      <c r="E121" s="22"/>
      <c r="F121" s="21" t="s">
        <v>467</v>
      </c>
      <c r="G121" s="21"/>
      <c r="H121" s="21"/>
      <c r="I121" s="21"/>
      <c r="J121" s="21"/>
      <c r="K121" s="22"/>
    </row>
    <row r="122" spans="1:11">
      <c r="B122" s="26"/>
      <c r="C122" s="15"/>
      <c r="D122" s="42"/>
      <c r="E122" s="17"/>
      <c r="F122" s="16" t="s">
        <v>468</v>
      </c>
      <c r="G122" s="16"/>
      <c r="H122" s="16"/>
      <c r="I122" s="16"/>
      <c r="J122" s="16"/>
      <c r="K122" s="17"/>
    </row>
    <row r="123" spans="1:11" ht="15">
      <c r="B123" s="26"/>
      <c r="C123" s="28"/>
      <c r="D123" s="37" t="s">
        <v>492</v>
      </c>
      <c r="E123" s="19"/>
      <c r="F123" s="14" t="s">
        <v>469</v>
      </c>
      <c r="G123" s="14"/>
      <c r="H123" s="14"/>
      <c r="I123" s="14"/>
      <c r="J123" s="14"/>
      <c r="K123" s="19"/>
    </row>
    <row r="124" spans="1:11">
      <c r="B124" s="26"/>
      <c r="C124" s="18"/>
      <c r="D124" s="38"/>
      <c r="E124" s="19"/>
      <c r="F124" s="14" t="s">
        <v>470</v>
      </c>
      <c r="G124" s="14"/>
      <c r="H124" s="14"/>
      <c r="I124" s="14"/>
      <c r="J124" s="14"/>
      <c r="K124" s="19"/>
    </row>
    <row r="125" spans="1:11">
      <c r="B125" s="26"/>
      <c r="C125" s="20"/>
      <c r="D125" s="41"/>
      <c r="E125" s="22"/>
      <c r="F125" s="21" t="s">
        <v>471</v>
      </c>
      <c r="G125" s="21"/>
      <c r="H125" s="21"/>
      <c r="I125" s="21"/>
      <c r="J125" s="21"/>
      <c r="K125" s="22"/>
    </row>
    <row r="126" spans="1:11">
      <c r="B126" s="31"/>
      <c r="C126" s="15"/>
      <c r="D126" s="42"/>
      <c r="E126" s="17"/>
      <c r="F126" s="16" t="s">
        <v>472</v>
      </c>
      <c r="G126" s="16"/>
      <c r="H126" s="16"/>
      <c r="I126" s="16"/>
      <c r="J126" s="16"/>
      <c r="K126" s="17"/>
    </row>
    <row r="127" spans="1:11">
      <c r="B127" s="32"/>
      <c r="C127" s="18"/>
      <c r="D127" s="38"/>
      <c r="E127" s="19"/>
      <c r="F127" s="14" t="s">
        <v>473</v>
      </c>
      <c r="G127" s="14"/>
      <c r="H127" s="14"/>
      <c r="I127" s="14"/>
      <c r="J127" s="14"/>
      <c r="K127" s="19"/>
    </row>
    <row r="128" spans="1:11" ht="15">
      <c r="B128" s="32"/>
      <c r="C128" s="30"/>
      <c r="D128" s="37" t="s">
        <v>493</v>
      </c>
      <c r="E128" s="35"/>
      <c r="F128" s="14" t="s">
        <v>474</v>
      </c>
      <c r="G128" s="14"/>
      <c r="H128" s="14"/>
      <c r="I128" s="14"/>
      <c r="J128" s="14"/>
      <c r="K128" s="19"/>
    </row>
    <row r="129" spans="2:11" ht="15">
      <c r="B129" s="32"/>
      <c r="C129" s="30"/>
      <c r="D129" s="37" t="s">
        <v>494</v>
      </c>
      <c r="E129" s="35"/>
      <c r="F129" s="14" t="s">
        <v>475</v>
      </c>
      <c r="G129" s="14"/>
      <c r="H129" s="14"/>
      <c r="I129" s="14"/>
      <c r="J129" s="14"/>
      <c r="K129" s="19"/>
    </row>
    <row r="130" spans="2:11">
      <c r="B130" s="32"/>
      <c r="C130" s="18"/>
      <c r="D130" s="38"/>
      <c r="E130" s="36"/>
      <c r="F130" s="14" t="s">
        <v>476</v>
      </c>
      <c r="G130" s="14"/>
      <c r="H130" s="14"/>
      <c r="I130" s="14"/>
      <c r="J130" s="14"/>
      <c r="K130" s="19"/>
    </row>
    <row r="131" spans="2:11">
      <c r="B131" s="32"/>
      <c r="C131" s="20"/>
      <c r="D131" s="41"/>
      <c r="E131" s="22"/>
      <c r="F131" s="21" t="s">
        <v>477</v>
      </c>
      <c r="G131" s="21"/>
      <c r="H131" s="21"/>
      <c r="I131" s="21"/>
      <c r="J131" s="21"/>
      <c r="K131" s="22"/>
    </row>
    <row r="132" spans="2:11">
      <c r="B132" s="32"/>
      <c r="C132" s="15"/>
      <c r="D132" s="42"/>
      <c r="E132" s="17"/>
      <c r="F132" s="16" t="s">
        <v>478</v>
      </c>
      <c r="G132" s="16"/>
      <c r="H132" s="16"/>
      <c r="I132" s="16"/>
      <c r="J132" s="16"/>
      <c r="K132" s="17"/>
    </row>
    <row r="133" spans="2:11" ht="15">
      <c r="B133" s="32"/>
      <c r="C133" s="28"/>
      <c r="D133" s="37" t="s">
        <v>492</v>
      </c>
      <c r="E133" s="19"/>
      <c r="F133" s="14" t="s">
        <v>479</v>
      </c>
      <c r="G133" s="14"/>
      <c r="H133" s="14"/>
      <c r="I133" s="14"/>
      <c r="J133" s="14"/>
      <c r="K133" s="19"/>
    </row>
    <row r="134" spans="2:11" ht="15">
      <c r="B134" s="33" t="s">
        <v>549</v>
      </c>
      <c r="C134" s="28"/>
      <c r="D134" s="37" t="s">
        <v>494</v>
      </c>
      <c r="E134" s="19"/>
      <c r="F134" s="14" t="s">
        <v>480</v>
      </c>
      <c r="G134" s="14"/>
      <c r="H134" s="14"/>
      <c r="I134" s="14"/>
      <c r="J134" s="14"/>
      <c r="K134" s="19"/>
    </row>
    <row r="135" spans="2:11" ht="15">
      <c r="B135" s="33" t="s">
        <v>550</v>
      </c>
      <c r="C135" s="18"/>
      <c r="D135" s="38"/>
      <c r="E135" s="19"/>
      <c r="F135" s="14" t="s">
        <v>481</v>
      </c>
      <c r="G135" s="14"/>
      <c r="H135" s="14"/>
      <c r="I135" s="14"/>
      <c r="J135" s="14"/>
      <c r="K135" s="19"/>
    </row>
    <row r="136" spans="2:11">
      <c r="B136" s="32"/>
      <c r="C136" s="20"/>
      <c r="D136" s="41"/>
      <c r="E136" s="22"/>
      <c r="F136" s="21" t="s">
        <v>482</v>
      </c>
      <c r="G136" s="21"/>
      <c r="H136" s="21"/>
      <c r="I136" s="21"/>
      <c r="J136" s="21"/>
      <c r="K136" s="22"/>
    </row>
    <row r="137" spans="2:11">
      <c r="B137" s="32"/>
      <c r="C137" s="15"/>
      <c r="D137" s="42"/>
      <c r="E137" s="17"/>
      <c r="F137" s="16" t="s">
        <v>483</v>
      </c>
      <c r="G137" s="16"/>
      <c r="H137" s="16"/>
      <c r="I137" s="16"/>
      <c r="J137" s="16"/>
      <c r="K137" s="17"/>
    </row>
    <row r="138" spans="2:11">
      <c r="B138" s="32"/>
      <c r="C138" s="18"/>
      <c r="D138" s="38"/>
      <c r="E138" s="19"/>
      <c r="F138" s="14" t="s">
        <v>484</v>
      </c>
      <c r="G138" s="14"/>
      <c r="H138" s="14"/>
      <c r="I138" s="14"/>
      <c r="J138" s="14"/>
      <c r="K138" s="19"/>
    </row>
    <row r="139" spans="2:11">
      <c r="B139" s="32"/>
      <c r="C139" s="18"/>
      <c r="D139" s="38"/>
      <c r="E139" s="19"/>
      <c r="F139" s="14" t="s">
        <v>485</v>
      </c>
      <c r="G139" s="14"/>
      <c r="H139" s="14"/>
      <c r="I139" s="14"/>
      <c r="J139" s="14"/>
      <c r="K139" s="19"/>
    </row>
    <row r="140" spans="2:11" ht="15">
      <c r="B140" s="32"/>
      <c r="C140" s="28"/>
      <c r="D140" s="37" t="s">
        <v>495</v>
      </c>
      <c r="E140" s="19"/>
      <c r="F140" s="14" t="s">
        <v>486</v>
      </c>
      <c r="G140" s="14"/>
      <c r="H140" s="14"/>
      <c r="I140" s="14"/>
      <c r="J140" s="14"/>
      <c r="K140" s="19"/>
    </row>
    <row r="141" spans="2:11">
      <c r="B141" s="32"/>
      <c r="C141" s="18"/>
      <c r="D141" s="38"/>
      <c r="E141" s="19"/>
      <c r="F141" s="14" t="s">
        <v>487</v>
      </c>
      <c r="G141" s="14"/>
      <c r="H141" s="14"/>
      <c r="I141" s="14"/>
      <c r="J141" s="14"/>
      <c r="K141" s="19"/>
    </row>
    <row r="142" spans="2:11">
      <c r="B142" s="32"/>
      <c r="C142" s="18"/>
      <c r="D142" s="38"/>
      <c r="E142" s="19"/>
      <c r="F142" s="14" t="s">
        <v>488</v>
      </c>
      <c r="G142" s="14"/>
      <c r="H142" s="14"/>
      <c r="I142" s="14"/>
      <c r="J142" s="14"/>
      <c r="K142" s="19"/>
    </row>
    <row r="143" spans="2:11">
      <c r="B143" s="32"/>
      <c r="C143" s="20"/>
      <c r="D143" s="41"/>
      <c r="E143" s="22"/>
      <c r="F143" s="21" t="s">
        <v>489</v>
      </c>
      <c r="G143" s="21"/>
      <c r="H143" s="21"/>
      <c r="I143" s="21"/>
      <c r="J143" s="21"/>
      <c r="K143" s="22"/>
    </row>
    <row r="144" spans="2:11" ht="15">
      <c r="B144" s="34"/>
      <c r="C144" s="29"/>
      <c r="D144" s="39" t="s">
        <v>496</v>
      </c>
      <c r="E144" s="22"/>
      <c r="F144" s="21" t="s">
        <v>490</v>
      </c>
      <c r="G144" s="21"/>
      <c r="H144" s="21"/>
      <c r="I144" s="21"/>
      <c r="J144" s="21"/>
      <c r="K144" s="22"/>
    </row>
    <row r="146" spans="1:3">
      <c r="B146" s="2" t="s">
        <v>497</v>
      </c>
    </row>
    <row r="147" spans="1:3">
      <c r="C147" s="2" t="s">
        <v>652</v>
      </c>
    </row>
    <row r="149" spans="1:3" ht="15">
      <c r="A149" s="1" t="s">
        <v>504</v>
      </c>
    </row>
    <row r="151" spans="1:3">
      <c r="B151" s="2" t="s">
        <v>498</v>
      </c>
    </row>
    <row r="152" spans="1:3">
      <c r="C152" s="2" t="s">
        <v>499</v>
      </c>
    </row>
    <row r="153" spans="1:3">
      <c r="B153" s="2" t="s">
        <v>659</v>
      </c>
    </row>
    <row r="154" spans="1:3">
      <c r="C154" s="2" t="s">
        <v>500</v>
      </c>
    </row>
    <row r="155" spans="1:3">
      <c r="B155" s="2" t="s">
        <v>658</v>
      </c>
    </row>
    <row r="157" spans="1:3" ht="15">
      <c r="A157" s="1" t="s">
        <v>505</v>
      </c>
    </row>
    <row r="159" spans="1:3">
      <c r="B159" s="2" t="s">
        <v>657</v>
      </c>
    </row>
    <row r="160" spans="1:3">
      <c r="B160" s="2" t="s">
        <v>501</v>
      </c>
    </row>
    <row r="161" spans="1:3">
      <c r="C161" s="2" t="s">
        <v>507</v>
      </c>
    </row>
    <row r="162" spans="1:3">
      <c r="C162" s="2" t="s">
        <v>506</v>
      </c>
    </row>
    <row r="163" spans="1:3">
      <c r="C163" s="2" t="s">
        <v>502</v>
      </c>
    </row>
    <row r="164" spans="1:3">
      <c r="C164" s="2" t="s">
        <v>503</v>
      </c>
    </row>
    <row r="166" spans="1:3" ht="15">
      <c r="A166" s="1" t="s">
        <v>508</v>
      </c>
    </row>
    <row r="168" spans="1:3">
      <c r="B168" s="2" t="s">
        <v>565</v>
      </c>
    </row>
    <row r="169" spans="1:3">
      <c r="C169" s="2" t="s">
        <v>509</v>
      </c>
    </row>
    <row r="170" spans="1:3">
      <c r="B170" s="2" t="s">
        <v>564</v>
      </c>
    </row>
    <row r="171" spans="1:3">
      <c r="C171" s="2" t="s">
        <v>529</v>
      </c>
    </row>
    <row r="172" spans="1:3" ht="15">
      <c r="B172" s="45"/>
      <c r="C172" s="2" t="s">
        <v>530</v>
      </c>
    </row>
    <row r="173" spans="1:3">
      <c r="B173" s="2" t="s">
        <v>563</v>
      </c>
    </row>
    <row r="174" spans="1:3" ht="15">
      <c r="C174" s="2" t="s">
        <v>531</v>
      </c>
    </row>
    <row r="175" spans="1:3" ht="15">
      <c r="C175" s="1" t="s">
        <v>612</v>
      </c>
    </row>
    <row r="176" spans="1:3">
      <c r="B176" s="2" t="s">
        <v>561</v>
      </c>
    </row>
    <row r="177" spans="1:5">
      <c r="B177" s="2" t="s">
        <v>562</v>
      </c>
    </row>
    <row r="178" spans="1:5">
      <c r="C178" s="2" t="s">
        <v>532</v>
      </c>
    </row>
    <row r="179" spans="1:5">
      <c r="B179" s="2" t="s">
        <v>560</v>
      </c>
    </row>
    <row r="180" spans="1:5">
      <c r="C180" s="2" t="s">
        <v>533</v>
      </c>
    </row>
    <row r="182" spans="1:5" ht="15">
      <c r="A182" s="1" t="s">
        <v>534</v>
      </c>
    </row>
    <row r="184" spans="1:5">
      <c r="B184" s="2" t="s">
        <v>535</v>
      </c>
    </row>
    <row r="185" spans="1:5">
      <c r="C185" s="2" t="s">
        <v>656</v>
      </c>
    </row>
    <row r="186" spans="1:5">
      <c r="B186" s="2" t="s">
        <v>655</v>
      </c>
    </row>
    <row r="187" spans="1:5" ht="15">
      <c r="C187" s="44"/>
    </row>
    <row r="188" spans="1:5" ht="15">
      <c r="C188" s="43" t="s">
        <v>543</v>
      </c>
      <c r="E188" s="43" t="s">
        <v>542</v>
      </c>
    </row>
    <row r="189" spans="1:5">
      <c r="C189" s="2" t="s">
        <v>536</v>
      </c>
      <c r="E189" s="2" t="s">
        <v>544</v>
      </c>
    </row>
    <row r="190" spans="1:5">
      <c r="C190" s="2" t="s">
        <v>538</v>
      </c>
      <c r="E190" s="2" t="s">
        <v>552</v>
      </c>
    </row>
    <row r="191" spans="1:5">
      <c r="C191" s="2" t="s">
        <v>539</v>
      </c>
      <c r="E191" s="50" t="s">
        <v>592</v>
      </c>
    </row>
    <row r="192" spans="1:5">
      <c r="C192" s="2" t="s">
        <v>540</v>
      </c>
      <c r="E192" s="2" t="s">
        <v>553</v>
      </c>
    </row>
    <row r="193" spans="2:6">
      <c r="C193" s="2" t="s">
        <v>541</v>
      </c>
      <c r="E193" s="51" t="s">
        <v>554</v>
      </c>
    </row>
    <row r="194" spans="2:6">
      <c r="C194" s="2" t="s">
        <v>537</v>
      </c>
      <c r="E194" s="50" t="s">
        <v>545</v>
      </c>
      <c r="F194" s="2" t="s">
        <v>546</v>
      </c>
    </row>
    <row r="195" spans="2:6">
      <c r="C195" s="2" t="s">
        <v>557</v>
      </c>
      <c r="E195" s="2" t="s">
        <v>556</v>
      </c>
      <c r="F195" s="2" t="s">
        <v>638</v>
      </c>
    </row>
    <row r="196" spans="2:6" ht="15">
      <c r="C196" s="1"/>
    </row>
    <row r="197" spans="2:6" ht="15">
      <c r="C197" s="43" t="s">
        <v>551</v>
      </c>
    </row>
    <row r="198" spans="2:6">
      <c r="C198" s="2" t="s">
        <v>555</v>
      </c>
    </row>
    <row r="199" spans="2:6">
      <c r="C199" s="2" t="s">
        <v>558</v>
      </c>
    </row>
    <row r="200" spans="2:6">
      <c r="C200" s="2" t="s">
        <v>559</v>
      </c>
    </row>
    <row r="202" spans="2:6">
      <c r="B202" s="2" t="s">
        <v>566</v>
      </c>
    </row>
    <row r="203" spans="2:6">
      <c r="C203" s="2" t="s">
        <v>567</v>
      </c>
    </row>
    <row r="204" spans="2:6">
      <c r="B204" s="2" t="s">
        <v>568</v>
      </c>
    </row>
    <row r="206" spans="2:6">
      <c r="B206" s="2" t="s">
        <v>569</v>
      </c>
    </row>
    <row r="207" spans="2:6">
      <c r="B207" s="11" t="s">
        <v>369</v>
      </c>
      <c r="C207" s="2" t="s">
        <v>570</v>
      </c>
    </row>
    <row r="208" spans="2:6">
      <c r="B208" s="11" t="s">
        <v>369</v>
      </c>
      <c r="C208" s="2" t="s">
        <v>571</v>
      </c>
    </row>
    <row r="209" spans="2:3">
      <c r="B209" s="11" t="s">
        <v>369</v>
      </c>
      <c r="C209" s="2" t="s">
        <v>572</v>
      </c>
    </row>
    <row r="210" spans="2:3">
      <c r="B210" s="11" t="s">
        <v>369</v>
      </c>
      <c r="C210" s="2" t="s">
        <v>573</v>
      </c>
    </row>
    <row r="211" spans="2:3">
      <c r="B211" s="11" t="s">
        <v>369</v>
      </c>
      <c r="C211" s="2" t="s">
        <v>574</v>
      </c>
    </row>
    <row r="212" spans="2:3">
      <c r="B212" s="11" t="s">
        <v>369</v>
      </c>
      <c r="C212" s="2" t="s">
        <v>575</v>
      </c>
    </row>
    <row r="214" spans="2:3">
      <c r="B214" s="2" t="s">
        <v>576</v>
      </c>
    </row>
    <row r="216" spans="2:3">
      <c r="B216" s="2" t="s">
        <v>577</v>
      </c>
    </row>
    <row r="217" spans="2:3">
      <c r="B217" s="11" t="s">
        <v>369</v>
      </c>
      <c r="C217" s="2" t="s">
        <v>578</v>
      </c>
    </row>
    <row r="218" spans="2:3">
      <c r="B218" s="11" t="s">
        <v>369</v>
      </c>
      <c r="C218" s="2" t="s">
        <v>579</v>
      </c>
    </row>
    <row r="219" spans="2:3">
      <c r="B219" s="11" t="s">
        <v>369</v>
      </c>
      <c r="C219" s="2" t="s">
        <v>580</v>
      </c>
    </row>
    <row r="220" spans="2:3">
      <c r="B220" s="11" t="s">
        <v>369</v>
      </c>
      <c r="C220" s="2" t="s">
        <v>581</v>
      </c>
    </row>
    <row r="221" spans="2:3">
      <c r="B221" s="11" t="s">
        <v>369</v>
      </c>
      <c r="C221" s="2" t="s">
        <v>582</v>
      </c>
    </row>
    <row r="222" spans="2:3">
      <c r="B222" s="11" t="s">
        <v>369</v>
      </c>
      <c r="C222" s="2" t="s">
        <v>583</v>
      </c>
    </row>
    <row r="223" spans="2:3">
      <c r="B223" s="11" t="s">
        <v>369</v>
      </c>
      <c r="C223" s="2" t="s">
        <v>584</v>
      </c>
    </row>
    <row r="225" spans="1:3" ht="15">
      <c r="A225" s="1" t="s">
        <v>585</v>
      </c>
    </row>
    <row r="227" spans="1:3">
      <c r="B227" s="2" t="s">
        <v>586</v>
      </c>
    </row>
    <row r="228" spans="1:3">
      <c r="C228" s="2" t="s">
        <v>587</v>
      </c>
    </row>
    <row r="229" spans="1:3">
      <c r="C229" s="2" t="s">
        <v>588</v>
      </c>
    </row>
    <row r="230" spans="1:3">
      <c r="C230" s="2" t="s">
        <v>589</v>
      </c>
    </row>
    <row r="231" spans="1:3">
      <c r="B231" s="2" t="s">
        <v>590</v>
      </c>
    </row>
    <row r="232" spans="1:3" ht="15">
      <c r="B232" s="2" t="s">
        <v>605</v>
      </c>
    </row>
    <row r="233" spans="1:3">
      <c r="C233" s="2" t="s">
        <v>591</v>
      </c>
    </row>
    <row r="234" spans="1:3">
      <c r="C234" s="2" t="s">
        <v>604</v>
      </c>
    </row>
    <row r="235" spans="1:3">
      <c r="B235" s="2" t="s">
        <v>606</v>
      </c>
    </row>
    <row r="236" spans="1:3">
      <c r="C236" s="2" t="s">
        <v>607</v>
      </c>
    </row>
    <row r="237" spans="1:3">
      <c r="B237" s="2" t="s">
        <v>608</v>
      </c>
    </row>
    <row r="238" spans="1:3">
      <c r="B238" s="2" t="s">
        <v>609</v>
      </c>
    </row>
    <row r="239" spans="1:3">
      <c r="B239" s="2" t="s">
        <v>610</v>
      </c>
    </row>
    <row r="241" spans="1:7" ht="15">
      <c r="A241" s="1" t="s">
        <v>611</v>
      </c>
    </row>
    <row r="243" spans="1:7">
      <c r="B243" s="2" t="s">
        <v>613</v>
      </c>
    </row>
    <row r="245" spans="1:7">
      <c r="C245" s="2" t="s">
        <v>614</v>
      </c>
      <c r="E245" s="2" t="s">
        <v>616</v>
      </c>
    </row>
    <row r="247" spans="1:7">
      <c r="C247" s="2" t="s">
        <v>625</v>
      </c>
    </row>
    <row r="249" spans="1:7">
      <c r="C249" s="2" t="s">
        <v>626</v>
      </c>
    </row>
    <row r="251" spans="1:7" ht="15">
      <c r="A251" s="1" t="s">
        <v>627</v>
      </c>
    </row>
    <row r="253" spans="1:7" ht="15">
      <c r="A253" s="1" t="s">
        <v>628</v>
      </c>
    </row>
    <row r="255" spans="1:7">
      <c r="B255" s="2" t="s">
        <v>629</v>
      </c>
    </row>
    <row r="256" spans="1:7">
      <c r="C256" s="2" t="s">
        <v>637</v>
      </c>
      <c r="G256" s="2" t="s">
        <v>633</v>
      </c>
    </row>
    <row r="257" spans="2:7">
      <c r="C257" s="2" t="s">
        <v>630</v>
      </c>
      <c r="G257" s="2" t="s">
        <v>634</v>
      </c>
    </row>
    <row r="258" spans="2:7">
      <c r="C258" s="2" t="s">
        <v>631</v>
      </c>
      <c r="G258" s="2" t="s">
        <v>635</v>
      </c>
    </row>
    <row r="259" spans="2:7">
      <c r="C259" s="2" t="s">
        <v>632</v>
      </c>
      <c r="G259" s="2" t="s">
        <v>636</v>
      </c>
    </row>
    <row r="260" spans="2:7">
      <c r="B260" s="2" t="s">
        <v>654</v>
      </c>
    </row>
  </sheetData>
  <hyperlinks>
    <hyperlink ref="E191" r:id="rId1" xr:uid="{2B61F1B9-6BCB-4C40-A12D-45F75BC73872}"/>
    <hyperlink ref="E194" r:id="rId2" xr:uid="{CF1E1441-ECBB-4D65-9CD0-6BB8E929929E}"/>
    <hyperlink ref="A1" r:id="rId3" xr:uid="{BC1C6A08-4388-4BD0-AAE8-E5ACAF15E89E}"/>
    <hyperlink ref="E193" r:id="rId4" xr:uid="{74B948AA-FC91-4FC0-958B-F40D0DB78BC3}"/>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4BAB9-DE4D-4C7A-9063-1F5A1C1DB289}">
  <dimension ref="B1:CO77"/>
  <sheetViews>
    <sheetView tabSelected="1" zoomScale="80" zoomScaleNormal="80" workbookViewId="0">
      <pane xSplit="2" ySplit="2" topLeftCell="C3" activePane="bottomRight" state="frozen"/>
      <selection pane="topRight" activeCell="C1" sqref="C1"/>
      <selection pane="bottomLeft" activeCell="A3" sqref="A3"/>
      <selection pane="bottomRight" activeCell="V61" sqref="V61"/>
    </sheetView>
  </sheetViews>
  <sheetFormatPr defaultRowHeight="14.25"/>
  <cols>
    <col min="1" max="1" width="3.140625" style="2" customWidth="1"/>
    <col min="2" max="2" width="36.7109375" style="2" customWidth="1"/>
    <col min="3" max="3" width="9.85546875" style="2" bestFit="1" customWidth="1"/>
    <col min="4" max="22" width="9.28515625" style="2" bestFit="1" customWidth="1"/>
    <col min="23" max="16384" width="9.140625" style="2"/>
  </cols>
  <sheetData>
    <row r="1" spans="2:93">
      <c r="B1" s="2" t="s">
        <v>309</v>
      </c>
      <c r="C1" s="2" t="s">
        <v>277</v>
      </c>
      <c r="D1" s="2" t="s">
        <v>278</v>
      </c>
      <c r="E1" s="2" t="s">
        <v>279</v>
      </c>
      <c r="F1" s="2" t="s">
        <v>280</v>
      </c>
      <c r="G1" s="2" t="s">
        <v>277</v>
      </c>
      <c r="H1" s="2" t="s">
        <v>278</v>
      </c>
      <c r="I1" s="2" t="s">
        <v>279</v>
      </c>
      <c r="J1" s="2" t="s">
        <v>280</v>
      </c>
      <c r="K1" s="2" t="s">
        <v>277</v>
      </c>
      <c r="L1" s="2" t="s">
        <v>278</v>
      </c>
      <c r="M1" s="2" t="s">
        <v>279</v>
      </c>
      <c r="N1" s="2" t="s">
        <v>280</v>
      </c>
      <c r="O1" s="2" t="s">
        <v>277</v>
      </c>
      <c r="P1" s="2" t="s">
        <v>278</v>
      </c>
      <c r="Q1" s="2" t="s">
        <v>279</v>
      </c>
      <c r="R1" s="2" t="s">
        <v>280</v>
      </c>
      <c r="S1" s="2" t="s">
        <v>277</v>
      </c>
      <c r="T1" s="2" t="s">
        <v>278</v>
      </c>
      <c r="U1" s="2" t="s">
        <v>279</v>
      </c>
      <c r="V1" s="2" t="s">
        <v>280</v>
      </c>
      <c r="W1" s="2" t="s">
        <v>277</v>
      </c>
      <c r="X1" s="2" t="s">
        <v>278</v>
      </c>
      <c r="Y1" s="2" t="s">
        <v>279</v>
      </c>
      <c r="Z1" s="2" t="s">
        <v>280</v>
      </c>
      <c r="AA1" s="2" t="s">
        <v>277</v>
      </c>
      <c r="AB1" s="2" t="s">
        <v>278</v>
      </c>
      <c r="AC1" s="2" t="s">
        <v>279</v>
      </c>
      <c r="AD1" s="2" t="s">
        <v>280</v>
      </c>
      <c r="AE1" s="2" t="s">
        <v>277</v>
      </c>
      <c r="AF1" s="2" t="s">
        <v>278</v>
      </c>
      <c r="AG1" s="2" t="s">
        <v>279</v>
      </c>
      <c r="AH1" s="2" t="s">
        <v>280</v>
      </c>
    </row>
    <row r="2" spans="2:93" ht="15">
      <c r="B2" s="1" t="s">
        <v>310</v>
      </c>
      <c r="C2" s="1" t="s">
        <v>281</v>
      </c>
      <c r="D2" s="1" t="s">
        <v>282</v>
      </c>
      <c r="E2" s="1" t="s">
        <v>283</v>
      </c>
      <c r="F2" s="1" t="s">
        <v>284</v>
      </c>
      <c r="G2" s="1" t="s">
        <v>285</v>
      </c>
      <c r="H2" s="1" t="s">
        <v>286</v>
      </c>
      <c r="I2" s="1" t="s">
        <v>287</v>
      </c>
      <c r="J2" s="1" t="s">
        <v>288</v>
      </c>
      <c r="K2" s="1" t="s">
        <v>289</v>
      </c>
      <c r="L2" s="1" t="s">
        <v>290</v>
      </c>
      <c r="M2" s="1" t="s">
        <v>291</v>
      </c>
      <c r="N2" s="1" t="s">
        <v>292</v>
      </c>
      <c r="O2" s="1" t="s">
        <v>293</v>
      </c>
      <c r="P2" s="1" t="s">
        <v>294</v>
      </c>
      <c r="Q2" s="1" t="s">
        <v>295</v>
      </c>
      <c r="R2" s="1" t="s">
        <v>296</v>
      </c>
      <c r="S2" s="1" t="s">
        <v>297</v>
      </c>
      <c r="T2" s="1" t="s">
        <v>298</v>
      </c>
      <c r="U2" s="1" t="s">
        <v>299</v>
      </c>
      <c r="V2" s="1" t="s">
        <v>300</v>
      </c>
      <c r="W2" s="1" t="s">
        <v>301</v>
      </c>
      <c r="X2" s="1" t="s">
        <v>302</v>
      </c>
      <c r="Y2" s="1" t="s">
        <v>303</v>
      </c>
      <c r="Z2" s="1" t="s">
        <v>304</v>
      </c>
      <c r="AA2" s="1" t="s">
        <v>305</v>
      </c>
      <c r="AB2" s="1" t="s">
        <v>306</v>
      </c>
      <c r="AC2" s="1" t="s">
        <v>307</v>
      </c>
      <c r="AD2" s="1" t="s">
        <v>308</v>
      </c>
      <c r="AE2" s="1" t="s">
        <v>621</v>
      </c>
      <c r="AF2" s="1" t="s">
        <v>622</v>
      </c>
      <c r="AG2" s="1" t="s">
        <v>623</v>
      </c>
      <c r="AH2" s="1" t="s">
        <v>624</v>
      </c>
      <c r="AS2" s="1">
        <v>2020</v>
      </c>
      <c r="AT2" s="1">
        <v>2021</v>
      </c>
      <c r="AU2" s="1">
        <v>2022</v>
      </c>
      <c r="AV2" s="1">
        <f t="shared" ref="AV2:AX2" si="0">AU2+1</f>
        <v>2023</v>
      </c>
      <c r="AW2" s="1">
        <f t="shared" si="0"/>
        <v>2024</v>
      </c>
      <c r="AX2" s="10">
        <f t="shared" si="0"/>
        <v>2025</v>
      </c>
      <c r="AY2" s="10">
        <f t="shared" ref="AY2" si="1">AX2+1</f>
        <v>2026</v>
      </c>
      <c r="AZ2" s="10">
        <f t="shared" ref="AZ2" si="2">AY2+1</f>
        <v>2027</v>
      </c>
      <c r="BA2" s="10">
        <f t="shared" ref="BA2" si="3">AZ2+1</f>
        <v>2028</v>
      </c>
      <c r="BB2" s="10">
        <f t="shared" ref="BB2" si="4">BA2+1</f>
        <v>2029</v>
      </c>
      <c r="BC2" s="10">
        <f t="shared" ref="BC2" si="5">BB2+1</f>
        <v>2030</v>
      </c>
      <c r="BD2" s="10">
        <f t="shared" ref="BD2" si="6">BC2+1</f>
        <v>2031</v>
      </c>
      <c r="BE2" s="10">
        <f t="shared" ref="BE2" si="7">BD2+1</f>
        <v>2032</v>
      </c>
      <c r="BF2" s="10">
        <f t="shared" ref="BF2" si="8">BE2+1</f>
        <v>2033</v>
      </c>
      <c r="BG2" s="10">
        <f t="shared" ref="BG2" si="9">BF2+1</f>
        <v>2034</v>
      </c>
      <c r="BH2" s="10">
        <f t="shared" ref="BH2" si="10">BG2+1</f>
        <v>2035</v>
      </c>
      <c r="BI2" s="10">
        <f t="shared" ref="BI2" si="11">BH2+1</f>
        <v>2036</v>
      </c>
      <c r="BJ2" s="10">
        <f t="shared" ref="BJ2" si="12">BI2+1</f>
        <v>2037</v>
      </c>
      <c r="BK2" s="10">
        <f t="shared" ref="BK2" si="13">BJ2+1</f>
        <v>2038</v>
      </c>
      <c r="BL2" s="10">
        <f t="shared" ref="BL2" si="14">BK2+1</f>
        <v>2039</v>
      </c>
      <c r="BM2" s="10">
        <f t="shared" ref="BM2" si="15">BL2+1</f>
        <v>2040</v>
      </c>
      <c r="BN2" s="10">
        <f t="shared" ref="BN2" si="16">BM2+1</f>
        <v>2041</v>
      </c>
      <c r="BO2" s="10">
        <f t="shared" ref="BO2" si="17">BN2+1</f>
        <v>2042</v>
      </c>
      <c r="BP2" s="10">
        <f t="shared" ref="BP2" si="18">BO2+1</f>
        <v>2043</v>
      </c>
      <c r="BQ2" s="10">
        <f t="shared" ref="BQ2" si="19">BP2+1</f>
        <v>2044</v>
      </c>
      <c r="BR2" s="10">
        <f t="shared" ref="BR2" si="20">BQ2+1</f>
        <v>2045</v>
      </c>
      <c r="BS2" s="10">
        <f t="shared" ref="BS2" si="21">BR2+1</f>
        <v>2046</v>
      </c>
      <c r="BT2" s="10">
        <f t="shared" ref="BT2" si="22">BS2+1</f>
        <v>2047</v>
      </c>
      <c r="BU2" s="10">
        <f t="shared" ref="BU2" si="23">BT2+1</f>
        <v>2048</v>
      </c>
      <c r="BV2" s="10">
        <f t="shared" ref="BV2" si="24">BU2+1</f>
        <v>2049</v>
      </c>
      <c r="BW2" s="10">
        <f t="shared" ref="BW2" si="25">BV2+1</f>
        <v>2050</v>
      </c>
      <c r="BX2" s="10">
        <f t="shared" ref="BX2" si="26">BW2+1</f>
        <v>2051</v>
      </c>
      <c r="BY2" s="10">
        <f t="shared" ref="BY2" si="27">BX2+1</f>
        <v>2052</v>
      </c>
      <c r="BZ2" s="10">
        <f t="shared" ref="BZ2" si="28">BY2+1</f>
        <v>2053</v>
      </c>
      <c r="CA2" s="10">
        <f t="shared" ref="CA2" si="29">BZ2+1</f>
        <v>2054</v>
      </c>
      <c r="CB2" s="10">
        <f t="shared" ref="CB2" si="30">CA2+1</f>
        <v>2055</v>
      </c>
      <c r="CC2" s="10">
        <f t="shared" ref="CC2" si="31">CB2+1</f>
        <v>2056</v>
      </c>
      <c r="CD2" s="10">
        <f t="shared" ref="CD2" si="32">CC2+1</f>
        <v>2057</v>
      </c>
      <c r="CE2" s="10">
        <f t="shared" ref="CE2" si="33">CD2+1</f>
        <v>2058</v>
      </c>
      <c r="CF2" s="10">
        <f t="shared" ref="CF2" si="34">CE2+1</f>
        <v>2059</v>
      </c>
      <c r="CG2" s="10">
        <f t="shared" ref="CG2" si="35">CF2+1</f>
        <v>2060</v>
      </c>
      <c r="CH2" s="10">
        <f t="shared" ref="CH2" si="36">CG2+1</f>
        <v>2061</v>
      </c>
      <c r="CI2" s="10">
        <f t="shared" ref="CI2" si="37">CH2+1</f>
        <v>2062</v>
      </c>
      <c r="CJ2" s="10">
        <f t="shared" ref="CJ2" si="38">CI2+1</f>
        <v>2063</v>
      </c>
      <c r="CK2" s="10">
        <f t="shared" ref="CK2" si="39">CJ2+1</f>
        <v>2064</v>
      </c>
      <c r="CL2" s="10">
        <f t="shared" ref="CL2" si="40">CK2+1</f>
        <v>2065</v>
      </c>
      <c r="CM2" s="10"/>
      <c r="CN2" s="10"/>
      <c r="CO2" s="10"/>
    </row>
    <row r="3" spans="2:93">
      <c r="B3" s="2" t="s">
        <v>311</v>
      </c>
      <c r="O3" s="2">
        <v>145</v>
      </c>
      <c r="P3" s="2">
        <v>162</v>
      </c>
      <c r="Q3" s="2">
        <v>179</v>
      </c>
      <c r="R3" s="47">
        <f>677-SUM(O3:Q3)</f>
        <v>191</v>
      </c>
      <c r="S3" s="2">
        <v>188</v>
      </c>
      <c r="T3" s="2">
        <v>203</v>
      </c>
      <c r="U3" s="2">
        <v>204</v>
      </c>
      <c r="V3" s="47">
        <f>815-SUM(S3:U3)</f>
        <v>220</v>
      </c>
      <c r="AV3" s="2">
        <f>SUM(O3:R3)</f>
        <v>677</v>
      </c>
      <c r="AW3" s="2">
        <f t="shared" ref="AW3:AW4" si="41">SUM(S3:V3)</f>
        <v>815</v>
      </c>
    </row>
    <row r="4" spans="2:93">
      <c r="B4" s="2" t="s">
        <v>312</v>
      </c>
      <c r="O4" s="2">
        <v>96</v>
      </c>
      <c r="P4" s="2">
        <v>99</v>
      </c>
      <c r="Q4" s="2">
        <v>92</v>
      </c>
      <c r="R4" s="47">
        <f>381-SUM(O4:Q4)</f>
        <v>94</v>
      </c>
      <c r="S4" s="2">
        <v>91</v>
      </c>
      <c r="T4" s="2">
        <v>96</v>
      </c>
      <c r="U4" s="47">
        <v>96.89</v>
      </c>
      <c r="V4" s="47">
        <f>379-SUM(S4:U4)</f>
        <v>95.110000000000014</v>
      </c>
      <c r="AV4" s="2">
        <f t="shared" ref="AV4:AV71" si="42">SUM(O4:R4)</f>
        <v>381</v>
      </c>
      <c r="AW4" s="2">
        <f t="shared" si="41"/>
        <v>379</v>
      </c>
    </row>
    <row r="5" spans="2:93" ht="15">
      <c r="B5" s="1" t="s">
        <v>313</v>
      </c>
      <c r="K5" s="47"/>
      <c r="L5" s="47"/>
      <c r="M5" s="47"/>
      <c r="N5" s="47"/>
      <c r="O5" s="2">
        <f t="shared" ref="O5:T5" si="43">SUM(O3:O4)</f>
        <v>241</v>
      </c>
      <c r="P5" s="2">
        <f t="shared" si="43"/>
        <v>261</v>
      </c>
      <c r="Q5" s="2">
        <f t="shared" si="43"/>
        <v>271</v>
      </c>
      <c r="R5" s="2">
        <f t="shared" si="43"/>
        <v>285</v>
      </c>
      <c r="S5" s="2">
        <f t="shared" si="43"/>
        <v>279</v>
      </c>
      <c r="T5" s="2">
        <f t="shared" si="43"/>
        <v>299</v>
      </c>
      <c r="U5" s="47">
        <f>SUM(U3:U4)</f>
        <v>300.89</v>
      </c>
      <c r="V5" s="47">
        <f>SUM(V3:V4)</f>
        <v>315.11</v>
      </c>
      <c r="AV5" s="2">
        <f t="shared" si="42"/>
        <v>1058</v>
      </c>
      <c r="AW5" s="2">
        <f>SUM(S5:V5)</f>
        <v>1194</v>
      </c>
    </row>
    <row r="7" spans="2:93">
      <c r="B7" s="2" t="s">
        <v>317</v>
      </c>
      <c r="C7" s="48"/>
      <c r="D7" s="48"/>
      <c r="E7" s="48"/>
      <c r="F7" s="48"/>
      <c r="G7" s="48"/>
      <c r="H7" s="48"/>
      <c r="I7" s="48"/>
      <c r="J7" s="48"/>
      <c r="K7" s="48"/>
      <c r="L7" s="48"/>
      <c r="M7" s="48"/>
      <c r="N7" s="48"/>
      <c r="O7" s="48">
        <f t="shared" ref="O7:T7" si="44">O3/O5</f>
        <v>0.60165975103734437</v>
      </c>
      <c r="P7" s="48">
        <f t="shared" si="44"/>
        <v>0.62068965517241381</v>
      </c>
      <c r="Q7" s="48">
        <f t="shared" si="44"/>
        <v>0.66051660516605171</v>
      </c>
      <c r="R7" s="48">
        <f t="shared" si="44"/>
        <v>0.6701754385964912</v>
      </c>
      <c r="S7" s="48">
        <f t="shared" si="44"/>
        <v>0.6738351254480287</v>
      </c>
      <c r="T7" s="48">
        <f t="shared" si="44"/>
        <v>0.67892976588628762</v>
      </c>
      <c r="U7" s="48">
        <f>U3/U5</f>
        <v>0.6779886337199641</v>
      </c>
      <c r="V7" s="48">
        <f>V3/V5</f>
        <v>0.69816889340230393</v>
      </c>
      <c r="AS7" s="48"/>
      <c r="AT7" s="48"/>
      <c r="AU7" s="48"/>
      <c r="AV7" s="48">
        <f>AVERAGE(O7:R7)</f>
        <v>0.63826036249307527</v>
      </c>
      <c r="AW7" s="48">
        <f>AVERAGE(S7:V7)</f>
        <v>0.68223060461414609</v>
      </c>
    </row>
    <row r="8" spans="2:93">
      <c r="B8" s="2" t="s">
        <v>318</v>
      </c>
      <c r="C8" s="48"/>
      <c r="D8" s="48"/>
      <c r="E8" s="48"/>
      <c r="F8" s="48"/>
      <c r="G8" s="48"/>
      <c r="H8" s="48"/>
      <c r="I8" s="48"/>
      <c r="J8" s="48"/>
      <c r="K8" s="48"/>
      <c r="L8" s="48"/>
      <c r="M8" s="48"/>
      <c r="N8" s="48"/>
      <c r="O8" s="48">
        <f t="shared" ref="O8:T8" si="45">O4/O5</f>
        <v>0.39834024896265557</v>
      </c>
      <c r="P8" s="48">
        <f t="shared" si="45"/>
        <v>0.37931034482758619</v>
      </c>
      <c r="Q8" s="48">
        <f t="shared" si="45"/>
        <v>0.33948339483394835</v>
      </c>
      <c r="R8" s="48">
        <f t="shared" si="45"/>
        <v>0.3298245614035088</v>
      </c>
      <c r="S8" s="48">
        <f t="shared" si="45"/>
        <v>0.32616487455197135</v>
      </c>
      <c r="T8" s="48">
        <f t="shared" si="45"/>
        <v>0.32107023411371238</v>
      </c>
      <c r="U8" s="48">
        <f>U4/U5</f>
        <v>0.3220113662800359</v>
      </c>
      <c r="V8" s="48">
        <f>V4/V5</f>
        <v>0.30183110659769607</v>
      </c>
      <c r="AS8" s="48"/>
      <c r="AT8" s="48"/>
      <c r="AU8" s="48"/>
      <c r="AV8" s="48">
        <f t="shared" ref="AV8" si="46">AVERAGE(O8:R8)</f>
        <v>0.36173963750692473</v>
      </c>
      <c r="AW8" s="48">
        <f>AVERAGE(S8:V8)</f>
        <v>0.31776939538585391</v>
      </c>
    </row>
    <row r="9" spans="2:93">
      <c r="C9" s="48"/>
      <c r="D9" s="48"/>
      <c r="E9" s="48"/>
      <c r="F9" s="48"/>
      <c r="G9" s="48"/>
      <c r="H9" s="48"/>
      <c r="I9" s="48"/>
      <c r="J9" s="48"/>
      <c r="K9" s="48"/>
      <c r="L9" s="48"/>
      <c r="M9" s="48"/>
      <c r="N9" s="48"/>
      <c r="O9" s="48"/>
      <c r="P9" s="48"/>
      <c r="Q9" s="48"/>
      <c r="R9" s="48"/>
      <c r="S9" s="48"/>
      <c r="T9" s="48"/>
      <c r="U9" s="48"/>
      <c r="V9" s="48"/>
      <c r="AS9" s="48"/>
      <c r="AT9" s="48"/>
      <c r="AU9" s="48"/>
      <c r="AV9" s="48"/>
      <c r="AW9" s="48"/>
    </row>
    <row r="10" spans="2:93">
      <c r="B10" s="2" t="s">
        <v>319</v>
      </c>
      <c r="C10" s="48"/>
      <c r="D10" s="48"/>
      <c r="E10" s="48"/>
      <c r="F10" s="48"/>
      <c r="G10" s="48"/>
      <c r="H10" s="48"/>
      <c r="I10" s="48"/>
      <c r="J10" s="48"/>
      <c r="K10" s="48"/>
      <c r="L10" s="48"/>
      <c r="M10" s="48"/>
      <c r="N10" s="48"/>
      <c r="O10" s="48"/>
      <c r="P10" s="48"/>
      <c r="Q10" s="48"/>
      <c r="R10" s="48"/>
      <c r="S10" s="48">
        <f t="shared" ref="S10:T10" si="47">S7/O7-1</f>
        <v>0.1199604498825857</v>
      </c>
      <c r="T10" s="48">
        <f t="shared" si="47"/>
        <v>9.383128948346342E-2</v>
      </c>
      <c r="U10" s="48">
        <f>U7/Q7-1</f>
        <v>2.6452065576034967E-2</v>
      </c>
      <c r="V10" s="48">
        <f>V7/R7-1</f>
        <v>4.177033832280963E-2</v>
      </c>
      <c r="AS10" s="48"/>
      <c r="AT10" s="48"/>
      <c r="AU10" s="48"/>
      <c r="AV10" s="48"/>
      <c r="AW10" s="48">
        <f>AVERAGE(S10:V10)</f>
        <v>7.0503535816223428E-2</v>
      </c>
    </row>
    <row r="11" spans="2:93">
      <c r="B11" s="2" t="s">
        <v>320</v>
      </c>
      <c r="C11" s="48"/>
      <c r="D11" s="48"/>
      <c r="E11" s="48"/>
      <c r="F11" s="48"/>
      <c r="G11" s="48"/>
      <c r="H11" s="48"/>
      <c r="I11" s="48"/>
      <c r="J11" s="48"/>
      <c r="K11" s="48"/>
      <c r="L11" s="48"/>
      <c r="M11" s="48"/>
      <c r="N11" s="48"/>
      <c r="O11" s="48"/>
      <c r="P11" s="48"/>
      <c r="Q11" s="48"/>
      <c r="R11" s="48"/>
      <c r="S11" s="48">
        <f t="shared" ref="S11:T11" si="48">S8/O8-1</f>
        <v>-0.18119026284348849</v>
      </c>
      <c r="T11" s="48">
        <f t="shared" si="48"/>
        <v>-0.1535421100638491</v>
      </c>
      <c r="U11" s="48">
        <f>U8/Q8-1</f>
        <v>-5.1466518892502977E-2</v>
      </c>
      <c r="V11" s="48">
        <f>V8/R8-1</f>
        <v>-8.487377254953854E-2</v>
      </c>
      <c r="AS11" s="48"/>
      <c r="AT11" s="48"/>
      <c r="AU11" s="48"/>
      <c r="AV11" s="48"/>
      <c r="AW11" s="48">
        <f>AVERAGE(S11:V11)</f>
        <v>-0.11776816608734478</v>
      </c>
    </row>
    <row r="12" spans="2:93">
      <c r="B12" s="2" t="s">
        <v>316</v>
      </c>
      <c r="C12" s="48"/>
      <c r="D12" s="48"/>
      <c r="E12" s="48"/>
      <c r="F12" s="48"/>
      <c r="G12" s="48"/>
      <c r="H12" s="48"/>
      <c r="I12" s="48"/>
      <c r="J12" s="48"/>
      <c r="K12" s="48"/>
      <c r="L12" s="48"/>
      <c r="M12" s="48"/>
      <c r="N12" s="48"/>
      <c r="O12" s="48"/>
      <c r="P12" s="48"/>
      <c r="Q12" s="48"/>
      <c r="R12" s="48"/>
      <c r="S12" s="48">
        <f t="shared" ref="S12:T12" si="49">S5/O5-1</f>
        <v>0.15767634854771795</v>
      </c>
      <c r="T12" s="48">
        <f t="shared" si="49"/>
        <v>0.14559386973180066</v>
      </c>
      <c r="U12" s="48">
        <f>U5/Q5-1</f>
        <v>0.11029520295202944</v>
      </c>
      <c r="V12" s="48">
        <f>V5/R5-1</f>
        <v>0.10564912280701755</v>
      </c>
      <c r="AS12" s="48"/>
      <c r="AT12" s="48"/>
      <c r="AU12" s="48"/>
      <c r="AV12" s="48"/>
      <c r="AW12" s="48">
        <f>AVERAGE(S12:V12)</f>
        <v>0.1298036360096414</v>
      </c>
    </row>
    <row r="13" spans="2:93" ht="15">
      <c r="B13" s="1"/>
    </row>
    <row r="14" spans="2:93">
      <c r="B14" s="2" t="s">
        <v>314</v>
      </c>
      <c r="C14" s="2">
        <v>96</v>
      </c>
      <c r="D14" s="2">
        <v>78</v>
      </c>
      <c r="E14" s="2">
        <v>110</v>
      </c>
      <c r="F14" s="47">
        <f>400-SUM(C14:E14)</f>
        <v>116</v>
      </c>
      <c r="G14" s="2">
        <v>120</v>
      </c>
      <c r="H14" s="2">
        <v>128</v>
      </c>
      <c r="I14" s="2">
        <v>135</v>
      </c>
      <c r="J14" s="47">
        <f>528-SUM(G14:I14)</f>
        <v>145</v>
      </c>
      <c r="K14" s="2">
        <v>144</v>
      </c>
      <c r="L14" s="2">
        <v>141</v>
      </c>
      <c r="M14" s="2">
        <v>149</v>
      </c>
      <c r="N14" s="47">
        <f>592-SUM(K14:M14)</f>
        <v>158</v>
      </c>
      <c r="O14" s="2">
        <v>172</v>
      </c>
      <c r="P14" s="2">
        <v>186</v>
      </c>
      <c r="Q14" s="2">
        <v>195</v>
      </c>
      <c r="R14" s="47">
        <f>757-SUM(O14:Q14)</f>
        <v>204</v>
      </c>
      <c r="S14" s="2">
        <v>210</v>
      </c>
      <c r="T14" s="2">
        <v>218</v>
      </c>
      <c r="U14" s="2">
        <v>226</v>
      </c>
      <c r="V14" s="47">
        <f>902-SUM(S14:U14)</f>
        <v>248</v>
      </c>
      <c r="AS14" s="2">
        <f t="shared" ref="AS14:AS71" si="50">SUM(C14:F14)</f>
        <v>400</v>
      </c>
      <c r="AT14" s="2">
        <f>SUM(G14:I14)</f>
        <v>383</v>
      </c>
      <c r="AU14" s="2">
        <f>SUM(K14:M14)</f>
        <v>434</v>
      </c>
      <c r="AV14" s="2">
        <f t="shared" si="42"/>
        <v>757</v>
      </c>
      <c r="AW14" s="2">
        <f t="shared" ref="AW14:AW71" si="51">SUM(S14:V14)</f>
        <v>902</v>
      </c>
    </row>
    <row r="15" spans="2:93">
      <c r="B15" s="2" t="s">
        <v>315</v>
      </c>
      <c r="C15" s="2">
        <v>41</v>
      </c>
      <c r="D15" s="2">
        <v>27</v>
      </c>
      <c r="E15" s="2">
        <v>41</v>
      </c>
      <c r="F15" s="47">
        <f>160-SUM(C15:E15)</f>
        <v>51</v>
      </c>
      <c r="G15" s="2">
        <v>49</v>
      </c>
      <c r="H15" s="2">
        <v>56</v>
      </c>
      <c r="I15" s="2">
        <v>55</v>
      </c>
      <c r="J15" s="47">
        <f>220-SUM(G15:I15)</f>
        <v>60</v>
      </c>
      <c r="K15" s="2">
        <v>60</v>
      </c>
      <c r="L15" s="2">
        <v>67</v>
      </c>
      <c r="M15" s="2">
        <v>65</v>
      </c>
      <c r="N15" s="47">
        <f>255-SUM(K15:M15)</f>
        <v>63</v>
      </c>
      <c r="O15" s="2">
        <v>69</v>
      </c>
      <c r="P15" s="2">
        <v>75</v>
      </c>
      <c r="Q15" s="2">
        <v>76</v>
      </c>
      <c r="R15" s="47">
        <f>301-SUM(O15:Q15)</f>
        <v>81</v>
      </c>
      <c r="S15" s="2">
        <v>69</v>
      </c>
      <c r="T15" s="2">
        <v>81</v>
      </c>
      <c r="U15" s="2">
        <v>75</v>
      </c>
      <c r="V15" s="47">
        <f>292-SUM(S15:U15)</f>
        <v>67</v>
      </c>
      <c r="AS15" s="2">
        <f t="shared" si="50"/>
        <v>160</v>
      </c>
      <c r="AT15" s="2">
        <f>SUM(G15:I15)</f>
        <v>160</v>
      </c>
      <c r="AU15" s="2">
        <f>SUM(K15:M15)</f>
        <v>192</v>
      </c>
      <c r="AV15" s="2">
        <f t="shared" si="42"/>
        <v>301</v>
      </c>
      <c r="AW15" s="2">
        <f t="shared" si="51"/>
        <v>292</v>
      </c>
    </row>
    <row r="16" spans="2:93">
      <c r="B16" s="2" t="s">
        <v>313</v>
      </c>
      <c r="C16" s="2">
        <f t="shared" ref="C16:T16" si="52">SUM(C14:C15)</f>
        <v>137</v>
      </c>
      <c r="D16" s="2">
        <f t="shared" si="52"/>
        <v>105</v>
      </c>
      <c r="E16" s="2">
        <f t="shared" si="52"/>
        <v>151</v>
      </c>
      <c r="F16" s="2">
        <f t="shared" si="52"/>
        <v>167</v>
      </c>
      <c r="G16" s="2">
        <f t="shared" si="52"/>
        <v>169</v>
      </c>
      <c r="H16" s="2">
        <f t="shared" si="52"/>
        <v>184</v>
      </c>
      <c r="I16" s="2">
        <f t="shared" ref="I16" si="53">SUM(I14:I15)</f>
        <v>190</v>
      </c>
      <c r="J16" s="2">
        <f t="shared" ref="J16" si="54">SUM(J14:J15)</f>
        <v>205</v>
      </c>
      <c r="K16" s="2">
        <f t="shared" si="52"/>
        <v>204</v>
      </c>
      <c r="L16" s="2">
        <f t="shared" si="52"/>
        <v>208</v>
      </c>
      <c r="M16" s="2">
        <f t="shared" ref="M16" si="55">SUM(M14:M15)</f>
        <v>214</v>
      </c>
      <c r="N16" s="2">
        <f t="shared" ref="N16" si="56">SUM(N14:N15)</f>
        <v>221</v>
      </c>
      <c r="O16" s="2">
        <f t="shared" si="52"/>
        <v>241</v>
      </c>
      <c r="P16" s="2">
        <f t="shared" si="52"/>
        <v>261</v>
      </c>
      <c r="Q16" s="2">
        <f t="shared" si="52"/>
        <v>271</v>
      </c>
      <c r="R16" s="2">
        <f t="shared" si="52"/>
        <v>285</v>
      </c>
      <c r="S16" s="2">
        <f t="shared" si="52"/>
        <v>279</v>
      </c>
      <c r="T16" s="2">
        <f t="shared" si="52"/>
        <v>299</v>
      </c>
      <c r="U16" s="2">
        <f>SUM(U14:U15)</f>
        <v>301</v>
      </c>
      <c r="V16" s="2">
        <f>SUM(V14:V15)</f>
        <v>315</v>
      </c>
      <c r="AS16" s="2">
        <f t="shared" si="50"/>
        <v>560</v>
      </c>
      <c r="AT16" s="2">
        <f t="shared" ref="AT16:AT71" si="57">SUM(G16:J16)</f>
        <v>748</v>
      </c>
      <c r="AU16" s="2">
        <f t="shared" ref="AU16:AU71" si="58">SUM(K16:N16)</f>
        <v>847</v>
      </c>
      <c r="AV16" s="2">
        <f t="shared" si="42"/>
        <v>1058</v>
      </c>
      <c r="AW16" s="2">
        <f t="shared" si="51"/>
        <v>1194</v>
      </c>
    </row>
    <row r="18" spans="2:49">
      <c r="B18" s="2" t="s">
        <v>321</v>
      </c>
      <c r="C18" s="48">
        <f t="shared" ref="C18:U18" si="59">C14/C16</f>
        <v>0.7007299270072993</v>
      </c>
      <c r="D18" s="48">
        <f t="shared" si="59"/>
        <v>0.74285714285714288</v>
      </c>
      <c r="E18" s="48">
        <f t="shared" si="59"/>
        <v>0.72847682119205293</v>
      </c>
      <c r="F18" s="48">
        <f t="shared" si="59"/>
        <v>0.69461077844311381</v>
      </c>
      <c r="G18" s="48">
        <f t="shared" si="59"/>
        <v>0.7100591715976331</v>
      </c>
      <c r="H18" s="48">
        <f t="shared" si="59"/>
        <v>0.69565217391304346</v>
      </c>
      <c r="I18" s="48">
        <f t="shared" si="59"/>
        <v>0.71052631578947367</v>
      </c>
      <c r="J18" s="48">
        <f t="shared" si="59"/>
        <v>0.70731707317073167</v>
      </c>
      <c r="K18" s="48">
        <f t="shared" si="59"/>
        <v>0.70588235294117652</v>
      </c>
      <c r="L18" s="48">
        <f t="shared" si="59"/>
        <v>0.67788461538461542</v>
      </c>
      <c r="M18" s="48">
        <f t="shared" si="59"/>
        <v>0.69626168224299068</v>
      </c>
      <c r="N18" s="48">
        <f t="shared" si="59"/>
        <v>0.71493212669683259</v>
      </c>
      <c r="O18" s="48">
        <f t="shared" si="59"/>
        <v>0.7136929460580913</v>
      </c>
      <c r="P18" s="48">
        <f t="shared" si="59"/>
        <v>0.71264367816091956</v>
      </c>
      <c r="Q18" s="48">
        <f t="shared" si="59"/>
        <v>0.71955719557195574</v>
      </c>
      <c r="R18" s="48">
        <f t="shared" si="59"/>
        <v>0.71578947368421053</v>
      </c>
      <c r="S18" s="48">
        <f t="shared" si="59"/>
        <v>0.75268817204301075</v>
      </c>
      <c r="T18" s="48">
        <f t="shared" si="59"/>
        <v>0.72909698996655514</v>
      </c>
      <c r="U18" s="48">
        <f t="shared" si="59"/>
        <v>0.75083056478405319</v>
      </c>
      <c r="V18" s="48">
        <f>V14/V16</f>
        <v>0.78730158730158728</v>
      </c>
      <c r="AS18" s="48">
        <f>AVERAGE(C18:F18)</f>
        <v>0.7166686673749022</v>
      </c>
      <c r="AT18" s="48">
        <f>AVERAGE(G18:J18)</f>
        <v>0.7058886836177205</v>
      </c>
      <c r="AU18" s="48">
        <f>AVERAGE(K18:N18)</f>
        <v>0.69874019431640388</v>
      </c>
      <c r="AV18" s="48">
        <f>AVERAGE(O18:R18)</f>
        <v>0.71542082336879431</v>
      </c>
      <c r="AW18" s="48">
        <f>AVERAGE(S18:V18)</f>
        <v>0.75497932852380156</v>
      </c>
    </row>
    <row r="19" spans="2:49">
      <c r="B19" s="2" t="s">
        <v>323</v>
      </c>
      <c r="G19" s="48">
        <f>G14/C14-1</f>
        <v>0.25</v>
      </c>
      <c r="H19" s="48">
        <f>H14/D14-1</f>
        <v>0.64102564102564097</v>
      </c>
      <c r="I19" s="48">
        <f>I14/E14-1</f>
        <v>0.22727272727272729</v>
      </c>
      <c r="J19" s="48">
        <f>J14/F14-1</f>
        <v>0.25</v>
      </c>
      <c r="K19" s="48">
        <f>K14/G14-1</f>
        <v>0.19999999999999996</v>
      </c>
      <c r="L19" s="48">
        <f>L14/H14-1</f>
        <v>0.1015625</v>
      </c>
      <c r="M19" s="48">
        <f>M14/I14-1</f>
        <v>0.10370370370370363</v>
      </c>
      <c r="N19" s="48">
        <f>N14/J14-1</f>
        <v>8.9655172413793061E-2</v>
      </c>
      <c r="O19" s="48">
        <f>O14/K14-1</f>
        <v>0.19444444444444442</v>
      </c>
      <c r="P19" s="48">
        <f>P14/L14-1</f>
        <v>0.31914893617021267</v>
      </c>
      <c r="Q19" s="48">
        <f>Q14/M14-1</f>
        <v>0.3087248322147651</v>
      </c>
      <c r="R19" s="48">
        <f>R14/N14-1</f>
        <v>0.29113924050632911</v>
      </c>
      <c r="S19" s="48">
        <f>S14/O14-1</f>
        <v>0.22093023255813948</v>
      </c>
      <c r="T19" s="48">
        <f>T14/P14-1</f>
        <v>0.17204301075268824</v>
      </c>
      <c r="U19" s="48">
        <f>U14/Q14-1</f>
        <v>0.15897435897435908</v>
      </c>
      <c r="V19" s="48">
        <f>V14/R14-1</f>
        <v>0.21568627450980382</v>
      </c>
      <c r="AT19" s="48">
        <f>AVERAGE(G19:J19)</f>
        <v>0.34207459207459207</v>
      </c>
      <c r="AU19" s="48">
        <f>AVERAGE(K19:N19)</f>
        <v>0.12373034402937416</v>
      </c>
      <c r="AV19" s="48">
        <f>AVERAGE(O19:R19)</f>
        <v>0.27836436333393783</v>
      </c>
      <c r="AW19" s="48">
        <f>AVERAGE(S19:V19)</f>
        <v>0.19190846919874766</v>
      </c>
    </row>
    <row r="20" spans="2:49">
      <c r="B20" s="2" t="s">
        <v>322</v>
      </c>
      <c r="C20" s="48">
        <f t="shared" ref="C20:U20" si="60">C15/C16</f>
        <v>0.29927007299270075</v>
      </c>
      <c r="D20" s="48">
        <f t="shared" si="60"/>
        <v>0.25714285714285712</v>
      </c>
      <c r="E20" s="48">
        <f t="shared" si="60"/>
        <v>0.27152317880794702</v>
      </c>
      <c r="F20" s="48">
        <f t="shared" si="60"/>
        <v>0.30538922155688625</v>
      </c>
      <c r="G20" s="48">
        <f t="shared" si="60"/>
        <v>0.28994082840236685</v>
      </c>
      <c r="H20" s="48">
        <f t="shared" si="60"/>
        <v>0.30434782608695654</v>
      </c>
      <c r="I20" s="48">
        <f t="shared" si="60"/>
        <v>0.28947368421052633</v>
      </c>
      <c r="J20" s="48">
        <f t="shared" si="60"/>
        <v>0.29268292682926828</v>
      </c>
      <c r="K20" s="48">
        <f t="shared" si="60"/>
        <v>0.29411764705882354</v>
      </c>
      <c r="L20" s="48">
        <f t="shared" si="60"/>
        <v>0.32211538461538464</v>
      </c>
      <c r="M20" s="48">
        <f t="shared" si="60"/>
        <v>0.30373831775700932</v>
      </c>
      <c r="N20" s="48">
        <f t="shared" si="60"/>
        <v>0.28506787330316741</v>
      </c>
      <c r="O20" s="48">
        <f t="shared" si="60"/>
        <v>0.2863070539419087</v>
      </c>
      <c r="P20" s="48">
        <f t="shared" si="60"/>
        <v>0.28735632183908044</v>
      </c>
      <c r="Q20" s="48">
        <f t="shared" si="60"/>
        <v>0.28044280442804426</v>
      </c>
      <c r="R20" s="48">
        <f t="shared" si="60"/>
        <v>0.28421052631578947</v>
      </c>
      <c r="S20" s="48">
        <f t="shared" si="60"/>
        <v>0.24731182795698925</v>
      </c>
      <c r="T20" s="48">
        <f t="shared" si="60"/>
        <v>0.2709030100334448</v>
      </c>
      <c r="U20" s="48">
        <f t="shared" si="60"/>
        <v>0.24916943521594684</v>
      </c>
      <c r="V20" s="48">
        <f>V15/V16</f>
        <v>0.21269841269841269</v>
      </c>
      <c r="AS20" s="48">
        <f>AVERAGE(C20:F20)</f>
        <v>0.2833313326250978</v>
      </c>
      <c r="AT20" s="48">
        <f>AVERAGE(G20:J20)</f>
        <v>0.2941113163822795</v>
      </c>
      <c r="AU20" s="48">
        <f>AVERAGE(K20:N20)</f>
        <v>0.30125980568359623</v>
      </c>
      <c r="AV20" s="48">
        <f>AVERAGE(O20:R20)</f>
        <v>0.28457917663120569</v>
      </c>
      <c r="AW20" s="48">
        <f>AVERAGE(S20:V20)</f>
        <v>0.24502067147619841</v>
      </c>
    </row>
    <row r="21" spans="2:49">
      <c r="B21" s="2" t="s">
        <v>324</v>
      </c>
      <c r="G21" s="48">
        <f>G15/C15-1</f>
        <v>0.19512195121951215</v>
      </c>
      <c r="H21" s="48">
        <f>H15/D15-1</f>
        <v>1.074074074074074</v>
      </c>
      <c r="I21" s="48">
        <f>I15/E15-1</f>
        <v>0.34146341463414642</v>
      </c>
      <c r="J21" s="48">
        <f>J15/F15-1</f>
        <v>0.17647058823529416</v>
      </c>
      <c r="K21" s="48">
        <f>K15/G15-1</f>
        <v>0.22448979591836737</v>
      </c>
      <c r="L21" s="48">
        <f>L15/H15-1</f>
        <v>0.1964285714285714</v>
      </c>
      <c r="M21" s="48">
        <f>M15/I15-1</f>
        <v>0.18181818181818188</v>
      </c>
      <c r="N21" s="48">
        <f>N15/J15-1</f>
        <v>5.0000000000000044E-2</v>
      </c>
      <c r="O21" s="48">
        <f>O15/K15-1</f>
        <v>0.14999999999999991</v>
      </c>
      <c r="P21" s="48">
        <f>P15/L15-1</f>
        <v>0.11940298507462677</v>
      </c>
      <c r="Q21" s="48">
        <f>Q15/M15-1</f>
        <v>0.1692307692307693</v>
      </c>
      <c r="R21" s="48">
        <f>R15/N15-1</f>
        <v>0.28571428571428581</v>
      </c>
      <c r="S21" s="48">
        <f>S15/O15-1</f>
        <v>0</v>
      </c>
      <c r="T21" s="48">
        <f>T15/P15-1</f>
        <v>8.0000000000000071E-2</v>
      </c>
      <c r="U21" s="48">
        <f>U15/Q15-1</f>
        <v>-1.3157894736842146E-2</v>
      </c>
      <c r="V21" s="48">
        <f>V15/R15-1</f>
        <v>-0.1728395061728395</v>
      </c>
      <c r="AT21" s="48">
        <f>AVERAGE(G21:J21)</f>
        <v>0.44678250704075667</v>
      </c>
      <c r="AU21" s="48">
        <f>AVERAGE(K21:N21)</f>
        <v>0.16318413729128017</v>
      </c>
      <c r="AV21" s="48">
        <f>AVERAGE(O21:R21)</f>
        <v>0.18108701000492045</v>
      </c>
      <c r="AW21" s="48">
        <f>AVERAGE(S21:V21)</f>
        <v>-2.6499350227420393E-2</v>
      </c>
    </row>
    <row r="22" spans="2:49">
      <c r="B22" s="2" t="s">
        <v>316</v>
      </c>
      <c r="G22" s="48">
        <f>G16/C16-1</f>
        <v>0.23357664233576636</v>
      </c>
      <c r="H22" s="48">
        <f>H16/D16-1</f>
        <v>0.75238095238095237</v>
      </c>
      <c r="I22" s="48">
        <f>I16/E16-1</f>
        <v>0.25827814569536423</v>
      </c>
      <c r="J22" s="48">
        <f>J16/F16-1</f>
        <v>0.22754491017964074</v>
      </c>
      <c r="K22" s="48">
        <f>K16/G16-1</f>
        <v>0.20710059171597628</v>
      </c>
      <c r="L22" s="48">
        <f>L16/H16-1</f>
        <v>0.13043478260869557</v>
      </c>
      <c r="M22" s="48">
        <f>M16/I16-1</f>
        <v>0.12631578947368416</v>
      </c>
      <c r="N22" s="48">
        <f>N16/J16-1</f>
        <v>7.8048780487804947E-2</v>
      </c>
      <c r="O22" s="48">
        <f>O16/K16-1</f>
        <v>0.18137254901960786</v>
      </c>
      <c r="P22" s="48">
        <f>P16/L16-1</f>
        <v>0.25480769230769229</v>
      </c>
      <c r="Q22" s="48">
        <f>Q16/M16-1</f>
        <v>0.26635514018691597</v>
      </c>
      <c r="R22" s="48">
        <f>R16/N16-1</f>
        <v>0.28959276018099556</v>
      </c>
      <c r="S22" s="48">
        <f>S16/O16-1</f>
        <v>0.15767634854771795</v>
      </c>
      <c r="T22" s="48">
        <f>T16/P16-1</f>
        <v>0.14559386973180066</v>
      </c>
      <c r="U22" s="48">
        <f>U16/Q16-1</f>
        <v>0.11070110701107017</v>
      </c>
      <c r="V22" s="48">
        <f>V16/R16-1</f>
        <v>0.10526315789473695</v>
      </c>
      <c r="AT22" s="48">
        <f t="shared" ref="AT22" si="61">AVERAGE(G22:J22)</f>
        <v>0.36794516264793092</v>
      </c>
      <c r="AU22" s="48">
        <f t="shared" ref="AU22" si="62">AVERAGE(K22:N22)</f>
        <v>0.13547498607154024</v>
      </c>
      <c r="AV22" s="48">
        <f>AVERAGE(O22:R22)</f>
        <v>0.24803203542380292</v>
      </c>
      <c r="AW22" s="48">
        <f t="shared" ref="AW22" si="63">AVERAGE(S22:V22)</f>
        <v>0.12980862079633143</v>
      </c>
    </row>
    <row r="25" spans="2:49" ht="15">
      <c r="B25" s="1" t="s">
        <v>310</v>
      </c>
      <c r="C25" s="53">
        <v>137.30000000000001</v>
      </c>
      <c r="D25" s="53">
        <v>105.1</v>
      </c>
      <c r="E25" s="53">
        <v>151.1</v>
      </c>
      <c r="F25" s="53">
        <f>560.412-SUM(C25:E25)</f>
        <v>166.91200000000003</v>
      </c>
      <c r="G25" s="53">
        <v>169.2</v>
      </c>
      <c r="H25" s="53">
        <v>184.3</v>
      </c>
      <c r="I25" s="53">
        <v>190.1</v>
      </c>
      <c r="J25" s="53">
        <f>747.59-SUM(G25:I25)</f>
        <v>203.99</v>
      </c>
      <c r="K25" s="53">
        <v>203.9</v>
      </c>
      <c r="L25" s="53">
        <v>208.3</v>
      </c>
      <c r="M25" s="53">
        <v>213.7</v>
      </c>
      <c r="N25" s="53">
        <f>847.133-SUM(K25:M25)</f>
        <v>221.23299999999995</v>
      </c>
      <c r="O25" s="53">
        <v>241.4</v>
      </c>
      <c r="P25" s="53">
        <v>261.5</v>
      </c>
      <c r="Q25" s="53">
        <v>270.89999999999998</v>
      </c>
      <c r="R25" s="53">
        <f>1058.52-SUM(O25:Q25)</f>
        <v>284.72000000000003</v>
      </c>
      <c r="S25" s="53">
        <v>278.7</v>
      </c>
      <c r="T25" s="53">
        <v>299.39999999999998</v>
      </c>
      <c r="U25" s="53">
        <v>301</v>
      </c>
      <c r="V25" s="53">
        <f>1194.6-SUM(S25:U25)</f>
        <v>315.5</v>
      </c>
      <c r="W25" s="1"/>
      <c r="X25" s="1"/>
      <c r="Y25" s="1"/>
      <c r="Z25" s="1"/>
      <c r="AA25" s="1"/>
      <c r="AB25" s="1"/>
      <c r="AC25" s="1"/>
      <c r="AD25" s="1"/>
      <c r="AE25" s="1"/>
      <c r="AF25" s="1"/>
      <c r="AG25" s="1"/>
      <c r="AH25" s="1"/>
      <c r="AS25" s="53">
        <f t="shared" si="50"/>
        <v>560.41200000000003</v>
      </c>
      <c r="AT25" s="53">
        <f t="shared" si="57"/>
        <v>747.59</v>
      </c>
      <c r="AU25" s="53">
        <f t="shared" si="58"/>
        <v>847.13300000000004</v>
      </c>
      <c r="AV25" s="53">
        <f t="shared" si="42"/>
        <v>1058.52</v>
      </c>
      <c r="AW25" s="53">
        <f t="shared" si="51"/>
        <v>1194.5999999999999</v>
      </c>
    </row>
    <row r="26" spans="2:49">
      <c r="B26" s="2" t="s">
        <v>325</v>
      </c>
      <c r="C26" s="46">
        <v>49.3</v>
      </c>
      <c r="D26" s="46">
        <v>40.200000000000003</v>
      </c>
      <c r="E26" s="46">
        <v>60.152999999999999</v>
      </c>
      <c r="F26" s="46">
        <f>222.237-SUM(C26:E26)</f>
        <v>72.584000000000003</v>
      </c>
      <c r="G26" s="46">
        <v>57.866999999999997</v>
      </c>
      <c r="H26" s="46">
        <v>65.599999999999994</v>
      </c>
      <c r="I26" s="46">
        <v>70.2</v>
      </c>
      <c r="J26" s="46">
        <f>272.208-SUM(G26:I26)</f>
        <v>78.541000000000054</v>
      </c>
      <c r="K26" s="46">
        <v>76.5</v>
      </c>
      <c r="L26" s="46">
        <v>74.3</v>
      </c>
      <c r="M26" s="46">
        <v>78.400000000000006</v>
      </c>
      <c r="N26" s="46">
        <f>311.926-SUM(K26:M26)</f>
        <v>82.725999999999971</v>
      </c>
      <c r="O26" s="46">
        <v>90.3</v>
      </c>
      <c r="P26" s="46">
        <v>94.6</v>
      </c>
      <c r="Q26" s="46">
        <v>93.2</v>
      </c>
      <c r="R26" s="46">
        <f>375.9-SUM(O26:Q26)</f>
        <v>97.800000000000011</v>
      </c>
      <c r="S26" s="46">
        <v>97.5</v>
      </c>
      <c r="T26" s="46">
        <v>136.6</v>
      </c>
      <c r="U26" s="46">
        <v>100.7</v>
      </c>
      <c r="V26" s="46">
        <f>439.6-SUM(S26:U26)</f>
        <v>104.80000000000001</v>
      </c>
      <c r="AS26" s="46">
        <f t="shared" si="50"/>
        <v>222.23699999999999</v>
      </c>
      <c r="AT26" s="46">
        <f t="shared" si="57"/>
        <v>272.20800000000003</v>
      </c>
      <c r="AU26" s="46">
        <f t="shared" si="58"/>
        <v>311.92599999999999</v>
      </c>
      <c r="AV26" s="46">
        <f t="shared" si="42"/>
        <v>375.9</v>
      </c>
      <c r="AW26" s="46">
        <f t="shared" si="51"/>
        <v>439.6</v>
      </c>
    </row>
    <row r="27" spans="2:49">
      <c r="B27" s="2" t="s">
        <v>326</v>
      </c>
      <c r="C27" s="46">
        <f t="shared" ref="C27:T27" si="64">C25-C26</f>
        <v>88.000000000000014</v>
      </c>
      <c r="D27" s="46">
        <f t="shared" si="64"/>
        <v>64.899999999999991</v>
      </c>
      <c r="E27" s="46">
        <f t="shared" si="64"/>
        <v>90.947000000000003</v>
      </c>
      <c r="F27" s="46">
        <f>F25-F26</f>
        <v>94.328000000000031</v>
      </c>
      <c r="G27" s="46">
        <f t="shared" si="64"/>
        <v>111.333</v>
      </c>
      <c r="H27" s="46">
        <f t="shared" si="64"/>
        <v>118.70000000000002</v>
      </c>
      <c r="I27" s="46">
        <f t="shared" si="64"/>
        <v>119.89999999999999</v>
      </c>
      <c r="J27" s="46">
        <f t="shared" si="64"/>
        <v>125.44899999999996</v>
      </c>
      <c r="K27" s="46">
        <f t="shared" si="64"/>
        <v>127.4</v>
      </c>
      <c r="L27" s="46">
        <f t="shared" si="64"/>
        <v>134</v>
      </c>
      <c r="M27" s="46">
        <f t="shared" si="64"/>
        <v>135.29999999999998</v>
      </c>
      <c r="N27" s="46">
        <f t="shared" si="64"/>
        <v>138.50699999999998</v>
      </c>
      <c r="O27" s="46">
        <f t="shared" si="64"/>
        <v>151.10000000000002</v>
      </c>
      <c r="P27" s="46">
        <f t="shared" si="64"/>
        <v>166.9</v>
      </c>
      <c r="Q27" s="46">
        <f t="shared" si="64"/>
        <v>177.7</v>
      </c>
      <c r="R27" s="46">
        <f t="shared" si="64"/>
        <v>186.92000000000002</v>
      </c>
      <c r="S27" s="46">
        <f t="shared" si="64"/>
        <v>181.2</v>
      </c>
      <c r="T27" s="46">
        <f t="shared" si="64"/>
        <v>162.79999999999998</v>
      </c>
      <c r="U27" s="46">
        <f>U25-U26</f>
        <v>200.3</v>
      </c>
      <c r="V27" s="46">
        <f t="shared" ref="V27" si="65">V25-V26</f>
        <v>210.7</v>
      </c>
      <c r="AS27" s="46">
        <f t="shared" si="50"/>
        <v>338.17500000000007</v>
      </c>
      <c r="AT27" s="46">
        <f t="shared" si="57"/>
        <v>475.38199999999995</v>
      </c>
      <c r="AU27" s="46">
        <f t="shared" si="58"/>
        <v>535.20699999999988</v>
      </c>
      <c r="AV27" s="46">
        <f t="shared" si="42"/>
        <v>682.62</v>
      </c>
      <c r="AW27" s="46">
        <f t="shared" si="51"/>
        <v>755</v>
      </c>
    </row>
    <row r="28" spans="2:49">
      <c r="B28" s="2" t="s">
        <v>327</v>
      </c>
      <c r="C28" s="46">
        <v>12.946</v>
      </c>
      <c r="D28" s="46">
        <v>22.725000000000001</v>
      </c>
      <c r="E28" s="46">
        <v>34.923000000000002</v>
      </c>
      <c r="F28" s="46">
        <f>90.049-SUM(C28:E28)</f>
        <v>19.455000000000013</v>
      </c>
      <c r="G28" s="46">
        <v>18.076000000000001</v>
      </c>
      <c r="H28" s="46">
        <v>17.738</v>
      </c>
      <c r="I28" s="46">
        <v>16.73</v>
      </c>
      <c r="J28" s="46">
        <f>104.552-SUM(G28:I28)</f>
        <v>52.00800000000001</v>
      </c>
      <c r="K28" s="46">
        <v>20.56</v>
      </c>
      <c r="L28" s="46">
        <v>19.559000000000001</v>
      </c>
      <c r="M28" s="46">
        <v>21.32</v>
      </c>
      <c r="N28" s="46">
        <f>79.407-SUM(K28:M28)</f>
        <v>17.967999999999996</v>
      </c>
      <c r="O28" s="46">
        <v>19.98</v>
      </c>
      <c r="P28" s="46">
        <v>21.5</v>
      </c>
      <c r="Q28" s="46">
        <v>21</v>
      </c>
      <c r="R28" s="46">
        <f>84.4-SUM(O28:Q28)</f>
        <v>21.92</v>
      </c>
      <c r="S28" s="46">
        <v>24.6</v>
      </c>
      <c r="T28" s="46">
        <v>24.9</v>
      </c>
      <c r="U28" s="46">
        <v>25.2</v>
      </c>
      <c r="V28" s="46">
        <f>94.8-SUM(S28:U28)</f>
        <v>20.099999999999994</v>
      </c>
      <c r="AS28" s="46">
        <f t="shared" si="50"/>
        <v>90.049000000000007</v>
      </c>
      <c r="AT28" s="46">
        <f t="shared" si="57"/>
        <v>104.55200000000001</v>
      </c>
      <c r="AU28" s="46">
        <f t="shared" si="58"/>
        <v>79.406999999999996</v>
      </c>
      <c r="AV28" s="46">
        <f t="shared" si="42"/>
        <v>84.4</v>
      </c>
      <c r="AW28" s="46">
        <f t="shared" si="51"/>
        <v>94.8</v>
      </c>
    </row>
    <row r="29" spans="2:49">
      <c r="B29" s="2" t="s">
        <v>328</v>
      </c>
      <c r="C29" s="46">
        <v>74.453000000000003</v>
      </c>
      <c r="D29" s="46">
        <v>59.8</v>
      </c>
      <c r="E29" s="46">
        <v>76.2</v>
      </c>
      <c r="F29" s="46">
        <f>287.068-SUM(C29:E29)</f>
        <v>76.615000000000009</v>
      </c>
      <c r="G29" s="46">
        <v>79.798000000000002</v>
      </c>
      <c r="H29" s="46">
        <v>90.63</v>
      </c>
      <c r="I29" s="46">
        <v>94.397000000000006</v>
      </c>
      <c r="J29" s="46">
        <f>378.331-SUM(G29:I29)</f>
        <v>113.50600000000003</v>
      </c>
      <c r="K29" s="46">
        <v>110.9</v>
      </c>
      <c r="L29" s="46">
        <v>114.61499999999999</v>
      </c>
      <c r="M29" s="46">
        <v>108.57</v>
      </c>
      <c r="N29" s="46">
        <f>449.718-SUM(K29:M29)</f>
        <v>115.63300000000004</v>
      </c>
      <c r="O29" s="46">
        <v>123.07</v>
      </c>
      <c r="P29" s="46">
        <v>127.4</v>
      </c>
      <c r="Q29" s="46">
        <v>125.9</v>
      </c>
      <c r="R29" s="46">
        <f>506.4-SUM(O29:Q29)</f>
        <v>130.02999999999997</v>
      </c>
      <c r="S29" s="46">
        <v>144.4</v>
      </c>
      <c r="T29" s="46">
        <v>141.9</v>
      </c>
      <c r="U29" s="46">
        <v>139.69999999999999</v>
      </c>
      <c r="V29" s="46">
        <f>574-SUM(S29:U29)</f>
        <v>148</v>
      </c>
      <c r="AS29" s="46">
        <f t="shared" si="50"/>
        <v>287.06799999999998</v>
      </c>
      <c r="AT29" s="46">
        <f t="shared" si="57"/>
        <v>378.33100000000002</v>
      </c>
      <c r="AU29" s="46">
        <f t="shared" si="58"/>
        <v>449.71800000000002</v>
      </c>
      <c r="AV29" s="46">
        <f t="shared" si="42"/>
        <v>506.4</v>
      </c>
      <c r="AW29" s="46">
        <f t="shared" si="51"/>
        <v>574</v>
      </c>
    </row>
    <row r="30" spans="2:49">
      <c r="B30" s="2" t="s">
        <v>329</v>
      </c>
      <c r="C30" s="46">
        <v>0</v>
      </c>
      <c r="D30" s="46">
        <v>0</v>
      </c>
      <c r="E30" s="46">
        <v>0</v>
      </c>
      <c r="F30" s="46">
        <f>0-SUM(C30:E30)</f>
        <v>0</v>
      </c>
      <c r="G30" s="46">
        <v>0</v>
      </c>
      <c r="H30" s="46">
        <v>0</v>
      </c>
      <c r="I30" s="46">
        <v>0</v>
      </c>
      <c r="J30" s="46">
        <f>0-SUM(G30:I30)</f>
        <v>0</v>
      </c>
      <c r="K30" s="46">
        <v>0</v>
      </c>
      <c r="L30" s="46">
        <v>0</v>
      </c>
      <c r="M30" s="46">
        <v>0</v>
      </c>
      <c r="N30" s="46">
        <f>0-SUM(K30:M30)</f>
        <v>0</v>
      </c>
      <c r="O30" s="46">
        <v>0</v>
      </c>
      <c r="P30" s="46">
        <v>0</v>
      </c>
      <c r="Q30" s="46">
        <v>18.2</v>
      </c>
      <c r="R30" s="46">
        <f>18.2-SUM(O30:Q30)</f>
        <v>0</v>
      </c>
      <c r="S30" s="46">
        <v>0</v>
      </c>
      <c r="T30" s="46">
        <v>0</v>
      </c>
      <c r="U30" s="46">
        <v>0</v>
      </c>
      <c r="V30" s="46">
        <f>0-SUM(S30:U30)</f>
        <v>0</v>
      </c>
      <c r="AS30" s="46">
        <f t="shared" si="50"/>
        <v>0</v>
      </c>
      <c r="AT30" s="46">
        <f t="shared" si="57"/>
        <v>0</v>
      </c>
      <c r="AU30" s="46">
        <f t="shared" si="58"/>
        <v>0</v>
      </c>
      <c r="AV30" s="46">
        <f t="shared" si="42"/>
        <v>18.2</v>
      </c>
      <c r="AW30" s="46">
        <f t="shared" si="51"/>
        <v>0</v>
      </c>
    </row>
    <row r="31" spans="2:49">
      <c r="B31" s="2" t="s">
        <v>330</v>
      </c>
      <c r="C31" s="46">
        <v>0</v>
      </c>
      <c r="D31" s="46">
        <v>0</v>
      </c>
      <c r="E31" s="46">
        <v>0</v>
      </c>
      <c r="F31" s="46">
        <f>0-SUM(C31:E31)</f>
        <v>0</v>
      </c>
      <c r="G31" s="46">
        <v>0</v>
      </c>
      <c r="H31" s="46">
        <v>0</v>
      </c>
      <c r="I31" s="46">
        <v>0</v>
      </c>
      <c r="J31" s="46">
        <f>0-SUM(G31:I31)</f>
        <v>0</v>
      </c>
      <c r="K31" s="46">
        <v>0</v>
      </c>
      <c r="L31" s="46">
        <v>0</v>
      </c>
      <c r="M31" s="46">
        <v>0</v>
      </c>
      <c r="N31" s="46">
        <f>0-SUM(K31:M31)</f>
        <v>0</v>
      </c>
      <c r="O31" s="46">
        <v>0</v>
      </c>
      <c r="P31" s="46">
        <v>0</v>
      </c>
      <c r="Q31" s="46">
        <v>0</v>
      </c>
      <c r="R31" s="46">
        <f>0-SUM(O31:Q31)</f>
        <v>0</v>
      </c>
      <c r="S31" s="46">
        <v>0</v>
      </c>
      <c r="T31" s="46">
        <v>76.900000000000006</v>
      </c>
      <c r="U31" s="46">
        <v>0</v>
      </c>
      <c r="V31" s="46">
        <f>76.94-SUM(S31:U31)</f>
        <v>3.9999999999992042E-2</v>
      </c>
      <c r="AS31" s="46">
        <f t="shared" si="50"/>
        <v>0</v>
      </c>
      <c r="AT31" s="46">
        <f t="shared" si="57"/>
        <v>0</v>
      </c>
      <c r="AU31" s="46">
        <f t="shared" si="58"/>
        <v>0</v>
      </c>
      <c r="AV31" s="46">
        <f t="shared" si="42"/>
        <v>0</v>
      </c>
      <c r="AW31" s="46">
        <f t="shared" si="51"/>
        <v>76.94</v>
      </c>
    </row>
    <row r="32" spans="2:49">
      <c r="B32" s="2" t="s">
        <v>331</v>
      </c>
      <c r="C32" s="46">
        <f t="shared" ref="C32:T32" si="66">C27-SUM(C28:C31)</f>
        <v>0.6010000000000133</v>
      </c>
      <c r="D32" s="46">
        <f t="shared" si="66"/>
        <v>-17.625000000000014</v>
      </c>
      <c r="E32" s="46">
        <f t="shared" si="66"/>
        <v>-20.176000000000002</v>
      </c>
      <c r="F32" s="46">
        <f>F27-SUM(F28:F31)</f>
        <v>-1.7419999999999902</v>
      </c>
      <c r="G32" s="46">
        <f t="shared" si="66"/>
        <v>13.459000000000003</v>
      </c>
      <c r="H32" s="46">
        <f t="shared" si="66"/>
        <v>10.332000000000022</v>
      </c>
      <c r="I32" s="46">
        <f t="shared" si="66"/>
        <v>8.7729999999999819</v>
      </c>
      <c r="J32" s="46">
        <f>J27-SUM(J28:J31)</f>
        <v>-40.065000000000083</v>
      </c>
      <c r="K32" s="46">
        <f t="shared" si="66"/>
        <v>-4.0600000000000023</v>
      </c>
      <c r="L32" s="46">
        <f t="shared" si="66"/>
        <v>-0.17400000000000659</v>
      </c>
      <c r="M32" s="46">
        <f t="shared" si="66"/>
        <v>5.4099999999999966</v>
      </c>
      <c r="N32" s="46">
        <f t="shared" si="66"/>
        <v>4.9059999999999491</v>
      </c>
      <c r="O32" s="46">
        <f t="shared" si="66"/>
        <v>8.0500000000000398</v>
      </c>
      <c r="P32" s="46">
        <f t="shared" si="66"/>
        <v>18</v>
      </c>
      <c r="Q32" s="46">
        <f t="shared" si="66"/>
        <v>12.599999999999994</v>
      </c>
      <c r="R32" s="46">
        <f t="shared" si="66"/>
        <v>34.970000000000027</v>
      </c>
      <c r="S32" s="46">
        <f t="shared" si="66"/>
        <v>12.199999999999989</v>
      </c>
      <c r="T32" s="46">
        <f t="shared" si="66"/>
        <v>-80.900000000000034</v>
      </c>
      <c r="U32" s="46">
        <f>U27-SUM(U28:U31)</f>
        <v>35.400000000000034</v>
      </c>
      <c r="V32" s="46">
        <f t="shared" ref="V32" si="67">V27-SUM(V28:V31)</f>
        <v>42.56</v>
      </c>
      <c r="AS32" s="46">
        <f t="shared" si="50"/>
        <v>-38.941999999999993</v>
      </c>
      <c r="AT32" s="46">
        <f t="shared" si="57"/>
        <v>-7.5010000000000758</v>
      </c>
      <c r="AU32" s="46">
        <f t="shared" si="58"/>
        <v>6.0819999999999368</v>
      </c>
      <c r="AV32" s="46">
        <f t="shared" si="42"/>
        <v>73.620000000000061</v>
      </c>
      <c r="AW32" s="46">
        <f t="shared" si="51"/>
        <v>9.2599999999999909</v>
      </c>
    </row>
    <row r="33" spans="2:49">
      <c r="B33" s="2" t="s">
        <v>332</v>
      </c>
      <c r="C33" s="46">
        <f>0.299-1.555</f>
        <v>-1.256</v>
      </c>
      <c r="D33" s="46">
        <f>0.108+0.508</f>
        <v>0.61599999999999999</v>
      </c>
      <c r="E33" s="46">
        <f>0.413+0.014</f>
        <v>0.42699999999999999</v>
      </c>
      <c r="F33" s="46">
        <f>1.267-0.243-SUM(C33:E33)</f>
        <v>1.2370000000000001</v>
      </c>
      <c r="G33" s="46">
        <f>0.48-1.476</f>
        <v>-0.996</v>
      </c>
      <c r="H33" s="46">
        <f>0.299-0.408</f>
        <v>-0.10899999999999999</v>
      </c>
      <c r="I33" s="46">
        <f>0.138-1.137</f>
        <v>-0.999</v>
      </c>
      <c r="J33" s="46">
        <f>0.938-3.939-SUM(G33:I33)</f>
        <v>-0.89700000000000024</v>
      </c>
      <c r="K33" s="46">
        <f>-0.041-1.01</f>
        <v>-1.0509999999999999</v>
      </c>
      <c r="L33" s="46">
        <f>-0.07-0.9</f>
        <v>-0.97</v>
      </c>
      <c r="M33" s="46">
        <f>-0.04-2.35</f>
        <v>-2.39</v>
      </c>
      <c r="N33" s="46">
        <f>0.137-2.327-SUM(K33:M33)</f>
        <v>2.2209999999999996</v>
      </c>
      <c r="O33" s="46">
        <v>0.64400000000000002</v>
      </c>
      <c r="P33" s="46">
        <v>1.6</v>
      </c>
      <c r="Q33" s="46">
        <v>0.7</v>
      </c>
      <c r="R33" s="46">
        <f>6.09-SUM(O33:Q33)</f>
        <v>3.1459999999999999</v>
      </c>
      <c r="S33" s="46">
        <v>2.5</v>
      </c>
      <c r="T33" s="46">
        <v>3.1</v>
      </c>
      <c r="U33" s="46">
        <v>4.4000000000000004</v>
      </c>
      <c r="V33" s="46">
        <f>11.59-SUM(S33:U33)</f>
        <v>1.5899999999999999</v>
      </c>
      <c r="AS33" s="46">
        <f t="shared" si="50"/>
        <v>1.024</v>
      </c>
      <c r="AT33" s="46">
        <f t="shared" si="57"/>
        <v>-3.0010000000000003</v>
      </c>
      <c r="AU33" s="46">
        <f t="shared" si="58"/>
        <v>-2.19</v>
      </c>
      <c r="AV33" s="46">
        <f t="shared" si="42"/>
        <v>6.09</v>
      </c>
      <c r="AW33" s="46">
        <f t="shared" si="51"/>
        <v>11.59</v>
      </c>
    </row>
    <row r="34" spans="2:49">
      <c r="B34" s="2" t="s">
        <v>333</v>
      </c>
      <c r="C34" s="46">
        <f t="shared" ref="C34:P34" si="68">C32+C33</f>
        <v>-0.6549999999999867</v>
      </c>
      <c r="D34" s="46">
        <f t="shared" si="68"/>
        <v>-17.009000000000015</v>
      </c>
      <c r="E34" s="46">
        <f t="shared" si="68"/>
        <v>-19.749000000000002</v>
      </c>
      <c r="F34" s="46">
        <f t="shared" si="68"/>
        <v>-0.50499999999999012</v>
      </c>
      <c r="G34" s="46">
        <f t="shared" si="68"/>
        <v>12.463000000000003</v>
      </c>
      <c r="H34" s="46">
        <f t="shared" si="68"/>
        <v>10.223000000000022</v>
      </c>
      <c r="I34" s="46">
        <f t="shared" si="68"/>
        <v>7.7739999999999823</v>
      </c>
      <c r="J34" s="46">
        <f t="shared" si="68"/>
        <v>-40.962000000000081</v>
      </c>
      <c r="K34" s="46">
        <f t="shared" si="68"/>
        <v>-5.1110000000000024</v>
      </c>
      <c r="L34" s="46">
        <f t="shared" si="68"/>
        <v>-1.1440000000000066</v>
      </c>
      <c r="M34" s="46">
        <f t="shared" si="68"/>
        <v>3.0199999999999965</v>
      </c>
      <c r="N34" s="46">
        <f t="shared" si="68"/>
        <v>7.1269999999999492</v>
      </c>
      <c r="O34" s="46">
        <f t="shared" si="68"/>
        <v>8.6940000000000399</v>
      </c>
      <c r="P34" s="46">
        <f t="shared" si="68"/>
        <v>19.600000000000001</v>
      </c>
      <c r="Q34" s="46">
        <f>Q32+Q33</f>
        <v>13.299999999999994</v>
      </c>
      <c r="R34" s="46">
        <f t="shared" ref="R34:V34" si="69">R32+R33</f>
        <v>38.116000000000028</v>
      </c>
      <c r="S34" s="46">
        <f t="shared" si="69"/>
        <v>14.699999999999989</v>
      </c>
      <c r="T34" s="46">
        <f t="shared" si="69"/>
        <v>-77.80000000000004</v>
      </c>
      <c r="U34" s="46">
        <f t="shared" si="69"/>
        <v>39.800000000000033</v>
      </c>
      <c r="V34" s="46">
        <f t="shared" si="69"/>
        <v>44.150000000000006</v>
      </c>
      <c r="AS34" s="46">
        <f t="shared" si="50"/>
        <v>-37.917999999999992</v>
      </c>
      <c r="AT34" s="46">
        <f t="shared" si="57"/>
        <v>-10.502000000000073</v>
      </c>
      <c r="AU34" s="46">
        <f t="shared" si="58"/>
        <v>3.8919999999999368</v>
      </c>
      <c r="AV34" s="46">
        <f t="shared" si="42"/>
        <v>79.710000000000065</v>
      </c>
      <c r="AW34" s="46">
        <f t="shared" si="51"/>
        <v>20.849999999999987</v>
      </c>
    </row>
    <row r="35" spans="2:49">
      <c r="B35" s="2" t="s">
        <v>334</v>
      </c>
      <c r="C35" s="46">
        <v>-1.6339999999999999</v>
      </c>
      <c r="D35" s="46">
        <v>-4.1289999999999996</v>
      </c>
      <c r="E35" s="46">
        <v>-9.8550000000000004</v>
      </c>
      <c r="F35" s="46">
        <f>-18.761-SUM(C35:E35)</f>
        <v>-3.1429999999999989</v>
      </c>
      <c r="G35" s="46">
        <v>1.5409999999999999</v>
      </c>
      <c r="H35" s="46">
        <v>1.9</v>
      </c>
      <c r="I35" s="46">
        <v>-0.249</v>
      </c>
      <c r="J35" s="46">
        <f>-13.125-SUM(G35:I35)</f>
        <v>-16.317</v>
      </c>
      <c r="K35" s="46">
        <v>-5.1829999999999998</v>
      </c>
      <c r="L35" s="46">
        <v>2.52</v>
      </c>
      <c r="M35" s="46">
        <v>5.3</v>
      </c>
      <c r="N35" s="46">
        <f>5.894-SUM(K35:M35)</f>
        <v>3.2570000000000001</v>
      </c>
      <c r="O35" s="46">
        <v>0.09</v>
      </c>
      <c r="P35" s="46">
        <v>0.5</v>
      </c>
      <c r="Q35" s="46">
        <v>4.09</v>
      </c>
      <c r="R35" s="46">
        <f>-11.3-SUM(O35:Q35)</f>
        <v>-15.98</v>
      </c>
      <c r="S35" s="46">
        <v>3.6</v>
      </c>
      <c r="T35" s="46">
        <v>-17.600000000000001</v>
      </c>
      <c r="U35" s="46">
        <v>10.3</v>
      </c>
      <c r="V35" s="46">
        <f>6.86-SUM(S35:U35)</f>
        <v>10.560000000000002</v>
      </c>
      <c r="AS35" s="46">
        <f t="shared" si="50"/>
        <v>-18.760999999999999</v>
      </c>
      <c r="AT35" s="46">
        <f t="shared" si="57"/>
        <v>-13.125</v>
      </c>
      <c r="AU35" s="46">
        <f t="shared" si="58"/>
        <v>5.8940000000000001</v>
      </c>
      <c r="AV35" s="46">
        <f t="shared" si="42"/>
        <v>-11.3</v>
      </c>
      <c r="AW35" s="46">
        <f t="shared" si="51"/>
        <v>6.8600000000000012</v>
      </c>
    </row>
    <row r="36" spans="2:49">
      <c r="B36" s="2" t="s">
        <v>661</v>
      </c>
      <c r="C36" s="46">
        <f>C34-C35</f>
        <v>0.97900000000001319</v>
      </c>
      <c r="D36" s="46">
        <f>D34-D35</f>
        <v>-12.880000000000015</v>
      </c>
      <c r="E36" s="46">
        <f>E34-E35</f>
        <v>-9.8940000000000019</v>
      </c>
      <c r="F36" s="46">
        <f>F34-F35</f>
        <v>2.6380000000000088</v>
      </c>
      <c r="G36" s="46">
        <f>G34-G35</f>
        <v>10.922000000000002</v>
      </c>
      <c r="H36" s="46">
        <f>H34-H35</f>
        <v>8.3230000000000217</v>
      </c>
      <c r="I36" s="46">
        <f>I34-I35</f>
        <v>8.0229999999999819</v>
      </c>
      <c r="J36" s="46">
        <f>J34-J35</f>
        <v>-24.645000000000081</v>
      </c>
      <c r="K36" s="46">
        <f t="shared" ref="K36:T36" si="70">K34-K35</f>
        <v>7.1999999999997399E-2</v>
      </c>
      <c r="L36" s="46">
        <f t="shared" si="70"/>
        <v>-3.6640000000000068</v>
      </c>
      <c r="M36" s="46">
        <f t="shared" si="70"/>
        <v>-2.2800000000000034</v>
      </c>
      <c r="N36" s="46">
        <f t="shared" si="70"/>
        <v>3.869999999999949</v>
      </c>
      <c r="O36" s="46">
        <f t="shared" si="70"/>
        <v>8.6040000000000401</v>
      </c>
      <c r="P36" s="46">
        <f t="shared" si="70"/>
        <v>19.100000000000001</v>
      </c>
      <c r="Q36" s="46">
        <f t="shared" si="70"/>
        <v>9.2099999999999937</v>
      </c>
      <c r="R36" s="46">
        <f t="shared" si="70"/>
        <v>54.096000000000032</v>
      </c>
      <c r="S36" s="46">
        <f t="shared" si="70"/>
        <v>11.099999999999989</v>
      </c>
      <c r="T36" s="46">
        <f t="shared" si="70"/>
        <v>-60.200000000000038</v>
      </c>
      <c r="U36" s="46">
        <f>U34-U35</f>
        <v>29.500000000000032</v>
      </c>
      <c r="V36" s="46">
        <f t="shared" ref="V36" si="71">V34-V35</f>
        <v>33.590000000000003</v>
      </c>
      <c r="AS36" s="46">
        <f t="shared" si="50"/>
        <v>-19.156999999999993</v>
      </c>
      <c r="AT36" s="46">
        <f t="shared" si="57"/>
        <v>2.6229999999999265</v>
      </c>
      <c r="AU36" s="46">
        <f t="shared" si="58"/>
        <v>-2.0020000000000633</v>
      </c>
      <c r="AV36" s="46">
        <f t="shared" si="42"/>
        <v>91.010000000000076</v>
      </c>
      <c r="AW36" s="46">
        <f t="shared" si="51"/>
        <v>13.989999999999984</v>
      </c>
    </row>
    <row r="37" spans="2:49">
      <c r="B37" s="2" t="s">
        <v>660</v>
      </c>
      <c r="C37" s="46">
        <v>-0.53700000000000003</v>
      </c>
      <c r="D37" s="46">
        <v>-0.94</v>
      </c>
      <c r="E37" s="46">
        <v>-1.0609999999999999</v>
      </c>
      <c r="F37" s="46">
        <f>-3.555-SUM(C37:E37)</f>
        <v>-1.0170000000000003</v>
      </c>
      <c r="G37" s="46">
        <v>-0.91</v>
      </c>
      <c r="H37" s="46">
        <v>-0.93200000000000005</v>
      </c>
      <c r="I37" s="46">
        <v>-0.81899999999999995</v>
      </c>
      <c r="J37" s="46">
        <f>-2.641-SUM(G37:I37)</f>
        <v>2.0000000000000018E-2</v>
      </c>
      <c r="K37" s="46">
        <v>0</v>
      </c>
      <c r="L37" s="46">
        <v>0</v>
      </c>
      <c r="M37" s="46">
        <v>0</v>
      </c>
      <c r="N37" s="46">
        <v>0</v>
      </c>
      <c r="O37" s="46">
        <v>0</v>
      </c>
      <c r="P37" s="46">
        <v>0</v>
      </c>
      <c r="Q37" s="46">
        <v>0</v>
      </c>
      <c r="R37" s="46">
        <v>0</v>
      </c>
      <c r="S37" s="46">
        <v>0</v>
      </c>
      <c r="T37" s="46">
        <v>0</v>
      </c>
      <c r="U37" s="46">
        <v>0</v>
      </c>
      <c r="V37" s="46">
        <v>0</v>
      </c>
      <c r="AS37" s="2">
        <v>-3.5550000000000002</v>
      </c>
      <c r="AT37" s="2">
        <v>-2.661</v>
      </c>
      <c r="AU37" s="2">
        <v>0</v>
      </c>
      <c r="AV37" s="2">
        <v>0</v>
      </c>
      <c r="AW37" s="2">
        <v>0</v>
      </c>
    </row>
    <row r="38" spans="2:49" ht="15">
      <c r="B38" s="1" t="s">
        <v>662</v>
      </c>
      <c r="C38" s="53">
        <f>C36-C37</f>
        <v>1.5160000000000133</v>
      </c>
      <c r="D38" s="53">
        <f t="shared" ref="D38:V38" si="72">D36-D37</f>
        <v>-11.940000000000015</v>
      </c>
      <c r="E38" s="53">
        <f t="shared" si="72"/>
        <v>-8.833000000000002</v>
      </c>
      <c r="F38" s="53">
        <f t="shared" si="72"/>
        <v>3.6550000000000091</v>
      </c>
      <c r="G38" s="53">
        <f t="shared" si="72"/>
        <v>11.832000000000003</v>
      </c>
      <c r="H38" s="53">
        <f t="shared" si="72"/>
        <v>9.2550000000000221</v>
      </c>
      <c r="I38" s="53">
        <f t="shared" si="72"/>
        <v>8.841999999999981</v>
      </c>
      <c r="J38" s="53">
        <f t="shared" si="72"/>
        <v>-24.665000000000081</v>
      </c>
      <c r="K38" s="53">
        <f t="shared" si="72"/>
        <v>7.1999999999997399E-2</v>
      </c>
      <c r="L38" s="53">
        <f t="shared" si="72"/>
        <v>-3.6640000000000068</v>
      </c>
      <c r="M38" s="53">
        <f t="shared" si="72"/>
        <v>-2.2800000000000034</v>
      </c>
      <c r="N38" s="53">
        <f t="shared" si="72"/>
        <v>3.869999999999949</v>
      </c>
      <c r="O38" s="53">
        <f t="shared" si="72"/>
        <v>8.6040000000000401</v>
      </c>
      <c r="P38" s="53">
        <f t="shared" si="72"/>
        <v>19.100000000000001</v>
      </c>
      <c r="Q38" s="53">
        <f t="shared" si="72"/>
        <v>9.2099999999999937</v>
      </c>
      <c r="R38" s="53">
        <f t="shared" si="72"/>
        <v>54.096000000000032</v>
      </c>
      <c r="S38" s="53">
        <f t="shared" si="72"/>
        <v>11.099999999999989</v>
      </c>
      <c r="T38" s="53">
        <f t="shared" si="72"/>
        <v>-60.200000000000038</v>
      </c>
      <c r="U38" s="53">
        <f t="shared" si="72"/>
        <v>29.500000000000032</v>
      </c>
      <c r="V38" s="53">
        <f t="shared" si="72"/>
        <v>33.590000000000003</v>
      </c>
      <c r="AS38" s="53">
        <f t="shared" ref="AS38" si="73">AS36-AS37</f>
        <v>-15.601999999999993</v>
      </c>
      <c r="AT38" s="53">
        <f t="shared" ref="AT38" si="74">AT36-AT37</f>
        <v>5.2839999999999261</v>
      </c>
      <c r="AU38" s="53">
        <f t="shared" ref="AU38" si="75">AU36-AU37</f>
        <v>-2.0020000000000633</v>
      </c>
      <c r="AV38" s="53">
        <f t="shared" ref="AV38" si="76">AV36-AV37</f>
        <v>91.010000000000076</v>
      </c>
      <c r="AW38" s="53">
        <f t="shared" ref="AW38" si="77">AW36-AW37</f>
        <v>13.989999999999984</v>
      </c>
    </row>
    <row r="39" spans="2:49">
      <c r="B39" s="2" t="s">
        <v>335</v>
      </c>
      <c r="C39" s="46">
        <v>35</v>
      </c>
      <c r="D39" s="46">
        <v>35.4</v>
      </c>
      <c r="E39" s="46">
        <v>36.207000000000001</v>
      </c>
      <c r="F39" s="46">
        <v>37.651000000000003</v>
      </c>
      <c r="G39" s="46">
        <v>36.454999999999998</v>
      </c>
      <c r="H39" s="46">
        <v>36.523000000000003</v>
      </c>
      <c r="I39" s="46">
        <v>36.616999999999997</v>
      </c>
      <c r="J39" s="46">
        <v>36.700000000000003</v>
      </c>
      <c r="K39" s="46">
        <v>37.646000000000001</v>
      </c>
      <c r="L39" s="46">
        <v>37.767000000000003</v>
      </c>
      <c r="M39" s="46">
        <v>37.917999999999999</v>
      </c>
      <c r="N39" s="46">
        <v>37.841000000000001</v>
      </c>
      <c r="O39" s="46">
        <v>39.07</v>
      </c>
      <c r="P39" s="46">
        <v>38.15</v>
      </c>
      <c r="Q39" s="46">
        <v>38.462000000000003</v>
      </c>
      <c r="R39" s="46">
        <v>38.4</v>
      </c>
      <c r="S39" s="46">
        <v>39.299999999999997</v>
      </c>
      <c r="T39" s="46">
        <v>38.799999999999997</v>
      </c>
      <c r="U39" s="46">
        <v>38.6</v>
      </c>
      <c r="V39" s="46">
        <v>38.630000000000003</v>
      </c>
      <c r="AS39" s="2">
        <f t="shared" si="50"/>
        <v>144.25800000000001</v>
      </c>
      <c r="AT39" s="2">
        <f t="shared" si="57"/>
        <v>146.29500000000002</v>
      </c>
      <c r="AU39" s="2">
        <f t="shared" si="58"/>
        <v>151.17200000000003</v>
      </c>
      <c r="AV39" s="2">
        <f t="shared" si="42"/>
        <v>154.08199999999999</v>
      </c>
      <c r="AW39" s="2">
        <f t="shared" si="51"/>
        <v>155.32999999999998</v>
      </c>
    </row>
    <row r="40" spans="2:49">
      <c r="B40" s="2" t="s">
        <v>336</v>
      </c>
      <c r="C40" s="49">
        <f>C38/C39</f>
        <v>4.3314285714286097E-2</v>
      </c>
      <c r="D40" s="49">
        <f t="shared" ref="D40:V40" si="78">D38/D39</f>
        <v>-0.33728813559322079</v>
      </c>
      <c r="E40" s="49">
        <f t="shared" si="78"/>
        <v>-0.24395835059518883</v>
      </c>
      <c r="F40" s="49">
        <f t="shared" si="78"/>
        <v>9.70757748798175E-2</v>
      </c>
      <c r="G40" s="49">
        <f t="shared" si="78"/>
        <v>0.32456453161431909</v>
      </c>
      <c r="H40" s="49">
        <f t="shared" si="78"/>
        <v>0.25340196588451169</v>
      </c>
      <c r="I40" s="49">
        <f t="shared" si="78"/>
        <v>0.24147254007701291</v>
      </c>
      <c r="J40" s="49">
        <f t="shared" si="78"/>
        <v>-0.67207084468665068</v>
      </c>
      <c r="K40" s="49">
        <f t="shared" si="78"/>
        <v>1.9125537905752908E-3</v>
      </c>
      <c r="L40" s="49">
        <f t="shared" si="78"/>
        <v>-9.7015913363518586E-2</v>
      </c>
      <c r="M40" s="49">
        <f t="shared" si="78"/>
        <v>-6.01297536789916E-2</v>
      </c>
      <c r="N40" s="49">
        <f t="shared" si="78"/>
        <v>0.10227002457651618</v>
      </c>
      <c r="O40" s="49">
        <f t="shared" si="78"/>
        <v>0.22022011773739544</v>
      </c>
      <c r="P40" s="49">
        <f t="shared" si="78"/>
        <v>0.50065530799475755</v>
      </c>
      <c r="Q40" s="49">
        <f t="shared" si="78"/>
        <v>0.23945712651448164</v>
      </c>
      <c r="R40" s="49">
        <f t="shared" si="78"/>
        <v>1.4087500000000008</v>
      </c>
      <c r="S40" s="49">
        <f t="shared" si="78"/>
        <v>0.2824427480916028</v>
      </c>
      <c r="T40" s="49">
        <f t="shared" si="78"/>
        <v>-1.5515463917525785</v>
      </c>
      <c r="U40" s="49">
        <f t="shared" si="78"/>
        <v>0.76424870466321326</v>
      </c>
      <c r="V40" s="49">
        <f t="shared" si="78"/>
        <v>0.86953145223919237</v>
      </c>
      <c r="AS40" s="2">
        <f t="shared" si="50"/>
        <v>-0.4408564255943061</v>
      </c>
      <c r="AT40" s="2">
        <f t="shared" si="57"/>
        <v>0.14736819288919301</v>
      </c>
      <c r="AU40" s="2">
        <f t="shared" si="58"/>
        <v>-5.2963088675418712E-2</v>
      </c>
      <c r="AV40" s="2">
        <f t="shared" si="42"/>
        <v>2.3690825522466357</v>
      </c>
      <c r="AW40" s="2">
        <f t="shared" si="51"/>
        <v>0.36467651324142991</v>
      </c>
    </row>
    <row r="41" spans="2:49">
      <c r="E41" s="46"/>
      <c r="F41" s="49">
        <f>SUM(C40:F40)</f>
        <v>-0.4408564255943061</v>
      </c>
      <c r="J41" s="49">
        <f>SUM(G40:J40)</f>
        <v>0.14736819288919301</v>
      </c>
      <c r="N41" s="49">
        <f>SUM(K40:N40)</f>
        <v>-5.2963088675418712E-2</v>
      </c>
      <c r="R41" s="49">
        <f>SUM(O40:R40)</f>
        <v>2.3690825522466357</v>
      </c>
      <c r="V41" s="49">
        <f>SUM(S40:V40)</f>
        <v>0.36467651324142991</v>
      </c>
    </row>
    <row r="42" spans="2:49">
      <c r="E42" s="46"/>
      <c r="F42" s="49"/>
      <c r="J42" s="49"/>
      <c r="N42" s="49"/>
      <c r="R42" s="49"/>
      <c r="V42" s="49"/>
    </row>
    <row r="43" spans="2:49">
      <c r="B43" s="2" t="s">
        <v>639</v>
      </c>
      <c r="C43" s="48">
        <f t="shared" ref="C43:U43" si="79">C27/C25</f>
        <v>0.64093226511289147</v>
      </c>
      <c r="D43" s="48">
        <f t="shared" si="79"/>
        <v>0.61750713606089436</v>
      </c>
      <c r="E43" s="48">
        <f t="shared" si="79"/>
        <v>0.60189940436796829</v>
      </c>
      <c r="F43" s="48">
        <f t="shared" si="79"/>
        <v>0.56513611963190191</v>
      </c>
      <c r="G43" s="48">
        <f t="shared" si="79"/>
        <v>0.65799645390070927</v>
      </c>
      <c r="H43" s="48">
        <f t="shared" si="79"/>
        <v>0.64405860010851879</v>
      </c>
      <c r="I43" s="48">
        <f t="shared" si="79"/>
        <v>0.6307206733298264</v>
      </c>
      <c r="J43" s="48">
        <f t="shared" si="79"/>
        <v>0.61497622432472154</v>
      </c>
      <c r="K43" s="48">
        <f t="shared" si="79"/>
        <v>0.62481608631682195</v>
      </c>
      <c r="L43" s="48">
        <f t="shared" si="79"/>
        <v>0.64330292846855497</v>
      </c>
      <c r="M43" s="48">
        <f t="shared" si="79"/>
        <v>0.63313055685540476</v>
      </c>
      <c r="N43" s="48">
        <f t="shared" si="79"/>
        <v>0.6260684436770283</v>
      </c>
      <c r="O43" s="48">
        <f t="shared" si="79"/>
        <v>0.62593206296603154</v>
      </c>
      <c r="P43" s="48">
        <f t="shared" si="79"/>
        <v>0.63824091778202674</v>
      </c>
      <c r="Q43" s="48">
        <f t="shared" si="79"/>
        <v>0.65596160944998161</v>
      </c>
      <c r="R43" s="48">
        <f t="shared" si="79"/>
        <v>0.65650463613374543</v>
      </c>
      <c r="S43" s="48">
        <f t="shared" si="79"/>
        <v>0.65016146393972007</v>
      </c>
      <c r="T43" s="48">
        <f t="shared" si="79"/>
        <v>0.54375417501670009</v>
      </c>
      <c r="U43" s="48">
        <f t="shared" si="79"/>
        <v>0.6654485049833887</v>
      </c>
      <c r="V43" s="48">
        <f>V27/V25</f>
        <v>0.66782884310618063</v>
      </c>
      <c r="AS43" s="48">
        <f>AVERAGE(C43:F43)</f>
        <v>0.60636873129341406</v>
      </c>
      <c r="AT43" s="48">
        <f>AVERAGE(G43:J43)</f>
        <v>0.63693798791594392</v>
      </c>
      <c r="AU43" s="48">
        <f>AVERAGE(K43:N43)</f>
        <v>0.63182950382945258</v>
      </c>
      <c r="AV43" s="48">
        <f>AVERAGE(O43:R43)</f>
        <v>0.64415980658294636</v>
      </c>
      <c r="AW43" s="48">
        <f>AVERAGE(S43:V43)</f>
        <v>0.63179824676149743</v>
      </c>
    </row>
    <row r="44" spans="2:49">
      <c r="B44" s="2" t="s">
        <v>640</v>
      </c>
      <c r="C44" s="48">
        <f t="shared" ref="C44:U44" si="80">C32/C25</f>
        <v>4.377276037873367E-3</v>
      </c>
      <c r="D44" s="48">
        <f t="shared" si="80"/>
        <v>-0.16769743101807816</v>
      </c>
      <c r="E44" s="48">
        <f t="shared" si="80"/>
        <v>-0.13352746525479817</v>
      </c>
      <c r="F44" s="48">
        <f t="shared" si="80"/>
        <v>-1.0436637269938589E-2</v>
      </c>
      <c r="G44" s="48">
        <f t="shared" si="80"/>
        <v>7.9544917257683243E-2</v>
      </c>
      <c r="H44" s="48">
        <f t="shared" si="80"/>
        <v>5.6060770482908417E-2</v>
      </c>
      <c r="I44" s="48">
        <f t="shared" si="80"/>
        <v>4.6149395055233994E-2</v>
      </c>
      <c r="J44" s="48">
        <f t="shared" si="80"/>
        <v>-0.19640668660228483</v>
      </c>
      <c r="K44" s="48">
        <f t="shared" si="80"/>
        <v>-1.9911721432074557E-2</v>
      </c>
      <c r="L44" s="48">
        <f t="shared" si="80"/>
        <v>-8.3533365338457318E-4</v>
      </c>
      <c r="M44" s="48">
        <f t="shared" si="80"/>
        <v>2.5315863359850244E-2</v>
      </c>
      <c r="N44" s="48">
        <f t="shared" si="80"/>
        <v>2.2175715196195642E-2</v>
      </c>
      <c r="O44" s="48">
        <f t="shared" si="80"/>
        <v>3.3347141673571001E-2</v>
      </c>
      <c r="P44" s="48">
        <f t="shared" si="80"/>
        <v>6.8833652007648183E-2</v>
      </c>
      <c r="Q44" s="48">
        <f t="shared" si="80"/>
        <v>4.651162790697673E-2</v>
      </c>
      <c r="R44" s="48">
        <f t="shared" si="80"/>
        <v>0.12282242202865983</v>
      </c>
      <c r="S44" s="48">
        <f t="shared" si="80"/>
        <v>4.377466810190165E-2</v>
      </c>
      <c r="T44" s="48">
        <f t="shared" si="80"/>
        <v>-0.27020708082832345</v>
      </c>
      <c r="U44" s="48">
        <f t="shared" si="80"/>
        <v>0.11760797342192703</v>
      </c>
      <c r="V44" s="48">
        <f>V32/V25</f>
        <v>0.13489698890649762</v>
      </c>
      <c r="AS44" s="48">
        <f t="shared" ref="AS44:AS47" si="81">AVERAGE(C44:F44)</f>
        <v>-7.6821064376235398E-2</v>
      </c>
      <c r="AT44" s="48">
        <f t="shared" ref="AT44:AT47" si="82">AVERAGE(G44:J44)</f>
        <v>-3.6629009516147906E-3</v>
      </c>
      <c r="AU44" s="48">
        <f t="shared" ref="AU44:AU47" si="83">AVERAGE(K44:N44)</f>
        <v>6.6861308676466891E-3</v>
      </c>
      <c r="AV44" s="48">
        <f t="shared" ref="AV44:AV47" si="84">AVERAGE(O44:R44)</f>
        <v>6.7878710904213935E-2</v>
      </c>
      <c r="AW44" s="48">
        <f t="shared" ref="AW44:AW47" si="85">AVERAGE(S44:V44)</f>
        <v>6.5181374005007092E-3</v>
      </c>
    </row>
    <row r="45" spans="2:49">
      <c r="B45" s="2" t="s">
        <v>641</v>
      </c>
      <c r="C45" s="48">
        <f t="shared" ref="C45:U45" si="86">C38/C25</f>
        <v>1.1041514930808545E-2</v>
      </c>
      <c r="D45" s="48">
        <f t="shared" si="86"/>
        <v>-0.11360608943863003</v>
      </c>
      <c r="E45" s="48">
        <f t="shared" si="86"/>
        <v>-5.8457974851092005E-2</v>
      </c>
      <c r="F45" s="48">
        <f t="shared" si="86"/>
        <v>2.1897766487730112E-2</v>
      </c>
      <c r="G45" s="48">
        <f t="shared" si="86"/>
        <v>6.9929078014184423E-2</v>
      </c>
      <c r="H45" s="48">
        <f t="shared" si="86"/>
        <v>5.0217037438958334E-2</v>
      </c>
      <c r="I45" s="48">
        <f t="shared" si="86"/>
        <v>4.6512361914781593E-2</v>
      </c>
      <c r="J45" s="48">
        <f t="shared" si="86"/>
        <v>-0.12091278984263974</v>
      </c>
      <c r="K45" s="48">
        <f t="shared" si="86"/>
        <v>3.5311427170180187E-4</v>
      </c>
      <c r="L45" s="48">
        <f t="shared" si="86"/>
        <v>-1.7590014402304399E-2</v>
      </c>
      <c r="M45" s="48">
        <f t="shared" si="86"/>
        <v>-1.0669162377164264E-2</v>
      </c>
      <c r="N45" s="48">
        <f t="shared" si="86"/>
        <v>1.7492869508617385E-2</v>
      </c>
      <c r="O45" s="48">
        <f t="shared" si="86"/>
        <v>3.5642087821044076E-2</v>
      </c>
      <c r="P45" s="48">
        <f t="shared" si="86"/>
        <v>7.304015296367114E-2</v>
      </c>
      <c r="Q45" s="48">
        <f t="shared" si="86"/>
        <v>3.399778516057584E-2</v>
      </c>
      <c r="R45" s="48">
        <f t="shared" si="86"/>
        <v>0.18999719022197256</v>
      </c>
      <c r="S45" s="48">
        <f t="shared" si="86"/>
        <v>3.9827771797631827E-2</v>
      </c>
      <c r="T45" s="48">
        <f t="shared" si="86"/>
        <v>-0.20106880427521726</v>
      </c>
      <c r="U45" s="48">
        <f t="shared" si="86"/>
        <v>9.8006644518272526E-2</v>
      </c>
      <c r="V45" s="48">
        <f>V38/V25</f>
        <v>0.10646592709984153</v>
      </c>
      <c r="AS45" s="48">
        <f t="shared" si="81"/>
        <v>-3.4781195717795844E-2</v>
      </c>
      <c r="AT45" s="48">
        <f t="shared" si="82"/>
        <v>1.1436421881321154E-2</v>
      </c>
      <c r="AU45" s="48">
        <f t="shared" si="83"/>
        <v>-2.6032982497873692E-3</v>
      </c>
      <c r="AV45" s="48">
        <f t="shared" si="84"/>
        <v>8.3169304041815911E-2</v>
      </c>
      <c r="AW45" s="48">
        <f t="shared" si="85"/>
        <v>1.0807884785132157E-2</v>
      </c>
    </row>
    <row r="46" spans="2:49">
      <c r="B46" s="2" t="s">
        <v>642</v>
      </c>
      <c r="C46" s="48">
        <f t="shared" ref="C46:U46" si="87">C28/C25</f>
        <v>9.4289876183539678E-2</v>
      </c>
      <c r="D46" s="48">
        <f t="shared" si="87"/>
        <v>0.21622264509990488</v>
      </c>
      <c r="E46" s="48">
        <f t="shared" si="87"/>
        <v>0.23112508272667109</v>
      </c>
      <c r="F46" s="48">
        <f t="shared" si="87"/>
        <v>0.11655842599693257</v>
      </c>
      <c r="G46" s="48">
        <f t="shared" si="87"/>
        <v>0.10683215130023642</v>
      </c>
      <c r="H46" s="48">
        <f t="shared" si="87"/>
        <v>9.624525230602278E-2</v>
      </c>
      <c r="I46" s="48">
        <f t="shared" si="87"/>
        <v>8.8006312467122566E-2</v>
      </c>
      <c r="J46" s="48">
        <f t="shared" si="87"/>
        <v>0.25495367419971571</v>
      </c>
      <c r="K46" s="48">
        <f t="shared" si="87"/>
        <v>0.10083374203040706</v>
      </c>
      <c r="L46" s="48">
        <f t="shared" si="87"/>
        <v>9.3898223715794524E-2</v>
      </c>
      <c r="M46" s="48">
        <f t="shared" si="87"/>
        <v>9.9766027140851671E-2</v>
      </c>
      <c r="N46" s="48">
        <f t="shared" si="87"/>
        <v>8.1217539878770353E-2</v>
      </c>
      <c r="O46" s="48">
        <f t="shared" si="87"/>
        <v>8.2767191383595687E-2</v>
      </c>
      <c r="P46" s="48">
        <f t="shared" si="87"/>
        <v>8.2217973231357558E-2</v>
      </c>
      <c r="Q46" s="48">
        <f t="shared" si="87"/>
        <v>7.7519379844961253E-2</v>
      </c>
      <c r="R46" s="48">
        <f t="shared" si="87"/>
        <v>7.6987917954481594E-2</v>
      </c>
      <c r="S46" s="48">
        <f t="shared" si="87"/>
        <v>8.8266953713670618E-2</v>
      </c>
      <c r="T46" s="48">
        <f t="shared" si="87"/>
        <v>8.3166332665330661E-2</v>
      </c>
      <c r="U46" s="48">
        <f t="shared" si="87"/>
        <v>8.3720930232558138E-2</v>
      </c>
      <c r="V46" s="48">
        <f>V28/V25</f>
        <v>6.3708399366085564E-2</v>
      </c>
      <c r="AS46" s="48">
        <f t="shared" si="81"/>
        <v>0.16454900750176205</v>
      </c>
      <c r="AT46" s="48">
        <f t="shared" si="82"/>
        <v>0.13650934756827438</v>
      </c>
      <c r="AU46" s="48">
        <f t="shared" si="83"/>
        <v>9.3928883191455897E-2</v>
      </c>
      <c r="AV46" s="48">
        <f t="shared" si="84"/>
        <v>7.9873115603599026E-2</v>
      </c>
      <c r="AW46" s="48">
        <f t="shared" si="85"/>
        <v>7.9715653994411259E-2</v>
      </c>
    </row>
    <row r="47" spans="2:49">
      <c r="B47" s="2" t="s">
        <v>663</v>
      </c>
      <c r="C47" s="48">
        <f t="shared" ref="C47:U47" si="88">C29/C25</f>
        <v>0.5422651128914785</v>
      </c>
      <c r="D47" s="48">
        <f t="shared" si="88"/>
        <v>0.56898192197906761</v>
      </c>
      <c r="E47" s="48">
        <f t="shared" si="88"/>
        <v>0.50430178689609539</v>
      </c>
      <c r="F47" s="48">
        <f t="shared" si="88"/>
        <v>0.45901433090490795</v>
      </c>
      <c r="G47" s="48">
        <f t="shared" si="88"/>
        <v>0.47161938534278963</v>
      </c>
      <c r="H47" s="48">
        <f t="shared" si="88"/>
        <v>0.49175257731958755</v>
      </c>
      <c r="I47" s="48">
        <f t="shared" si="88"/>
        <v>0.49656496580746978</v>
      </c>
      <c r="J47" s="48">
        <f t="shared" si="88"/>
        <v>0.55642923672729072</v>
      </c>
      <c r="K47" s="48">
        <f t="shared" si="88"/>
        <v>0.54389406571848942</v>
      </c>
      <c r="L47" s="48">
        <f t="shared" si="88"/>
        <v>0.55024003840614488</v>
      </c>
      <c r="M47" s="48">
        <f t="shared" si="88"/>
        <v>0.5080486663547028</v>
      </c>
      <c r="N47" s="48">
        <f t="shared" si="88"/>
        <v>0.52267518860206241</v>
      </c>
      <c r="O47" s="48">
        <f t="shared" si="88"/>
        <v>0.50981772990886487</v>
      </c>
      <c r="P47" s="48">
        <f t="shared" si="88"/>
        <v>0.48718929254302107</v>
      </c>
      <c r="Q47" s="48">
        <f t="shared" si="88"/>
        <v>0.46474713916574389</v>
      </c>
      <c r="R47" s="48">
        <f t="shared" si="88"/>
        <v>0.45669429615060397</v>
      </c>
      <c r="S47" s="48">
        <f t="shared" si="88"/>
        <v>0.51811984212414786</v>
      </c>
      <c r="T47" s="48">
        <f t="shared" si="88"/>
        <v>0.4739478957915832</v>
      </c>
      <c r="U47" s="48">
        <f t="shared" si="88"/>
        <v>0.46411960132890362</v>
      </c>
      <c r="V47" s="48">
        <f>V29/V25</f>
        <v>0.46909667194928684</v>
      </c>
      <c r="AS47" s="48">
        <f t="shared" si="81"/>
        <v>0.51864078816788739</v>
      </c>
      <c r="AT47" s="48">
        <f t="shared" si="82"/>
        <v>0.50409154129928435</v>
      </c>
      <c r="AU47" s="48">
        <f t="shared" si="83"/>
        <v>0.53121448977034991</v>
      </c>
      <c r="AV47" s="48">
        <f t="shared" si="84"/>
        <v>0.47961211444205842</v>
      </c>
      <c r="AW47" s="48">
        <f t="shared" si="85"/>
        <v>0.48132100279848034</v>
      </c>
    </row>
    <row r="49" spans="2:49">
      <c r="B49" s="2" t="s">
        <v>337</v>
      </c>
      <c r="C49" s="46"/>
      <c r="D49" s="46"/>
      <c r="E49" s="46"/>
      <c r="F49" s="46"/>
      <c r="G49" s="46"/>
      <c r="H49" s="46"/>
      <c r="I49" s="46"/>
      <c r="J49" s="46"/>
      <c r="K49" s="46"/>
      <c r="L49" s="46"/>
      <c r="M49" s="46"/>
      <c r="N49" s="46"/>
      <c r="O49" s="46"/>
      <c r="P49" s="46"/>
      <c r="Q49" s="46"/>
      <c r="R49" s="46"/>
      <c r="S49" s="46"/>
      <c r="T49" s="46"/>
      <c r="U49" s="46"/>
      <c r="V49" s="46">
        <v>324.39999999999998</v>
      </c>
      <c r="AS49" s="46">
        <f t="shared" si="50"/>
        <v>0</v>
      </c>
      <c r="AT49" s="46">
        <f t="shared" si="57"/>
        <v>0</v>
      </c>
      <c r="AU49" s="46">
        <f t="shared" si="58"/>
        <v>0</v>
      </c>
      <c r="AV49" s="46">
        <f t="shared" si="42"/>
        <v>0</v>
      </c>
      <c r="AW49" s="46">
        <f t="shared" si="51"/>
        <v>324.39999999999998</v>
      </c>
    </row>
    <row r="50" spans="2:49">
      <c r="B50" s="2" t="s">
        <v>338</v>
      </c>
      <c r="C50" s="46"/>
      <c r="D50" s="46"/>
      <c r="E50" s="46"/>
      <c r="F50" s="46"/>
      <c r="G50" s="46"/>
      <c r="H50" s="46"/>
      <c r="I50" s="46"/>
      <c r="J50" s="46"/>
      <c r="K50" s="46"/>
      <c r="L50" s="46"/>
      <c r="M50" s="46"/>
      <c r="N50" s="46"/>
      <c r="O50" s="46"/>
      <c r="P50" s="46"/>
      <c r="Q50" s="46"/>
      <c r="R50" s="46"/>
      <c r="S50" s="46"/>
      <c r="T50" s="46"/>
      <c r="U50" s="46"/>
      <c r="V50" s="46">
        <v>15.727</v>
      </c>
      <c r="AS50" s="46">
        <f t="shared" si="50"/>
        <v>0</v>
      </c>
      <c r="AT50" s="46">
        <f t="shared" si="57"/>
        <v>0</v>
      </c>
      <c r="AU50" s="46">
        <f t="shared" si="58"/>
        <v>0</v>
      </c>
      <c r="AV50" s="46">
        <f t="shared" si="42"/>
        <v>0</v>
      </c>
      <c r="AW50" s="46">
        <f t="shared" si="51"/>
        <v>15.727</v>
      </c>
    </row>
    <row r="51" spans="2:49">
      <c r="B51" s="2" t="s">
        <v>339</v>
      </c>
      <c r="C51" s="46"/>
      <c r="D51" s="46"/>
      <c r="E51" s="46"/>
      <c r="F51" s="46"/>
      <c r="G51" s="46"/>
      <c r="H51" s="46"/>
      <c r="I51" s="46"/>
      <c r="J51" s="46"/>
      <c r="K51" s="46"/>
      <c r="L51" s="46"/>
      <c r="M51" s="46"/>
      <c r="N51" s="46"/>
      <c r="O51" s="46"/>
      <c r="P51" s="46"/>
      <c r="Q51" s="46"/>
      <c r="R51" s="46"/>
      <c r="S51" s="46"/>
      <c r="T51" s="46"/>
      <c r="U51" s="46"/>
      <c r="V51" s="46"/>
      <c r="AS51" s="46">
        <f t="shared" si="50"/>
        <v>0</v>
      </c>
      <c r="AT51" s="46">
        <f t="shared" si="57"/>
        <v>0</v>
      </c>
      <c r="AU51" s="46">
        <f t="shared" si="58"/>
        <v>0</v>
      </c>
      <c r="AV51" s="46">
        <f t="shared" si="42"/>
        <v>0</v>
      </c>
      <c r="AW51" s="46">
        <f t="shared" si="51"/>
        <v>0</v>
      </c>
    </row>
    <row r="52" spans="2:49">
      <c r="B52" s="2" t="s">
        <v>340</v>
      </c>
      <c r="C52" s="46"/>
      <c r="D52" s="46"/>
      <c r="E52" s="46"/>
      <c r="F52" s="46"/>
      <c r="G52" s="46"/>
      <c r="H52" s="46"/>
      <c r="I52" s="46"/>
      <c r="J52" s="46"/>
      <c r="K52" s="46"/>
      <c r="L52" s="46"/>
      <c r="M52" s="46"/>
      <c r="N52" s="46"/>
      <c r="O52" s="46"/>
      <c r="P52" s="46"/>
      <c r="Q52" s="46"/>
      <c r="R52" s="46"/>
      <c r="S52" s="46"/>
      <c r="T52" s="46"/>
      <c r="U52" s="46"/>
      <c r="V52" s="46"/>
      <c r="AS52" s="46">
        <f t="shared" si="50"/>
        <v>0</v>
      </c>
      <c r="AT52" s="46">
        <f t="shared" si="57"/>
        <v>0</v>
      </c>
      <c r="AU52" s="46">
        <f t="shared" si="58"/>
        <v>0</v>
      </c>
      <c r="AV52" s="46">
        <f t="shared" si="42"/>
        <v>0</v>
      </c>
      <c r="AW52" s="46">
        <f t="shared" si="51"/>
        <v>0</v>
      </c>
    </row>
    <row r="53" spans="2:49">
      <c r="B53" s="2" t="s">
        <v>341</v>
      </c>
      <c r="C53" s="46"/>
      <c r="D53" s="46"/>
      <c r="E53" s="46"/>
      <c r="F53" s="46"/>
      <c r="G53" s="46"/>
      <c r="H53" s="46"/>
      <c r="I53" s="46"/>
      <c r="J53" s="46"/>
      <c r="K53" s="46"/>
      <c r="L53" s="46"/>
      <c r="M53" s="46"/>
      <c r="N53" s="46"/>
      <c r="O53" s="46"/>
      <c r="P53" s="46"/>
      <c r="Q53" s="46"/>
      <c r="R53" s="46"/>
      <c r="S53" s="46"/>
      <c r="T53" s="46"/>
      <c r="U53" s="46"/>
      <c r="V53" s="46"/>
      <c r="AS53" s="46">
        <f t="shared" si="50"/>
        <v>0</v>
      </c>
      <c r="AT53" s="46">
        <f t="shared" si="57"/>
        <v>0</v>
      </c>
      <c r="AU53" s="46">
        <f t="shared" si="58"/>
        <v>0</v>
      </c>
      <c r="AV53" s="46">
        <f t="shared" si="42"/>
        <v>0</v>
      </c>
      <c r="AW53" s="46">
        <f t="shared" si="51"/>
        <v>0</v>
      </c>
    </row>
    <row r="54" spans="2:49">
      <c r="B54" s="2" t="s">
        <v>342</v>
      </c>
      <c r="C54" s="46"/>
      <c r="D54" s="46"/>
      <c r="E54" s="46"/>
      <c r="F54" s="46"/>
      <c r="G54" s="46"/>
      <c r="H54" s="46"/>
      <c r="I54" s="46"/>
      <c r="J54" s="46"/>
      <c r="K54" s="46"/>
      <c r="L54" s="46"/>
      <c r="M54" s="46"/>
      <c r="N54" s="46"/>
      <c r="O54" s="46"/>
      <c r="P54" s="46"/>
      <c r="Q54" s="46"/>
      <c r="R54" s="46"/>
      <c r="S54" s="46"/>
      <c r="T54" s="46"/>
      <c r="U54" s="46"/>
      <c r="V54" s="46"/>
      <c r="AS54" s="46">
        <f t="shared" si="50"/>
        <v>0</v>
      </c>
      <c r="AT54" s="46">
        <f t="shared" si="57"/>
        <v>0</v>
      </c>
      <c r="AU54" s="46">
        <f t="shared" si="58"/>
        <v>0</v>
      </c>
      <c r="AV54" s="46">
        <f t="shared" si="42"/>
        <v>0</v>
      </c>
      <c r="AW54" s="46">
        <f t="shared" si="51"/>
        <v>0</v>
      </c>
    </row>
    <row r="55" spans="2:49">
      <c r="B55" s="2" t="s">
        <v>344</v>
      </c>
      <c r="C55" s="46"/>
      <c r="D55" s="46"/>
      <c r="E55" s="46"/>
      <c r="F55" s="46"/>
      <c r="G55" s="46"/>
      <c r="H55" s="46"/>
      <c r="I55" s="46"/>
      <c r="J55" s="46"/>
      <c r="K55" s="46"/>
      <c r="L55" s="46"/>
      <c r="M55" s="46"/>
      <c r="N55" s="46"/>
      <c r="O55" s="46"/>
      <c r="P55" s="46"/>
      <c r="Q55" s="46"/>
      <c r="R55" s="46"/>
      <c r="S55" s="46"/>
      <c r="T55" s="46"/>
      <c r="U55" s="46"/>
      <c r="V55" s="46"/>
      <c r="AS55" s="46">
        <f t="shared" si="50"/>
        <v>0</v>
      </c>
      <c r="AT55" s="46">
        <f t="shared" si="57"/>
        <v>0</v>
      </c>
      <c r="AU55" s="46">
        <f t="shared" si="58"/>
        <v>0</v>
      </c>
      <c r="AV55" s="46">
        <f t="shared" si="42"/>
        <v>0</v>
      </c>
      <c r="AW55" s="46">
        <f t="shared" si="51"/>
        <v>0</v>
      </c>
    </row>
    <row r="56" spans="2:49">
      <c r="B56" s="2" t="s">
        <v>343</v>
      </c>
      <c r="C56" s="46"/>
      <c r="D56" s="46"/>
      <c r="E56" s="46"/>
      <c r="F56" s="46"/>
      <c r="G56" s="46"/>
      <c r="H56" s="46"/>
      <c r="I56" s="46"/>
      <c r="J56" s="46"/>
      <c r="K56" s="46"/>
      <c r="L56" s="46"/>
      <c r="M56" s="46"/>
      <c r="N56" s="46"/>
      <c r="O56" s="46"/>
      <c r="P56" s="46"/>
      <c r="Q56" s="46"/>
      <c r="R56" s="46"/>
      <c r="S56" s="46"/>
      <c r="T56" s="46"/>
      <c r="U56" s="46"/>
      <c r="V56" s="46"/>
      <c r="AS56" s="46">
        <f t="shared" si="50"/>
        <v>0</v>
      </c>
      <c r="AT56" s="46">
        <f t="shared" si="57"/>
        <v>0</v>
      </c>
      <c r="AU56" s="46">
        <f t="shared" si="58"/>
        <v>0</v>
      </c>
      <c r="AV56" s="46">
        <f t="shared" si="42"/>
        <v>0</v>
      </c>
      <c r="AW56" s="46">
        <f t="shared" si="51"/>
        <v>0</v>
      </c>
    </row>
    <row r="57" spans="2:49">
      <c r="B57" s="2" t="s">
        <v>345</v>
      </c>
      <c r="C57" s="46"/>
      <c r="D57" s="46"/>
      <c r="E57" s="46"/>
      <c r="F57" s="46"/>
      <c r="G57" s="46"/>
      <c r="H57" s="46"/>
      <c r="I57" s="46"/>
      <c r="J57" s="46"/>
      <c r="K57" s="46"/>
      <c r="L57" s="46"/>
      <c r="M57" s="46"/>
      <c r="N57" s="46"/>
      <c r="O57" s="46"/>
      <c r="P57" s="46"/>
      <c r="Q57" s="46"/>
      <c r="R57" s="46"/>
      <c r="S57" s="46"/>
      <c r="T57" s="46"/>
      <c r="U57" s="46"/>
      <c r="V57" s="46"/>
      <c r="AS57" s="46">
        <f t="shared" si="50"/>
        <v>0</v>
      </c>
      <c r="AT57" s="46">
        <f t="shared" si="57"/>
        <v>0</v>
      </c>
      <c r="AU57" s="46">
        <f t="shared" si="58"/>
        <v>0</v>
      </c>
      <c r="AV57" s="46">
        <f t="shared" si="42"/>
        <v>0</v>
      </c>
      <c r="AW57" s="46">
        <f t="shared" si="51"/>
        <v>0</v>
      </c>
    </row>
    <row r="58" spans="2:49">
      <c r="B58" s="2" t="s">
        <v>346</v>
      </c>
      <c r="C58" s="46"/>
      <c r="D58" s="46"/>
      <c r="E58" s="46"/>
      <c r="F58" s="46"/>
      <c r="G58" s="46"/>
      <c r="H58" s="46"/>
      <c r="I58" s="46"/>
      <c r="J58" s="46"/>
      <c r="K58" s="46"/>
      <c r="L58" s="46"/>
      <c r="M58" s="46"/>
      <c r="N58" s="46"/>
      <c r="O58" s="46"/>
      <c r="P58" s="46"/>
      <c r="Q58" s="46"/>
      <c r="R58" s="46"/>
      <c r="S58" s="46"/>
      <c r="T58" s="46"/>
      <c r="U58" s="46"/>
      <c r="V58" s="46"/>
      <c r="AS58" s="46">
        <f t="shared" si="50"/>
        <v>0</v>
      </c>
      <c r="AT58" s="46">
        <f t="shared" si="57"/>
        <v>0</v>
      </c>
      <c r="AU58" s="46">
        <f t="shared" si="58"/>
        <v>0</v>
      </c>
      <c r="AV58" s="46">
        <f t="shared" si="42"/>
        <v>0</v>
      </c>
      <c r="AW58" s="46">
        <f t="shared" si="51"/>
        <v>0</v>
      </c>
    </row>
    <row r="59" spans="2:49">
      <c r="B59" s="2" t="s">
        <v>347</v>
      </c>
      <c r="C59" s="46"/>
      <c r="D59" s="46"/>
      <c r="E59" s="46"/>
      <c r="F59" s="46"/>
      <c r="G59" s="46"/>
      <c r="H59" s="46"/>
      <c r="I59" s="46"/>
      <c r="J59" s="46"/>
      <c r="K59" s="46"/>
      <c r="L59" s="46"/>
      <c r="M59" s="46"/>
      <c r="N59" s="46"/>
      <c r="O59" s="46"/>
      <c r="P59" s="46"/>
      <c r="Q59" s="46"/>
      <c r="R59" s="46"/>
      <c r="S59" s="46"/>
      <c r="T59" s="46"/>
      <c r="U59" s="46"/>
      <c r="V59" s="46"/>
      <c r="AS59" s="46">
        <f t="shared" si="50"/>
        <v>0</v>
      </c>
      <c r="AT59" s="46">
        <f t="shared" si="57"/>
        <v>0</v>
      </c>
      <c r="AU59" s="46">
        <f t="shared" si="58"/>
        <v>0</v>
      </c>
      <c r="AV59" s="46">
        <f t="shared" si="42"/>
        <v>0</v>
      </c>
      <c r="AW59" s="46">
        <f t="shared" si="51"/>
        <v>0</v>
      </c>
    </row>
    <row r="60" spans="2:49">
      <c r="B60" s="2" t="s">
        <v>348</v>
      </c>
      <c r="C60" s="46"/>
      <c r="D60" s="46"/>
      <c r="E60" s="46"/>
      <c r="F60" s="46"/>
      <c r="G60" s="46"/>
      <c r="H60" s="46"/>
      <c r="I60" s="46"/>
      <c r="J60" s="46"/>
      <c r="K60" s="46"/>
      <c r="L60" s="46"/>
      <c r="M60" s="46"/>
      <c r="N60" s="46"/>
      <c r="O60" s="46"/>
      <c r="P60" s="46"/>
      <c r="Q60" s="46"/>
      <c r="R60" s="46"/>
      <c r="S60" s="46"/>
      <c r="T60" s="46"/>
      <c r="U60" s="46"/>
      <c r="V60" s="46"/>
      <c r="AS60" s="46">
        <f t="shared" si="50"/>
        <v>0</v>
      </c>
      <c r="AT60" s="46">
        <f t="shared" si="57"/>
        <v>0</v>
      </c>
      <c r="AU60" s="46">
        <f t="shared" si="58"/>
        <v>0</v>
      </c>
      <c r="AV60" s="46">
        <f t="shared" si="42"/>
        <v>0</v>
      </c>
      <c r="AW60" s="46">
        <f t="shared" si="51"/>
        <v>0</v>
      </c>
    </row>
    <row r="61" spans="2:49">
      <c r="B61" s="2" t="s">
        <v>349</v>
      </c>
      <c r="C61" s="46">
        <f t="shared" ref="C61:T61" si="89">SUM(C49:C60)</f>
        <v>0</v>
      </c>
      <c r="D61" s="46">
        <f t="shared" si="89"/>
        <v>0</v>
      </c>
      <c r="E61" s="46">
        <f t="shared" si="89"/>
        <v>0</v>
      </c>
      <c r="F61" s="46">
        <f t="shared" si="89"/>
        <v>0</v>
      </c>
      <c r="G61" s="46">
        <f t="shared" si="89"/>
        <v>0</v>
      </c>
      <c r="H61" s="46">
        <f t="shared" si="89"/>
        <v>0</v>
      </c>
      <c r="I61" s="46">
        <f t="shared" si="89"/>
        <v>0</v>
      </c>
      <c r="J61" s="46">
        <f t="shared" si="89"/>
        <v>0</v>
      </c>
      <c r="K61" s="46">
        <f t="shared" si="89"/>
        <v>0</v>
      </c>
      <c r="L61" s="46">
        <f t="shared" si="89"/>
        <v>0</v>
      </c>
      <c r="M61" s="46">
        <f t="shared" si="89"/>
        <v>0</v>
      </c>
      <c r="N61" s="46">
        <f t="shared" si="89"/>
        <v>0</v>
      </c>
      <c r="O61" s="46">
        <f t="shared" si="89"/>
        <v>0</v>
      </c>
      <c r="P61" s="46">
        <f t="shared" si="89"/>
        <v>0</v>
      </c>
      <c r="Q61" s="46">
        <f t="shared" si="89"/>
        <v>0</v>
      </c>
      <c r="R61" s="46">
        <f t="shared" si="89"/>
        <v>0</v>
      </c>
      <c r="S61" s="46">
        <f t="shared" si="89"/>
        <v>0</v>
      </c>
      <c r="T61" s="46">
        <f t="shared" si="89"/>
        <v>0</v>
      </c>
      <c r="U61" s="46">
        <f>SUM(U49:U60)</f>
        <v>0</v>
      </c>
      <c r="V61" s="46">
        <f>SUM(V49:V60)</f>
        <v>340.12699999999995</v>
      </c>
      <c r="AS61" s="46">
        <f t="shared" si="50"/>
        <v>0</v>
      </c>
      <c r="AT61" s="46">
        <f t="shared" si="57"/>
        <v>0</v>
      </c>
      <c r="AU61" s="46">
        <f t="shared" si="58"/>
        <v>0</v>
      </c>
      <c r="AV61" s="46">
        <f t="shared" si="42"/>
        <v>0</v>
      </c>
      <c r="AW61" s="46">
        <f t="shared" si="51"/>
        <v>340.12699999999995</v>
      </c>
    </row>
    <row r="62" spans="2:49">
      <c r="AS62" s="46"/>
      <c r="AT62" s="46"/>
      <c r="AU62" s="46"/>
      <c r="AV62" s="46"/>
      <c r="AW62" s="46"/>
    </row>
    <row r="63" spans="2:49">
      <c r="B63" s="2" t="s">
        <v>350</v>
      </c>
      <c r="AS63" s="46">
        <f t="shared" si="50"/>
        <v>0</v>
      </c>
      <c r="AT63" s="46">
        <f t="shared" si="57"/>
        <v>0</v>
      </c>
      <c r="AU63" s="46">
        <f t="shared" si="58"/>
        <v>0</v>
      </c>
      <c r="AV63" s="46">
        <f t="shared" si="42"/>
        <v>0</v>
      </c>
      <c r="AW63" s="46">
        <f t="shared" si="51"/>
        <v>0</v>
      </c>
    </row>
    <row r="64" spans="2:49">
      <c r="B64" s="2" t="s">
        <v>351</v>
      </c>
      <c r="AS64" s="46">
        <f t="shared" si="50"/>
        <v>0</v>
      </c>
      <c r="AT64" s="46">
        <f t="shared" si="57"/>
        <v>0</v>
      </c>
      <c r="AU64" s="46">
        <f t="shared" si="58"/>
        <v>0</v>
      </c>
      <c r="AV64" s="46">
        <f t="shared" si="42"/>
        <v>0</v>
      </c>
      <c r="AW64" s="46">
        <f t="shared" si="51"/>
        <v>0</v>
      </c>
    </row>
    <row r="65" spans="2:49">
      <c r="B65" s="2" t="s">
        <v>352</v>
      </c>
      <c r="AS65" s="46">
        <f t="shared" si="50"/>
        <v>0</v>
      </c>
      <c r="AT65" s="46">
        <f t="shared" si="57"/>
        <v>0</v>
      </c>
      <c r="AU65" s="46">
        <f t="shared" si="58"/>
        <v>0</v>
      </c>
      <c r="AV65" s="46">
        <f t="shared" si="42"/>
        <v>0</v>
      </c>
      <c r="AW65" s="46">
        <f t="shared" si="51"/>
        <v>0</v>
      </c>
    </row>
    <row r="66" spans="2:49">
      <c r="B66" s="2" t="s">
        <v>353</v>
      </c>
      <c r="AS66" s="46">
        <f t="shared" si="50"/>
        <v>0</v>
      </c>
      <c r="AT66" s="46">
        <f t="shared" si="57"/>
        <v>0</v>
      </c>
      <c r="AU66" s="46">
        <f t="shared" si="58"/>
        <v>0</v>
      </c>
      <c r="AV66" s="46">
        <f t="shared" si="42"/>
        <v>0</v>
      </c>
      <c r="AW66" s="46">
        <f t="shared" si="51"/>
        <v>0</v>
      </c>
    </row>
    <row r="67" spans="2:49">
      <c r="B67" s="2" t="s">
        <v>354</v>
      </c>
      <c r="AS67" s="46">
        <f t="shared" si="50"/>
        <v>0</v>
      </c>
      <c r="AT67" s="46">
        <f t="shared" si="57"/>
        <v>0</v>
      </c>
      <c r="AU67" s="46">
        <f t="shared" si="58"/>
        <v>0</v>
      </c>
      <c r="AV67" s="46">
        <f t="shared" si="42"/>
        <v>0</v>
      </c>
      <c r="AW67" s="46">
        <f t="shared" si="51"/>
        <v>0</v>
      </c>
    </row>
    <row r="68" spans="2:49">
      <c r="B68" s="2" t="s">
        <v>355</v>
      </c>
      <c r="AS68" s="46">
        <f t="shared" si="50"/>
        <v>0</v>
      </c>
      <c r="AT68" s="46">
        <f t="shared" si="57"/>
        <v>0</v>
      </c>
      <c r="AU68" s="46">
        <f t="shared" si="58"/>
        <v>0</v>
      </c>
      <c r="AV68" s="46">
        <f t="shared" si="42"/>
        <v>0</v>
      </c>
      <c r="AW68" s="46">
        <f t="shared" si="51"/>
        <v>0</v>
      </c>
    </row>
    <row r="69" spans="2:49">
      <c r="B69" s="2" t="s">
        <v>356</v>
      </c>
      <c r="AS69" s="46">
        <f t="shared" si="50"/>
        <v>0</v>
      </c>
      <c r="AT69" s="46">
        <f t="shared" si="57"/>
        <v>0</v>
      </c>
      <c r="AU69" s="46">
        <f t="shared" si="58"/>
        <v>0</v>
      </c>
      <c r="AV69" s="46">
        <f t="shared" si="42"/>
        <v>0</v>
      </c>
      <c r="AW69" s="46">
        <f t="shared" si="51"/>
        <v>0</v>
      </c>
    </row>
    <row r="70" spans="2:49">
      <c r="B70" s="2" t="s">
        <v>357</v>
      </c>
      <c r="AS70" s="46">
        <f t="shared" si="50"/>
        <v>0</v>
      </c>
      <c r="AT70" s="46">
        <f t="shared" si="57"/>
        <v>0</v>
      </c>
      <c r="AU70" s="46">
        <f t="shared" si="58"/>
        <v>0</v>
      </c>
      <c r="AV70" s="46">
        <f t="shared" si="42"/>
        <v>0</v>
      </c>
      <c r="AW70" s="46">
        <f t="shared" si="51"/>
        <v>0</v>
      </c>
    </row>
    <row r="71" spans="2:49">
      <c r="B71" s="2" t="s">
        <v>358</v>
      </c>
      <c r="C71" s="2">
        <f t="shared" ref="C71:T71" si="90">SUM(C63:C70)</f>
        <v>0</v>
      </c>
      <c r="D71" s="2">
        <f t="shared" si="90"/>
        <v>0</v>
      </c>
      <c r="E71" s="2">
        <f t="shared" si="90"/>
        <v>0</v>
      </c>
      <c r="F71" s="2">
        <f t="shared" si="90"/>
        <v>0</v>
      </c>
      <c r="G71" s="2">
        <f t="shared" si="90"/>
        <v>0</v>
      </c>
      <c r="H71" s="2">
        <f t="shared" si="90"/>
        <v>0</v>
      </c>
      <c r="I71" s="2">
        <f t="shared" si="90"/>
        <v>0</v>
      </c>
      <c r="J71" s="2">
        <f t="shared" si="90"/>
        <v>0</v>
      </c>
      <c r="K71" s="2">
        <f t="shared" si="90"/>
        <v>0</v>
      </c>
      <c r="L71" s="2">
        <f t="shared" si="90"/>
        <v>0</v>
      </c>
      <c r="M71" s="2">
        <f t="shared" si="90"/>
        <v>0</v>
      </c>
      <c r="N71" s="2">
        <f t="shared" si="90"/>
        <v>0</v>
      </c>
      <c r="O71" s="2">
        <f t="shared" si="90"/>
        <v>0</v>
      </c>
      <c r="P71" s="2">
        <f t="shared" si="90"/>
        <v>0</v>
      </c>
      <c r="Q71" s="2">
        <f t="shared" si="90"/>
        <v>0</v>
      </c>
      <c r="R71" s="2">
        <f t="shared" si="90"/>
        <v>0</v>
      </c>
      <c r="S71" s="2">
        <f t="shared" si="90"/>
        <v>0</v>
      </c>
      <c r="T71" s="2">
        <f t="shared" si="90"/>
        <v>0</v>
      </c>
      <c r="U71" s="2">
        <f>SUM(U63:U70)</f>
        <v>0</v>
      </c>
      <c r="V71" s="2">
        <f>SUM(V63:V70)</f>
        <v>0</v>
      </c>
      <c r="AS71" s="46">
        <f t="shared" si="50"/>
        <v>0</v>
      </c>
      <c r="AT71" s="46">
        <f t="shared" si="57"/>
        <v>0</v>
      </c>
      <c r="AU71" s="46">
        <f t="shared" si="58"/>
        <v>0</v>
      </c>
      <c r="AV71" s="46">
        <f t="shared" si="42"/>
        <v>0</v>
      </c>
      <c r="AW71" s="46">
        <f t="shared" si="51"/>
        <v>0</v>
      </c>
    </row>
    <row r="72" spans="2:49">
      <c r="AS72" s="46"/>
      <c r="AT72" s="46"/>
      <c r="AU72" s="46"/>
      <c r="AV72" s="46"/>
      <c r="AW72" s="46"/>
    </row>
    <row r="73" spans="2:49">
      <c r="B73" s="2" t="s">
        <v>643</v>
      </c>
      <c r="AS73" s="46">
        <f t="shared" ref="AS73:AS77" si="91">SUM(C73:F73)</f>
        <v>0</v>
      </c>
      <c r="AT73" s="46">
        <f t="shared" ref="AT73:AT77" si="92">SUM(G73:J73)</f>
        <v>0</v>
      </c>
      <c r="AU73" s="46">
        <f t="shared" ref="AU73:AU77" si="93">SUM(K73:N73)</f>
        <v>0</v>
      </c>
      <c r="AV73" s="46">
        <f t="shared" ref="AV73:AV77" si="94">SUM(O73:R73)</f>
        <v>0</v>
      </c>
      <c r="AW73" s="46">
        <f t="shared" ref="AW73:AW77" si="95">SUM(S73:V73)</f>
        <v>0</v>
      </c>
    </row>
    <row r="74" spans="2:49">
      <c r="B74" s="2" t="s">
        <v>644</v>
      </c>
      <c r="AS74" s="46">
        <f t="shared" si="91"/>
        <v>0</v>
      </c>
      <c r="AT74" s="46">
        <f t="shared" si="92"/>
        <v>0</v>
      </c>
      <c r="AU74" s="46">
        <f t="shared" si="93"/>
        <v>0</v>
      </c>
      <c r="AV74" s="46">
        <f t="shared" si="94"/>
        <v>0</v>
      </c>
      <c r="AW74" s="46">
        <f t="shared" si="95"/>
        <v>0</v>
      </c>
    </row>
    <row r="75" spans="2:49">
      <c r="B75" s="2" t="s">
        <v>645</v>
      </c>
      <c r="C75" s="2">
        <f t="shared" ref="C75:U75" si="96">C73-C74</f>
        <v>0</v>
      </c>
      <c r="D75" s="2">
        <f t="shared" si="96"/>
        <v>0</v>
      </c>
      <c r="E75" s="2">
        <f t="shared" si="96"/>
        <v>0</v>
      </c>
      <c r="F75" s="2">
        <f t="shared" si="96"/>
        <v>0</v>
      </c>
      <c r="G75" s="2">
        <f t="shared" si="96"/>
        <v>0</v>
      </c>
      <c r="H75" s="2">
        <f t="shared" si="96"/>
        <v>0</v>
      </c>
      <c r="I75" s="2">
        <f t="shared" si="96"/>
        <v>0</v>
      </c>
      <c r="J75" s="2">
        <f t="shared" si="96"/>
        <v>0</v>
      </c>
      <c r="K75" s="2">
        <f t="shared" si="96"/>
        <v>0</v>
      </c>
      <c r="L75" s="2">
        <f t="shared" si="96"/>
        <v>0</v>
      </c>
      <c r="M75" s="2">
        <f t="shared" si="96"/>
        <v>0</v>
      </c>
      <c r="N75" s="2">
        <f t="shared" si="96"/>
        <v>0</v>
      </c>
      <c r="O75" s="2">
        <f t="shared" si="96"/>
        <v>0</v>
      </c>
      <c r="P75" s="2">
        <f t="shared" si="96"/>
        <v>0</v>
      </c>
      <c r="Q75" s="2">
        <f t="shared" si="96"/>
        <v>0</v>
      </c>
      <c r="R75" s="2">
        <f t="shared" si="96"/>
        <v>0</v>
      </c>
      <c r="S75" s="2">
        <f t="shared" si="96"/>
        <v>0</v>
      </c>
      <c r="T75" s="2">
        <f t="shared" si="96"/>
        <v>0</v>
      </c>
      <c r="U75" s="2">
        <f t="shared" si="96"/>
        <v>0</v>
      </c>
      <c r="V75" s="2">
        <f>V73-V74</f>
        <v>0</v>
      </c>
      <c r="AS75" s="46">
        <f t="shared" si="91"/>
        <v>0</v>
      </c>
      <c r="AT75" s="46">
        <f t="shared" si="92"/>
        <v>0</v>
      </c>
      <c r="AU75" s="46">
        <f t="shared" si="93"/>
        <v>0</v>
      </c>
      <c r="AV75" s="46">
        <f t="shared" si="94"/>
        <v>0</v>
      </c>
      <c r="AW75" s="46">
        <f t="shared" si="95"/>
        <v>0</v>
      </c>
    </row>
    <row r="76" spans="2:49">
      <c r="B76" s="2" t="s">
        <v>335</v>
      </c>
      <c r="C76" s="46">
        <f t="shared" ref="C76:U76" si="97">C39</f>
        <v>35</v>
      </c>
      <c r="D76" s="46">
        <f t="shared" si="97"/>
        <v>35.4</v>
      </c>
      <c r="E76" s="46">
        <f t="shared" si="97"/>
        <v>36.207000000000001</v>
      </c>
      <c r="F76" s="46">
        <f t="shared" si="97"/>
        <v>37.651000000000003</v>
      </c>
      <c r="G76" s="46">
        <f t="shared" si="97"/>
        <v>36.454999999999998</v>
      </c>
      <c r="H76" s="46">
        <f t="shared" si="97"/>
        <v>36.523000000000003</v>
      </c>
      <c r="I76" s="46">
        <f t="shared" si="97"/>
        <v>36.616999999999997</v>
      </c>
      <c r="J76" s="46">
        <f t="shared" si="97"/>
        <v>36.700000000000003</v>
      </c>
      <c r="K76" s="46">
        <f t="shared" si="97"/>
        <v>37.646000000000001</v>
      </c>
      <c r="L76" s="46">
        <f t="shared" si="97"/>
        <v>37.767000000000003</v>
      </c>
      <c r="M76" s="46">
        <f t="shared" si="97"/>
        <v>37.917999999999999</v>
      </c>
      <c r="N76" s="46">
        <f t="shared" si="97"/>
        <v>37.841000000000001</v>
      </c>
      <c r="O76" s="46">
        <f t="shared" si="97"/>
        <v>39.07</v>
      </c>
      <c r="P76" s="46">
        <f t="shared" si="97"/>
        <v>38.15</v>
      </c>
      <c r="Q76" s="46">
        <f t="shared" si="97"/>
        <v>38.462000000000003</v>
      </c>
      <c r="R76" s="46">
        <f t="shared" si="97"/>
        <v>38.4</v>
      </c>
      <c r="S76" s="46">
        <f t="shared" si="97"/>
        <v>39.299999999999997</v>
      </c>
      <c r="T76" s="46">
        <f t="shared" si="97"/>
        <v>38.799999999999997</v>
      </c>
      <c r="U76" s="46">
        <f t="shared" si="97"/>
        <v>38.6</v>
      </c>
      <c r="V76" s="46">
        <f>V39</f>
        <v>38.630000000000003</v>
      </c>
      <c r="AS76" s="46">
        <f>F76</f>
        <v>37.651000000000003</v>
      </c>
      <c r="AT76" s="46">
        <f>J76</f>
        <v>36.700000000000003</v>
      </c>
      <c r="AU76" s="46">
        <f>N76</f>
        <v>37.841000000000001</v>
      </c>
      <c r="AV76" s="46">
        <f>R76</f>
        <v>38.4</v>
      </c>
      <c r="AW76" s="46">
        <f>V76</f>
        <v>38.630000000000003</v>
      </c>
    </row>
    <row r="77" spans="2:49">
      <c r="B77" s="2" t="s">
        <v>646</v>
      </c>
      <c r="C77" s="2">
        <f t="shared" ref="C77:U77" si="98">C75/C76</f>
        <v>0</v>
      </c>
      <c r="D77" s="2">
        <f t="shared" si="98"/>
        <v>0</v>
      </c>
      <c r="E77" s="2">
        <f t="shared" si="98"/>
        <v>0</v>
      </c>
      <c r="F77" s="2">
        <f t="shared" si="98"/>
        <v>0</v>
      </c>
      <c r="G77" s="2">
        <f t="shared" si="98"/>
        <v>0</v>
      </c>
      <c r="H77" s="2">
        <f t="shared" si="98"/>
        <v>0</v>
      </c>
      <c r="I77" s="2">
        <f t="shared" si="98"/>
        <v>0</v>
      </c>
      <c r="J77" s="2">
        <f t="shared" si="98"/>
        <v>0</v>
      </c>
      <c r="K77" s="2">
        <f t="shared" si="98"/>
        <v>0</v>
      </c>
      <c r="L77" s="2">
        <f t="shared" si="98"/>
        <v>0</v>
      </c>
      <c r="M77" s="2">
        <f t="shared" si="98"/>
        <v>0</v>
      </c>
      <c r="N77" s="2">
        <f t="shared" si="98"/>
        <v>0</v>
      </c>
      <c r="O77" s="2">
        <f t="shared" si="98"/>
        <v>0</v>
      </c>
      <c r="P77" s="2">
        <f t="shared" si="98"/>
        <v>0</v>
      </c>
      <c r="Q77" s="2">
        <f t="shared" si="98"/>
        <v>0</v>
      </c>
      <c r="R77" s="2">
        <f t="shared" si="98"/>
        <v>0</v>
      </c>
      <c r="S77" s="2">
        <f t="shared" si="98"/>
        <v>0</v>
      </c>
      <c r="T77" s="2">
        <f t="shared" si="98"/>
        <v>0</v>
      </c>
      <c r="U77" s="2">
        <f t="shared" si="98"/>
        <v>0</v>
      </c>
      <c r="V77" s="2">
        <f>V75/V76</f>
        <v>0</v>
      </c>
      <c r="AS77" s="2">
        <f>SUM(C77:F77)</f>
        <v>0</v>
      </c>
      <c r="AT77" s="2">
        <f>SUM(G77:J77)</f>
        <v>0</v>
      </c>
      <c r="AU77" s="2">
        <f>SUM(K77:N77)</f>
        <v>0</v>
      </c>
      <c r="AV77" s="2">
        <f t="shared" si="94"/>
        <v>0</v>
      </c>
      <c r="AW77" s="2">
        <f t="shared" si="95"/>
        <v>0</v>
      </c>
    </row>
  </sheetData>
  <pageMargins left="0.7" right="0.7" top="0.75" bottom="0.75" header="0.3" footer="0.3"/>
  <ignoredErrors>
    <ignoredError sqref="J25:J26"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27F89-7369-4878-B50B-80E6AE0FDF66}">
  <dimension ref="B1:CK256"/>
  <sheetViews>
    <sheetView zoomScale="85" zoomScaleNormal="85" workbookViewId="0">
      <selection activeCell="B2" sqref="B2"/>
    </sheetView>
  </sheetViews>
  <sheetFormatPr defaultRowHeight="14.25"/>
  <cols>
    <col min="1" max="1" width="3" style="2" customWidth="1"/>
    <col min="2" max="27" width="9.140625" style="2"/>
    <col min="28" max="28" width="10.5703125" style="2" customWidth="1"/>
    <col min="29" max="38" width="9.140625" style="2"/>
    <col min="39" max="39" width="10.5703125" style="2" customWidth="1"/>
    <col min="40" max="16384" width="9.140625" style="2"/>
  </cols>
  <sheetData>
    <row r="1" spans="2:89">
      <c r="BQ1" s="2">
        <v>0</v>
      </c>
      <c r="CK1" s="2" t="s">
        <v>369</v>
      </c>
    </row>
    <row r="2" spans="2:89" ht="15">
      <c r="B2" s="2" t="s">
        <v>11</v>
      </c>
      <c r="P2" s="1" t="s">
        <v>276</v>
      </c>
      <c r="BI2" s="8" t="s">
        <v>268</v>
      </c>
      <c r="BJ2" s="9">
        <f>MAX(BJ6:BJ255)</f>
        <v>0.10256286732825903</v>
      </c>
    </row>
    <row r="3" spans="2:89">
      <c r="BI3" s="8" t="s">
        <v>269</v>
      </c>
      <c r="BJ3" s="9">
        <f>MIN(BJ6:BJ255)</f>
        <v>-6.2064121218202817E-2</v>
      </c>
    </row>
    <row r="4" spans="2:89">
      <c r="P4" s="2" t="s">
        <v>374</v>
      </c>
      <c r="BI4" s="8" t="s">
        <v>270</v>
      </c>
      <c r="BJ4" s="9">
        <f>_xlfn.STDEV.S(BJ5:BJ255)</f>
        <v>2.2302836092948378E-2</v>
      </c>
      <c r="BL4" s="2" t="s">
        <v>274</v>
      </c>
      <c r="BN4" s="7">
        <f>3*BJ4</f>
        <v>6.6908508278845133E-2</v>
      </c>
      <c r="BO4" s="2" t="s">
        <v>275</v>
      </c>
    </row>
    <row r="5" spans="2:89" ht="15">
      <c r="BD5" s="1" t="s">
        <v>272</v>
      </c>
      <c r="BI5" s="8" t="s">
        <v>271</v>
      </c>
      <c r="BJ5" s="9">
        <f>AVERAGE(BJ6:BJ255)</f>
        <v>7.6048643097733661E-4</v>
      </c>
    </row>
    <row r="6" spans="2:89">
      <c r="P6" s="2" t="s">
        <v>375</v>
      </c>
      <c r="BD6" s="6" t="s">
        <v>267</v>
      </c>
      <c r="BE6" s="6" t="s">
        <v>266</v>
      </c>
      <c r="BF6" s="6" t="s">
        <v>265</v>
      </c>
      <c r="BG6" s="6" t="s">
        <v>264</v>
      </c>
      <c r="BH6" s="6" t="s">
        <v>263</v>
      </c>
      <c r="BI6" s="6" t="s">
        <v>262</v>
      </c>
      <c r="BJ6" s="8" t="s">
        <v>273</v>
      </c>
    </row>
    <row r="7" spans="2:89">
      <c r="Q7" s="2" t="s">
        <v>376</v>
      </c>
      <c r="BD7" s="5">
        <v>267.56</v>
      </c>
      <c r="BE7" s="5">
        <v>269.59500000000003</v>
      </c>
      <c r="BF7" s="5">
        <v>264.45</v>
      </c>
      <c r="BG7" s="5">
        <v>267.70999999999998</v>
      </c>
      <c r="BH7" s="5">
        <v>303460</v>
      </c>
      <c r="BI7" s="5" t="s">
        <v>261</v>
      </c>
      <c r="BJ7" s="7">
        <f>BD7/BG7-1</f>
        <v>-5.6030779574900436E-4</v>
      </c>
    </row>
    <row r="8" spans="2:89">
      <c r="Q8" s="2" t="s">
        <v>377</v>
      </c>
      <c r="BD8" s="5">
        <v>269.62</v>
      </c>
      <c r="BE8" s="5">
        <v>275.02999999999997</v>
      </c>
      <c r="BF8" s="5">
        <v>267.77</v>
      </c>
      <c r="BG8" s="5">
        <v>274.44</v>
      </c>
      <c r="BH8" s="5">
        <v>471362</v>
      </c>
      <c r="BI8" s="5" t="s">
        <v>260</v>
      </c>
      <c r="BJ8" s="7">
        <f t="shared" ref="BJ8:BJ71" si="0">BD8/BG8-1</f>
        <v>-1.7563037458096509E-2</v>
      </c>
    </row>
    <row r="9" spans="2:89">
      <c r="Q9" s="2" t="s">
        <v>378</v>
      </c>
      <c r="BD9" s="5">
        <v>275.14999999999998</v>
      </c>
      <c r="BE9" s="5">
        <v>282.33999999999997</v>
      </c>
      <c r="BF9" s="5">
        <v>272.98</v>
      </c>
      <c r="BG9" s="5">
        <v>282.33999999999997</v>
      </c>
      <c r="BH9" s="5">
        <v>433245</v>
      </c>
      <c r="BI9" s="5" t="s">
        <v>259</v>
      </c>
      <c r="BJ9" s="7">
        <f t="shared" si="0"/>
        <v>-2.5465750513565144E-2</v>
      </c>
    </row>
    <row r="10" spans="2:89">
      <c r="BD10" s="5">
        <v>283.42</v>
      </c>
      <c r="BE10" s="5">
        <v>288.56990000000002</v>
      </c>
      <c r="BF10" s="5">
        <v>280.45</v>
      </c>
      <c r="BG10" s="5">
        <v>286.88</v>
      </c>
      <c r="BH10" s="5">
        <v>542655</v>
      </c>
      <c r="BI10" s="5" t="s">
        <v>258</v>
      </c>
      <c r="BJ10" s="7">
        <f t="shared" si="0"/>
        <v>-1.2060791968767304E-2</v>
      </c>
    </row>
    <row r="11" spans="2:89">
      <c r="P11" s="2" t="s">
        <v>619</v>
      </c>
      <c r="BD11" s="5">
        <v>286.23</v>
      </c>
      <c r="BE11" s="5">
        <v>287.70999999999998</v>
      </c>
      <c r="BF11" s="5">
        <v>282.43</v>
      </c>
      <c r="BG11" s="5">
        <v>285.02</v>
      </c>
      <c r="BH11" s="5">
        <v>259517</v>
      </c>
      <c r="BI11" s="5" t="s">
        <v>257</v>
      </c>
      <c r="BJ11" s="7">
        <f t="shared" si="0"/>
        <v>4.2453161181672527E-3</v>
      </c>
    </row>
    <row r="12" spans="2:89">
      <c r="Q12" s="2" t="s">
        <v>510</v>
      </c>
      <c r="BD12" s="5">
        <v>280.38</v>
      </c>
      <c r="BE12" s="5">
        <v>282.08</v>
      </c>
      <c r="BF12" s="5">
        <v>273</v>
      </c>
      <c r="BG12" s="5">
        <v>277.98</v>
      </c>
      <c r="BH12" s="5">
        <v>737372</v>
      </c>
      <c r="BI12" s="5" t="s">
        <v>256</v>
      </c>
      <c r="BJ12" s="7">
        <f t="shared" si="0"/>
        <v>8.6337146557304845E-3</v>
      </c>
    </row>
    <row r="13" spans="2:89">
      <c r="Q13" s="2" t="s">
        <v>511</v>
      </c>
      <c r="BD13" s="5">
        <v>281.33</v>
      </c>
      <c r="BE13" s="5">
        <v>283.40499999999997</v>
      </c>
      <c r="BF13" s="5">
        <v>276.31</v>
      </c>
      <c r="BG13" s="5">
        <v>276.31</v>
      </c>
      <c r="BH13" s="5">
        <v>353789</v>
      </c>
      <c r="BI13" s="5" t="s">
        <v>255</v>
      </c>
      <c r="BJ13" s="7">
        <f t="shared" si="0"/>
        <v>1.8167999710470006E-2</v>
      </c>
    </row>
    <row r="14" spans="2:89">
      <c r="R14" s="2" t="s">
        <v>512</v>
      </c>
      <c r="BD14" s="5">
        <v>279.48</v>
      </c>
      <c r="BE14" s="5">
        <v>281.16000000000003</v>
      </c>
      <c r="BF14" s="5">
        <v>271.07</v>
      </c>
      <c r="BG14" s="5">
        <v>276.07</v>
      </c>
      <c r="BH14" s="5">
        <v>532310</v>
      </c>
      <c r="BI14" s="5" t="s">
        <v>254</v>
      </c>
      <c r="BJ14" s="7">
        <f t="shared" si="0"/>
        <v>1.2351939725432137E-2</v>
      </c>
    </row>
    <row r="15" spans="2:89">
      <c r="BD15" s="5">
        <v>275.29000000000002</v>
      </c>
      <c r="BE15" s="5">
        <v>276.685</v>
      </c>
      <c r="BF15" s="5">
        <v>272.45999999999998</v>
      </c>
      <c r="BG15" s="5">
        <v>275.12</v>
      </c>
      <c r="BH15" s="5">
        <v>431903</v>
      </c>
      <c r="BI15" s="5" t="s">
        <v>253</v>
      </c>
      <c r="BJ15" s="7">
        <f t="shared" si="0"/>
        <v>6.1791218377438284E-4</v>
      </c>
    </row>
    <row r="16" spans="2:89">
      <c r="P16" s="2" t="s">
        <v>618</v>
      </c>
      <c r="BD16" s="5">
        <v>276.07</v>
      </c>
      <c r="BE16" s="5">
        <v>278.27</v>
      </c>
      <c r="BF16" s="5">
        <v>268.846</v>
      </c>
      <c r="BG16" s="5">
        <v>270.23</v>
      </c>
      <c r="BH16" s="5">
        <v>242610</v>
      </c>
      <c r="BI16" s="5" t="s">
        <v>252</v>
      </c>
      <c r="BJ16" s="7">
        <f t="shared" si="0"/>
        <v>2.1611220071790616E-2</v>
      </c>
    </row>
    <row r="17" spans="2:62">
      <c r="Q17" s="2" t="s">
        <v>547</v>
      </c>
      <c r="BD17" s="5">
        <v>272.62</v>
      </c>
      <c r="BE17" s="5">
        <v>274.86</v>
      </c>
      <c r="BF17" s="5">
        <v>264.92500000000001</v>
      </c>
      <c r="BG17" s="5">
        <v>268.19</v>
      </c>
      <c r="BH17" s="5">
        <v>307499</v>
      </c>
      <c r="BI17" s="5" t="s">
        <v>251</v>
      </c>
      <c r="BJ17" s="7">
        <f t="shared" si="0"/>
        <v>1.6518140124538672E-2</v>
      </c>
    </row>
    <row r="18" spans="2:62">
      <c r="BD18" s="5">
        <v>260.63</v>
      </c>
      <c r="BE18" s="5">
        <v>266.93</v>
      </c>
      <c r="BF18" s="5">
        <v>256.54000000000002</v>
      </c>
      <c r="BG18" s="5">
        <v>266.93</v>
      </c>
      <c r="BH18" s="5">
        <v>281756</v>
      </c>
      <c r="BI18" s="5" t="s">
        <v>250</v>
      </c>
      <c r="BJ18" s="7">
        <f t="shared" si="0"/>
        <v>-2.3601693327838791E-2</v>
      </c>
    </row>
    <row r="19" spans="2:62">
      <c r="P19" s="2" t="s">
        <v>647</v>
      </c>
      <c r="BD19" s="5">
        <v>267.13</v>
      </c>
      <c r="BE19" s="5">
        <v>272.71499999999997</v>
      </c>
      <c r="BF19" s="5">
        <v>264.11</v>
      </c>
      <c r="BG19" s="5">
        <v>266.01</v>
      </c>
      <c r="BH19" s="5">
        <v>470259</v>
      </c>
      <c r="BI19" s="5" t="s">
        <v>249</v>
      </c>
      <c r="BJ19" s="7">
        <f t="shared" si="0"/>
        <v>4.2103680312770564E-3</v>
      </c>
    </row>
    <row r="20" spans="2:62">
      <c r="Q20" s="2" t="s">
        <v>648</v>
      </c>
      <c r="BD20" s="5">
        <v>262.33999999999997</v>
      </c>
      <c r="BE20" s="5">
        <v>265.38</v>
      </c>
      <c r="BF20" s="5">
        <v>254.5</v>
      </c>
      <c r="BG20" s="5">
        <v>257.24</v>
      </c>
      <c r="BH20" s="5">
        <v>508894</v>
      </c>
      <c r="BI20" s="5" t="s">
        <v>248</v>
      </c>
      <c r="BJ20" s="7">
        <f t="shared" si="0"/>
        <v>1.982584357020678E-2</v>
      </c>
    </row>
    <row r="21" spans="2:62">
      <c r="Q21" s="2" t="s">
        <v>649</v>
      </c>
      <c r="BD21" s="5">
        <v>257.24</v>
      </c>
      <c r="BE21" s="5">
        <v>272.50209999999998</v>
      </c>
      <c r="BF21" s="5">
        <v>256.17</v>
      </c>
      <c r="BG21" s="5">
        <v>272.05</v>
      </c>
      <c r="BH21" s="5">
        <v>693380</v>
      </c>
      <c r="BI21" s="5" t="s">
        <v>247</v>
      </c>
      <c r="BJ21" s="7">
        <f t="shared" si="0"/>
        <v>-5.4438522330453987E-2</v>
      </c>
    </row>
    <row r="22" spans="2:62">
      <c r="BD22" s="5">
        <v>274.79000000000002</v>
      </c>
      <c r="BE22" s="5">
        <v>278.81</v>
      </c>
      <c r="BF22" s="5">
        <v>269.42</v>
      </c>
      <c r="BG22" s="5">
        <v>275.58999999999997</v>
      </c>
      <c r="BH22" s="5">
        <v>347006</v>
      </c>
      <c r="BI22" s="5" t="s">
        <v>246</v>
      </c>
      <c r="BJ22" s="7">
        <f t="shared" si="0"/>
        <v>-2.902862948582885E-3</v>
      </c>
    </row>
    <row r="23" spans="2:62">
      <c r="BD23" s="5">
        <v>277.69</v>
      </c>
      <c r="BE23" s="5">
        <v>287.86</v>
      </c>
      <c r="BF23" s="5">
        <v>276.23</v>
      </c>
      <c r="BG23" s="5">
        <v>282.24</v>
      </c>
      <c r="BH23" s="5">
        <v>263249</v>
      </c>
      <c r="BI23" s="5" t="s">
        <v>245</v>
      </c>
      <c r="BJ23" s="7">
        <f t="shared" si="0"/>
        <v>-1.6121031746031744E-2</v>
      </c>
    </row>
    <row r="24" spans="2:62">
      <c r="BD24" s="5">
        <v>286.38</v>
      </c>
      <c r="BE24" s="5">
        <v>287.35000000000002</v>
      </c>
      <c r="BF24" s="5">
        <v>280.44</v>
      </c>
      <c r="BG24" s="5">
        <v>281.76</v>
      </c>
      <c r="BH24" s="5">
        <v>393198</v>
      </c>
      <c r="BI24" s="5" t="s">
        <v>244</v>
      </c>
      <c r="BJ24" s="7">
        <f t="shared" si="0"/>
        <v>1.6396933560477001E-2</v>
      </c>
    </row>
    <row r="25" spans="2:62">
      <c r="BD25" s="5">
        <v>283.62</v>
      </c>
      <c r="BE25" s="5">
        <v>287.69</v>
      </c>
      <c r="BF25" s="5">
        <v>278.62</v>
      </c>
      <c r="BG25" s="5">
        <v>282.88</v>
      </c>
      <c r="BH25" s="5">
        <v>437027</v>
      </c>
      <c r="BI25" s="5" t="s">
        <v>243</v>
      </c>
      <c r="BJ25" s="7">
        <f t="shared" si="0"/>
        <v>2.6159502262443901E-3</v>
      </c>
    </row>
    <row r="26" spans="2:62">
      <c r="BD26" s="5">
        <v>285.88</v>
      </c>
      <c r="BE26" s="5">
        <v>292.14</v>
      </c>
      <c r="BF26" s="5">
        <v>281.89</v>
      </c>
      <c r="BG26" s="5">
        <v>285.48</v>
      </c>
      <c r="BH26" s="5">
        <v>434432</v>
      </c>
      <c r="BI26" s="5" t="s">
        <v>242</v>
      </c>
      <c r="BJ26" s="7">
        <f t="shared" si="0"/>
        <v>1.4011489421323908E-3</v>
      </c>
    </row>
    <row r="27" spans="2:62">
      <c r="B27" s="2" t="s">
        <v>650</v>
      </c>
      <c r="BD27" s="5">
        <v>285.44</v>
      </c>
      <c r="BE27" s="5">
        <v>285.44</v>
      </c>
      <c r="BF27" s="5">
        <v>278.41000000000003</v>
      </c>
      <c r="BG27" s="5">
        <v>280.22000000000003</v>
      </c>
      <c r="BH27" s="5">
        <v>323048</v>
      </c>
      <c r="BI27" s="5" t="s">
        <v>241</v>
      </c>
      <c r="BJ27" s="7">
        <f t="shared" si="0"/>
        <v>1.8628220683748475E-2</v>
      </c>
    </row>
    <row r="28" spans="2:62">
      <c r="BD28" s="5">
        <v>281.45999999999998</v>
      </c>
      <c r="BE28" s="5">
        <v>292.78500000000003</v>
      </c>
      <c r="BF28" s="5">
        <v>280.77</v>
      </c>
      <c r="BG28" s="5">
        <v>291.8</v>
      </c>
      <c r="BH28" s="5">
        <v>361612</v>
      </c>
      <c r="BI28" s="5" t="s">
        <v>240</v>
      </c>
      <c r="BJ28" s="7">
        <f t="shared" si="0"/>
        <v>-3.543522960932155E-2</v>
      </c>
    </row>
    <row r="29" spans="2:62">
      <c r="BD29" s="5">
        <v>291.83999999999997</v>
      </c>
      <c r="BE29" s="5">
        <v>294.27999999999997</v>
      </c>
      <c r="BF29" s="5">
        <v>280.74</v>
      </c>
      <c r="BG29" s="5">
        <v>280.74</v>
      </c>
      <c r="BH29" s="5">
        <v>448981</v>
      </c>
      <c r="BI29" s="5" t="s">
        <v>239</v>
      </c>
      <c r="BJ29" s="7">
        <f t="shared" si="0"/>
        <v>3.9538362898055013E-2</v>
      </c>
    </row>
    <row r="30" spans="2:62">
      <c r="BD30" s="5">
        <v>281.62</v>
      </c>
      <c r="BE30" s="5">
        <v>288.48500000000001</v>
      </c>
      <c r="BF30" s="5">
        <v>275.27</v>
      </c>
      <c r="BG30" s="5">
        <v>288.18</v>
      </c>
      <c r="BH30" s="5">
        <v>502240</v>
      </c>
      <c r="BI30" s="5" t="s">
        <v>238</v>
      </c>
      <c r="BJ30" s="7">
        <f t="shared" si="0"/>
        <v>-2.2763550558678625E-2</v>
      </c>
    </row>
    <row r="31" spans="2:62">
      <c r="BD31" s="5">
        <v>287.7</v>
      </c>
      <c r="BE31" s="5">
        <v>294.58999999999997</v>
      </c>
      <c r="BF31" s="5">
        <v>286.2</v>
      </c>
      <c r="BG31" s="5">
        <v>291.27999999999997</v>
      </c>
      <c r="BH31" s="5">
        <v>561488</v>
      </c>
      <c r="BI31" s="5" t="s">
        <v>237</v>
      </c>
      <c r="BJ31" s="7">
        <f t="shared" si="0"/>
        <v>-1.2290579511123223E-2</v>
      </c>
    </row>
    <row r="32" spans="2:62">
      <c r="BD32" s="5">
        <v>291.68</v>
      </c>
      <c r="BE32" s="5">
        <v>304.11</v>
      </c>
      <c r="BF32" s="5">
        <v>290.55</v>
      </c>
      <c r="BG32" s="5">
        <v>303</v>
      </c>
      <c r="BH32" s="5">
        <v>635329</v>
      </c>
      <c r="BI32" s="5" t="s">
        <v>236</v>
      </c>
      <c r="BJ32" s="7">
        <f t="shared" si="0"/>
        <v>-3.7359735973597319E-2</v>
      </c>
    </row>
    <row r="33" spans="56:62">
      <c r="BD33" s="5">
        <v>303.12</v>
      </c>
      <c r="BE33" s="5">
        <v>309.08</v>
      </c>
      <c r="BF33" s="5">
        <v>300</v>
      </c>
      <c r="BG33" s="5">
        <v>303.22000000000003</v>
      </c>
      <c r="BH33" s="5">
        <v>683701</v>
      </c>
      <c r="BI33" s="5" t="s">
        <v>235</v>
      </c>
      <c r="BJ33" s="7">
        <f t="shared" si="0"/>
        <v>-3.2979354923823312E-4</v>
      </c>
    </row>
    <row r="34" spans="56:62">
      <c r="BD34" s="5">
        <v>303.76</v>
      </c>
      <c r="BE34" s="5">
        <v>310</v>
      </c>
      <c r="BF34" s="5">
        <v>290.11</v>
      </c>
      <c r="BG34" s="5">
        <v>296.10000000000002</v>
      </c>
      <c r="BH34" s="5">
        <v>1816341</v>
      </c>
      <c r="BI34" s="5" t="s">
        <v>234</v>
      </c>
      <c r="BJ34" s="7">
        <f t="shared" si="0"/>
        <v>2.5869638635595882E-2</v>
      </c>
    </row>
    <row r="35" spans="56:62">
      <c r="BD35" s="5">
        <v>271.14</v>
      </c>
      <c r="BE35" s="5">
        <v>273.55500000000001</v>
      </c>
      <c r="BF35" s="5">
        <v>264.815</v>
      </c>
      <c r="BG35" s="5">
        <v>266.5</v>
      </c>
      <c r="BH35" s="5">
        <v>716997</v>
      </c>
      <c r="BI35" s="5" t="s">
        <v>233</v>
      </c>
      <c r="BJ35" s="7">
        <f t="shared" si="0"/>
        <v>1.7410881801125599E-2</v>
      </c>
    </row>
    <row r="36" spans="56:62">
      <c r="BD36" s="5">
        <v>268.67</v>
      </c>
      <c r="BE36" s="5">
        <v>274.75290000000001</v>
      </c>
      <c r="BF36" s="5">
        <v>266.86</v>
      </c>
      <c r="BG36" s="5">
        <v>272.85000000000002</v>
      </c>
      <c r="BH36" s="5">
        <v>400891</v>
      </c>
      <c r="BI36" s="5" t="s">
        <v>232</v>
      </c>
      <c r="BJ36" s="7">
        <f t="shared" si="0"/>
        <v>-1.5319772768920714E-2</v>
      </c>
    </row>
    <row r="37" spans="56:62">
      <c r="BD37" s="5">
        <v>272.89</v>
      </c>
      <c r="BE37" s="5">
        <v>273.07</v>
      </c>
      <c r="BF37" s="5">
        <v>267.36660000000001</v>
      </c>
      <c r="BG37" s="5">
        <v>267.97000000000003</v>
      </c>
      <c r="BH37" s="5">
        <v>301641</v>
      </c>
      <c r="BI37" s="5" t="s">
        <v>231</v>
      </c>
      <c r="BJ37" s="7">
        <f t="shared" si="0"/>
        <v>1.8360264208679977E-2</v>
      </c>
    </row>
    <row r="38" spans="56:62">
      <c r="BD38" s="5">
        <v>267.06</v>
      </c>
      <c r="BE38" s="5">
        <v>267.64</v>
      </c>
      <c r="BF38" s="5">
        <v>260.51</v>
      </c>
      <c r="BG38" s="5">
        <v>264</v>
      </c>
      <c r="BH38" s="5">
        <v>350865</v>
      </c>
      <c r="BI38" s="5" t="s">
        <v>230</v>
      </c>
      <c r="BJ38" s="7">
        <f t="shared" si="0"/>
        <v>1.1590909090909207E-2</v>
      </c>
    </row>
    <row r="39" spans="56:62">
      <c r="BD39" s="5">
        <v>268.3</v>
      </c>
      <c r="BE39" s="5">
        <v>270.91500000000002</v>
      </c>
      <c r="BF39" s="5">
        <v>258.82</v>
      </c>
      <c r="BG39" s="5">
        <v>259.14999999999998</v>
      </c>
      <c r="BH39" s="5">
        <v>779003</v>
      </c>
      <c r="BI39" s="5" t="s">
        <v>229</v>
      </c>
      <c r="BJ39" s="7">
        <f t="shared" si="0"/>
        <v>3.5307736831950765E-2</v>
      </c>
    </row>
    <row r="40" spans="56:62">
      <c r="BD40" s="5">
        <v>261.05</v>
      </c>
      <c r="BE40" s="5">
        <v>262.315</v>
      </c>
      <c r="BF40" s="5">
        <v>259.43</v>
      </c>
      <c r="BG40" s="5">
        <v>260.31</v>
      </c>
      <c r="BH40" s="5">
        <v>300754</v>
      </c>
      <c r="BI40" s="5" t="s">
        <v>228</v>
      </c>
      <c r="BJ40" s="7">
        <f t="shared" si="0"/>
        <v>2.8427643962967153E-3</v>
      </c>
    </row>
    <row r="41" spans="56:62">
      <c r="BD41" s="5">
        <v>260.67</v>
      </c>
      <c r="BE41" s="5">
        <v>263.11</v>
      </c>
      <c r="BF41" s="5">
        <v>259.20999999999998</v>
      </c>
      <c r="BG41" s="5">
        <v>261.08999999999997</v>
      </c>
      <c r="BH41" s="5">
        <v>266249</v>
      </c>
      <c r="BI41" s="5" t="s">
        <v>227</v>
      </c>
      <c r="BJ41" s="7">
        <f t="shared" si="0"/>
        <v>-1.6086406986095536E-3</v>
      </c>
    </row>
    <row r="42" spans="56:62">
      <c r="BD42" s="5">
        <v>261.5</v>
      </c>
      <c r="BE42" s="5">
        <v>265.56</v>
      </c>
      <c r="BF42" s="5">
        <v>259.79000000000002</v>
      </c>
      <c r="BG42" s="5">
        <v>265.56</v>
      </c>
      <c r="BH42" s="5">
        <v>342922</v>
      </c>
      <c r="BI42" s="5" t="s">
        <v>226</v>
      </c>
      <c r="BJ42" s="7">
        <f t="shared" si="0"/>
        <v>-1.528844705527943E-2</v>
      </c>
    </row>
    <row r="43" spans="56:62">
      <c r="BD43" s="5">
        <v>265.94</v>
      </c>
      <c r="BE43" s="5">
        <v>266.64999999999998</v>
      </c>
      <c r="BF43" s="5">
        <v>263.05</v>
      </c>
      <c r="BG43" s="5">
        <v>266.44</v>
      </c>
      <c r="BH43" s="5">
        <v>367115</v>
      </c>
      <c r="BI43" s="5" t="s">
        <v>225</v>
      </c>
      <c r="BJ43" s="7">
        <f t="shared" si="0"/>
        <v>-1.8765951058399288E-3</v>
      </c>
    </row>
    <row r="44" spans="56:62">
      <c r="BD44" s="5">
        <v>262.11</v>
      </c>
      <c r="BE44" s="5">
        <v>266.48989999999998</v>
      </c>
      <c r="BF44" s="5">
        <v>259.58</v>
      </c>
      <c r="BG44" s="5">
        <v>264.64999999999998</v>
      </c>
      <c r="BH44" s="5">
        <v>886098</v>
      </c>
      <c r="BI44" s="5" t="s">
        <v>224</v>
      </c>
      <c r="BJ44" s="7">
        <f t="shared" si="0"/>
        <v>-9.5975817116945583E-3</v>
      </c>
    </row>
    <row r="45" spans="56:62">
      <c r="BD45" s="5">
        <v>265</v>
      </c>
      <c r="BE45" s="5">
        <v>267</v>
      </c>
      <c r="BF45" s="5">
        <v>263.16000000000003</v>
      </c>
      <c r="BG45" s="5">
        <v>264.89999999999998</v>
      </c>
      <c r="BH45" s="5">
        <v>536800</v>
      </c>
      <c r="BI45" s="5" t="s">
        <v>223</v>
      </c>
      <c r="BJ45" s="7">
        <f t="shared" si="0"/>
        <v>3.7750094375255117E-4</v>
      </c>
    </row>
    <row r="46" spans="56:62">
      <c r="BD46" s="5">
        <v>266.97000000000003</v>
      </c>
      <c r="BE46" s="5">
        <v>271.53100000000001</v>
      </c>
      <c r="BF46" s="5">
        <v>266.62</v>
      </c>
      <c r="BG46" s="5">
        <v>270.07</v>
      </c>
      <c r="BH46" s="5">
        <v>490013</v>
      </c>
      <c r="BI46" s="5" t="s">
        <v>222</v>
      </c>
      <c r="BJ46" s="7">
        <f t="shared" si="0"/>
        <v>-1.1478505572629194E-2</v>
      </c>
    </row>
    <row r="47" spans="56:62">
      <c r="BD47" s="5">
        <v>269</v>
      </c>
      <c r="BE47" s="5">
        <v>272.5</v>
      </c>
      <c r="BF47" s="5">
        <v>267.27999999999997</v>
      </c>
      <c r="BG47" s="5">
        <v>270.20999999999998</v>
      </c>
      <c r="BH47" s="5">
        <v>259519</v>
      </c>
      <c r="BI47" s="5" t="s">
        <v>221</v>
      </c>
      <c r="BJ47" s="7">
        <f t="shared" si="0"/>
        <v>-4.4779985936863609E-3</v>
      </c>
    </row>
    <row r="48" spans="56:62">
      <c r="BD48" s="5">
        <v>269.73</v>
      </c>
      <c r="BE48" s="5">
        <v>271.57</v>
      </c>
      <c r="BF48" s="5">
        <v>266.37</v>
      </c>
      <c r="BG48" s="5">
        <v>271.57</v>
      </c>
      <c r="BH48" s="5">
        <v>371690</v>
      </c>
      <c r="BI48" s="5" t="s">
        <v>220</v>
      </c>
      <c r="BJ48" s="7">
        <f t="shared" si="0"/>
        <v>-6.7754170195528651E-3</v>
      </c>
    </row>
    <row r="49" spans="56:62">
      <c r="BD49" s="5">
        <v>270.82</v>
      </c>
      <c r="BE49" s="5">
        <v>275.18</v>
      </c>
      <c r="BF49" s="5">
        <v>269.51</v>
      </c>
      <c r="BG49" s="5">
        <v>273.10000000000002</v>
      </c>
      <c r="BH49" s="5">
        <v>317563</v>
      </c>
      <c r="BI49" s="5" t="s">
        <v>219</v>
      </c>
      <c r="BJ49" s="7">
        <f t="shared" si="0"/>
        <v>-8.3485902599781392E-3</v>
      </c>
    </row>
    <row r="50" spans="56:62">
      <c r="BD50" s="5">
        <v>272.73</v>
      </c>
      <c r="BE50" s="5">
        <v>275</v>
      </c>
      <c r="BF50" s="5">
        <v>270.54500000000002</v>
      </c>
      <c r="BG50" s="5">
        <v>274.04000000000002</v>
      </c>
      <c r="BH50" s="5">
        <v>258097</v>
      </c>
      <c r="BI50" s="5" t="s">
        <v>218</v>
      </c>
      <c r="BJ50" s="7">
        <f t="shared" si="0"/>
        <v>-4.7803240402860547E-3</v>
      </c>
    </row>
    <row r="51" spans="56:62">
      <c r="BD51" s="5">
        <v>274.06</v>
      </c>
      <c r="BE51" s="5">
        <v>275.49</v>
      </c>
      <c r="BF51" s="5">
        <v>271.0136</v>
      </c>
      <c r="BG51" s="5">
        <v>272.36</v>
      </c>
      <c r="BH51" s="5">
        <v>409593</v>
      </c>
      <c r="BI51" s="5" t="s">
        <v>217</v>
      </c>
      <c r="BJ51" s="7">
        <f t="shared" si="0"/>
        <v>6.2417388750182212E-3</v>
      </c>
    </row>
    <row r="52" spans="56:62">
      <c r="BD52" s="5">
        <v>273.77999999999997</v>
      </c>
      <c r="BE52" s="5">
        <v>275.64999999999998</v>
      </c>
      <c r="BF52" s="5">
        <v>270.04000000000002</v>
      </c>
      <c r="BG52" s="5">
        <v>275.64999999999998</v>
      </c>
      <c r="BH52" s="5">
        <v>639072</v>
      </c>
      <c r="BI52" s="5" t="s">
        <v>216</v>
      </c>
      <c r="BJ52" s="7">
        <f t="shared" si="0"/>
        <v>-6.7839651732268802E-3</v>
      </c>
    </row>
    <row r="53" spans="56:62">
      <c r="BD53" s="5">
        <v>275.83999999999997</v>
      </c>
      <c r="BE53" s="5">
        <v>277.89</v>
      </c>
      <c r="BF53" s="5">
        <v>266.23</v>
      </c>
      <c r="BG53" s="5">
        <v>267.43</v>
      </c>
      <c r="BH53" s="5">
        <v>745591</v>
      </c>
      <c r="BI53" s="5" t="s">
        <v>215</v>
      </c>
      <c r="BJ53" s="7">
        <f t="shared" si="0"/>
        <v>3.1447481583965819E-2</v>
      </c>
    </row>
    <row r="54" spans="56:62">
      <c r="BD54" s="5">
        <v>268.2</v>
      </c>
      <c r="BE54" s="5">
        <v>270.69</v>
      </c>
      <c r="BF54" s="5">
        <v>265.14</v>
      </c>
      <c r="BG54" s="5">
        <v>270</v>
      </c>
      <c r="BH54" s="5">
        <v>448904</v>
      </c>
      <c r="BI54" s="5" t="s">
        <v>214</v>
      </c>
      <c r="BJ54" s="7">
        <f t="shared" si="0"/>
        <v>-6.6666666666667096E-3</v>
      </c>
    </row>
    <row r="55" spans="56:62">
      <c r="BD55" s="5">
        <v>263.69</v>
      </c>
      <c r="BE55" s="5">
        <v>264.93</v>
      </c>
      <c r="BF55" s="5">
        <v>259.31</v>
      </c>
      <c r="BG55" s="5">
        <v>264.93</v>
      </c>
      <c r="BH55" s="5">
        <v>433780</v>
      </c>
      <c r="BI55" s="5" t="s">
        <v>213</v>
      </c>
      <c r="BJ55" s="7">
        <f t="shared" si="0"/>
        <v>-4.6804816366587954E-3</v>
      </c>
    </row>
    <row r="56" spans="56:62">
      <c r="BD56" s="5">
        <v>262.31</v>
      </c>
      <c r="BE56" s="5">
        <v>263.77</v>
      </c>
      <c r="BF56" s="5">
        <v>257.89</v>
      </c>
      <c r="BG56" s="5">
        <v>261.17</v>
      </c>
      <c r="BH56" s="5">
        <v>490394</v>
      </c>
      <c r="BI56" s="5" t="s">
        <v>212</v>
      </c>
      <c r="BJ56" s="7">
        <f t="shared" si="0"/>
        <v>4.3649730060879577E-3</v>
      </c>
    </row>
    <row r="57" spans="56:62">
      <c r="BD57" s="5">
        <v>261.77</v>
      </c>
      <c r="BE57" s="5">
        <v>262.74</v>
      </c>
      <c r="BF57" s="5">
        <v>253.93</v>
      </c>
      <c r="BG57" s="5">
        <v>254.64</v>
      </c>
      <c r="BH57" s="5">
        <v>617648</v>
      </c>
      <c r="BI57" s="5" t="s">
        <v>211</v>
      </c>
      <c r="BJ57" s="7">
        <f t="shared" si="0"/>
        <v>2.8000314169022822E-2</v>
      </c>
    </row>
    <row r="58" spans="56:62">
      <c r="BD58" s="5">
        <v>252.89</v>
      </c>
      <c r="BE58" s="5">
        <v>254</v>
      </c>
      <c r="BF58" s="5">
        <v>245.27</v>
      </c>
      <c r="BG58" s="5">
        <v>248.32</v>
      </c>
      <c r="BH58" s="5">
        <v>450393</v>
      </c>
      <c r="BI58" s="5" t="s">
        <v>210</v>
      </c>
      <c r="BJ58" s="7">
        <f t="shared" si="0"/>
        <v>1.8403672680412431E-2</v>
      </c>
    </row>
    <row r="59" spans="56:62">
      <c r="BD59" s="5">
        <v>246.93</v>
      </c>
      <c r="BE59" s="5">
        <v>248.54</v>
      </c>
      <c r="BF59" s="5">
        <v>237.65</v>
      </c>
      <c r="BG59" s="5">
        <v>238.63</v>
      </c>
      <c r="BH59" s="5">
        <v>425411</v>
      </c>
      <c r="BI59" s="5" t="s">
        <v>209</v>
      </c>
      <c r="BJ59" s="7">
        <f t="shared" si="0"/>
        <v>3.4781879897749723E-2</v>
      </c>
    </row>
    <row r="60" spans="56:62">
      <c r="BD60" s="5">
        <v>250.62</v>
      </c>
      <c r="BE60" s="5">
        <v>255.625</v>
      </c>
      <c r="BF60" s="5">
        <v>247.94</v>
      </c>
      <c r="BG60" s="5">
        <v>254.45</v>
      </c>
      <c r="BH60" s="5">
        <v>467204</v>
      </c>
      <c r="BI60" s="5" t="s">
        <v>208</v>
      </c>
      <c r="BJ60" s="7">
        <f t="shared" si="0"/>
        <v>-1.5052073098840602E-2</v>
      </c>
    </row>
    <row r="61" spans="56:62">
      <c r="BD61" s="5">
        <v>257.81</v>
      </c>
      <c r="BE61" s="5">
        <v>258.52</v>
      </c>
      <c r="BF61" s="5">
        <v>248.70500000000001</v>
      </c>
      <c r="BG61" s="5">
        <v>252.19</v>
      </c>
      <c r="BH61" s="5">
        <v>445238</v>
      </c>
      <c r="BI61" s="5" t="s">
        <v>207</v>
      </c>
      <c r="BJ61" s="7">
        <f t="shared" si="0"/>
        <v>2.2284785280938912E-2</v>
      </c>
    </row>
    <row r="62" spans="56:62">
      <c r="BD62" s="5">
        <v>252.23</v>
      </c>
      <c r="BE62" s="5">
        <v>260.875</v>
      </c>
      <c r="BF62" s="5">
        <v>238</v>
      </c>
      <c r="BG62" s="5">
        <v>240.2</v>
      </c>
      <c r="BH62" s="5">
        <v>1052684</v>
      </c>
      <c r="BI62" s="5" t="s">
        <v>206</v>
      </c>
      <c r="BJ62" s="7">
        <f t="shared" si="0"/>
        <v>5.0083263946711032E-2</v>
      </c>
    </row>
    <row r="63" spans="56:62">
      <c r="BD63" s="5">
        <v>237.28</v>
      </c>
      <c r="BE63" s="5">
        <v>252.9</v>
      </c>
      <c r="BF63" s="5">
        <v>222.59</v>
      </c>
      <c r="BG63" s="5">
        <v>243.35</v>
      </c>
      <c r="BH63" s="5">
        <v>1023630</v>
      </c>
      <c r="BI63" s="5" t="s">
        <v>205</v>
      </c>
      <c r="BJ63" s="7">
        <f t="shared" si="0"/>
        <v>-2.4943497020751937E-2</v>
      </c>
    </row>
    <row r="64" spans="56:62">
      <c r="BD64" s="5">
        <v>241.97</v>
      </c>
      <c r="BE64" s="5">
        <v>243.375</v>
      </c>
      <c r="BF64" s="5">
        <v>239.76</v>
      </c>
      <c r="BG64" s="5">
        <v>241.28</v>
      </c>
      <c r="BH64" s="5">
        <v>170597</v>
      </c>
      <c r="BI64" s="5" t="s">
        <v>204</v>
      </c>
      <c r="BJ64" s="7">
        <f t="shared" si="0"/>
        <v>2.8597480106100637E-3</v>
      </c>
    </row>
    <row r="65" spans="56:62">
      <c r="BD65" s="5">
        <v>239.99</v>
      </c>
      <c r="BE65" s="5">
        <v>243.15</v>
      </c>
      <c r="BF65" s="5">
        <v>237.63499999999999</v>
      </c>
      <c r="BG65" s="5">
        <v>238.84</v>
      </c>
      <c r="BH65" s="5">
        <v>145808</v>
      </c>
      <c r="BI65" s="5" t="s">
        <v>203</v>
      </c>
      <c r="BJ65" s="7">
        <f t="shared" si="0"/>
        <v>4.8149388712108721E-3</v>
      </c>
    </row>
    <row r="66" spans="56:62">
      <c r="BD66" s="5">
        <v>237.48</v>
      </c>
      <c r="BE66" s="5">
        <v>241.89</v>
      </c>
      <c r="BF66" s="5">
        <v>236.62</v>
      </c>
      <c r="BG66" s="5">
        <v>241.04</v>
      </c>
      <c r="BH66" s="5">
        <v>189833</v>
      </c>
      <c r="BI66" s="5" t="s">
        <v>202</v>
      </c>
      <c r="BJ66" s="7">
        <f t="shared" si="0"/>
        <v>-1.4769332890806508E-2</v>
      </c>
    </row>
    <row r="67" spans="56:62">
      <c r="BD67" s="5">
        <v>238.18</v>
      </c>
      <c r="BE67" s="5">
        <v>240.51</v>
      </c>
      <c r="BF67" s="5">
        <v>234.55</v>
      </c>
      <c r="BG67" s="5">
        <v>238.35</v>
      </c>
      <c r="BH67" s="5">
        <v>196502</v>
      </c>
      <c r="BI67" s="5" t="s">
        <v>201</v>
      </c>
      <c r="BJ67" s="7">
        <f t="shared" si="0"/>
        <v>-7.132368365847519E-4</v>
      </c>
    </row>
    <row r="68" spans="56:62">
      <c r="BD68" s="5">
        <v>239.85</v>
      </c>
      <c r="BE68" s="5">
        <v>241.89</v>
      </c>
      <c r="BF68" s="5">
        <v>236.93</v>
      </c>
      <c r="BG68" s="5">
        <v>238.47</v>
      </c>
      <c r="BH68" s="5">
        <v>294374</v>
      </c>
      <c r="BI68" s="5" t="s">
        <v>200</v>
      </c>
      <c r="BJ68" s="7">
        <f t="shared" si="0"/>
        <v>5.7868914328846888E-3</v>
      </c>
    </row>
    <row r="69" spans="56:62">
      <c r="BD69" s="5">
        <v>240.54</v>
      </c>
      <c r="BE69" s="5">
        <v>241.92</v>
      </c>
      <c r="BF69" s="5">
        <v>238.54</v>
      </c>
      <c r="BG69" s="5">
        <v>238.79</v>
      </c>
      <c r="BH69" s="5">
        <v>180617</v>
      </c>
      <c r="BI69" s="5" t="s">
        <v>199</v>
      </c>
      <c r="BJ69" s="7">
        <f t="shared" si="0"/>
        <v>7.3286151011349165E-3</v>
      </c>
    </row>
    <row r="70" spans="56:62">
      <c r="BD70" s="5">
        <v>240.36</v>
      </c>
      <c r="BE70" s="5">
        <v>241.82</v>
      </c>
      <c r="BF70" s="5">
        <v>239.59</v>
      </c>
      <c r="BG70" s="5">
        <v>241.82</v>
      </c>
      <c r="BH70" s="5">
        <v>88821</v>
      </c>
      <c r="BI70" s="5" t="s">
        <v>198</v>
      </c>
      <c r="BJ70" s="7">
        <f t="shared" si="0"/>
        <v>-6.0375485898601644E-3</v>
      </c>
    </row>
    <row r="71" spans="56:62">
      <c r="BD71" s="5">
        <v>240.55</v>
      </c>
      <c r="BE71" s="5">
        <v>245.74</v>
      </c>
      <c r="BF71" s="5">
        <v>237.68010000000001</v>
      </c>
      <c r="BG71" s="5">
        <v>243</v>
      </c>
      <c r="BH71" s="5">
        <v>213495</v>
      </c>
      <c r="BI71" s="5" t="s">
        <v>197</v>
      </c>
      <c r="BJ71" s="7">
        <f t="shared" si="0"/>
        <v>-1.0082304526748964E-2</v>
      </c>
    </row>
    <row r="72" spans="56:62">
      <c r="BD72" s="5">
        <v>242.54</v>
      </c>
      <c r="BE72" s="5">
        <v>245.89</v>
      </c>
      <c r="BF72" s="5">
        <v>241.23500000000001</v>
      </c>
      <c r="BG72" s="5">
        <v>242</v>
      </c>
      <c r="BH72" s="5">
        <v>948331</v>
      </c>
      <c r="BI72" s="5" t="s">
        <v>196</v>
      </c>
      <c r="BJ72" s="7">
        <f t="shared" ref="BJ72:BJ135" si="1">BD72/BG72-1</f>
        <v>2.2314049586775742E-3</v>
      </c>
    </row>
    <row r="73" spans="56:62">
      <c r="BD73" s="5">
        <v>243.52</v>
      </c>
      <c r="BE73" s="5">
        <v>245.56</v>
      </c>
      <c r="BF73" s="5">
        <v>235.75479999999999</v>
      </c>
      <c r="BG73" s="5">
        <v>238.71</v>
      </c>
      <c r="BH73" s="5">
        <v>439284</v>
      </c>
      <c r="BI73" s="5" t="s">
        <v>195</v>
      </c>
      <c r="BJ73" s="7">
        <f t="shared" si="1"/>
        <v>2.0149972770307167E-2</v>
      </c>
    </row>
    <row r="74" spans="56:62">
      <c r="BD74" s="5">
        <v>238.9</v>
      </c>
      <c r="BE74" s="5">
        <v>247.92500000000001</v>
      </c>
      <c r="BF74" s="5">
        <v>238.7</v>
      </c>
      <c r="BG74" s="5">
        <v>246.54</v>
      </c>
      <c r="BH74" s="5">
        <v>472034</v>
      </c>
      <c r="BI74" s="5" t="s">
        <v>194</v>
      </c>
      <c r="BJ74" s="7">
        <f t="shared" si="1"/>
        <v>-3.0988886184797559E-2</v>
      </c>
    </row>
    <row r="75" spans="56:62">
      <c r="BD75" s="5">
        <v>247.55</v>
      </c>
      <c r="BE75" s="5">
        <v>251.28</v>
      </c>
      <c r="BF75" s="5">
        <v>244.64</v>
      </c>
      <c r="BG75" s="5">
        <v>250.08</v>
      </c>
      <c r="BH75" s="5">
        <v>336442</v>
      </c>
      <c r="BI75" s="5" t="s">
        <v>193</v>
      </c>
      <c r="BJ75" s="7">
        <f t="shared" si="1"/>
        <v>-1.0116762635956511E-2</v>
      </c>
    </row>
    <row r="76" spans="56:62">
      <c r="BD76" s="5">
        <v>247.24</v>
      </c>
      <c r="BE76" s="5">
        <v>250.37</v>
      </c>
      <c r="BF76" s="5">
        <v>243.7354</v>
      </c>
      <c r="BG76" s="5">
        <v>245</v>
      </c>
      <c r="BH76" s="5">
        <v>324263</v>
      </c>
      <c r="BI76" s="5" t="s">
        <v>192</v>
      </c>
      <c r="BJ76" s="7">
        <f t="shared" si="1"/>
        <v>9.1428571428571193E-3</v>
      </c>
    </row>
    <row r="77" spans="56:62">
      <c r="BD77" s="5">
        <v>245.55</v>
      </c>
      <c r="BE77" s="5">
        <v>251.74</v>
      </c>
      <c r="BF77" s="5">
        <v>244.37</v>
      </c>
      <c r="BG77" s="5">
        <v>251.59</v>
      </c>
      <c r="BH77" s="5">
        <v>240273</v>
      </c>
      <c r="BI77" s="5" t="s">
        <v>191</v>
      </c>
      <c r="BJ77" s="7">
        <f t="shared" si="1"/>
        <v>-2.4007313486227533E-2</v>
      </c>
    </row>
    <row r="78" spans="56:62">
      <c r="BD78" s="5">
        <v>252.26</v>
      </c>
      <c r="BE78" s="5">
        <v>254.57499999999999</v>
      </c>
      <c r="BF78" s="5">
        <v>243.36</v>
      </c>
      <c r="BG78" s="5">
        <v>251.08</v>
      </c>
      <c r="BH78" s="5">
        <v>409509</v>
      </c>
      <c r="BI78" s="5" t="s">
        <v>190</v>
      </c>
      <c r="BJ78" s="7">
        <f t="shared" si="1"/>
        <v>4.6996973076309789E-3</v>
      </c>
    </row>
    <row r="79" spans="56:62">
      <c r="BD79" s="5">
        <v>253.66</v>
      </c>
      <c r="BE79" s="5">
        <v>259.27</v>
      </c>
      <c r="BF79" s="5">
        <v>247.55500000000001</v>
      </c>
      <c r="BG79" s="5">
        <v>250</v>
      </c>
      <c r="BH79" s="5">
        <v>679290</v>
      </c>
      <c r="BI79" s="5" t="s">
        <v>189</v>
      </c>
      <c r="BJ79" s="7">
        <f t="shared" si="1"/>
        <v>1.4639999999999986E-2</v>
      </c>
    </row>
    <row r="80" spans="56:62">
      <c r="BD80" s="5">
        <v>242.27</v>
      </c>
      <c r="BE80" s="5">
        <v>245.3</v>
      </c>
      <c r="BF80" s="5">
        <v>240.47</v>
      </c>
      <c r="BG80" s="5">
        <v>244.29</v>
      </c>
      <c r="BH80" s="5">
        <v>239072</v>
      </c>
      <c r="BI80" s="5" t="s">
        <v>188</v>
      </c>
      <c r="BJ80" s="7">
        <f t="shared" si="1"/>
        <v>-8.2688607802201552E-3</v>
      </c>
    </row>
    <row r="81" spans="56:62">
      <c r="BD81" s="5">
        <v>240.86</v>
      </c>
      <c r="BE81" s="5">
        <v>241.97499999999999</v>
      </c>
      <c r="BF81" s="5">
        <v>236.62</v>
      </c>
      <c r="BG81" s="5">
        <v>237.6</v>
      </c>
      <c r="BH81" s="5">
        <v>170697</v>
      </c>
      <c r="BI81" s="5" t="s">
        <v>187</v>
      </c>
      <c r="BJ81" s="7">
        <f t="shared" si="1"/>
        <v>1.37205387205388E-2</v>
      </c>
    </row>
    <row r="82" spans="56:62">
      <c r="BD82" s="5">
        <v>237.23</v>
      </c>
      <c r="BE82" s="5">
        <v>245.3</v>
      </c>
      <c r="BF82" s="5">
        <v>236.60499999999999</v>
      </c>
      <c r="BG82" s="5">
        <v>244.97</v>
      </c>
      <c r="BH82" s="5">
        <v>203865</v>
      </c>
      <c r="BI82" s="5" t="s">
        <v>186</v>
      </c>
      <c r="BJ82" s="7">
        <f t="shared" si="1"/>
        <v>-3.159570559660374E-2</v>
      </c>
    </row>
    <row r="83" spans="56:62">
      <c r="BD83" s="5">
        <v>242.7</v>
      </c>
      <c r="BE83" s="5">
        <v>248.60499999999999</v>
      </c>
      <c r="BF83" s="5">
        <v>242.3</v>
      </c>
      <c r="BG83" s="5">
        <v>247.42</v>
      </c>
      <c r="BH83" s="5">
        <v>194691</v>
      </c>
      <c r="BI83" s="5" t="s">
        <v>185</v>
      </c>
      <c r="BJ83" s="7">
        <f t="shared" si="1"/>
        <v>-1.9076873332794397E-2</v>
      </c>
    </row>
    <row r="84" spans="56:62">
      <c r="BD84" s="5">
        <v>249.08</v>
      </c>
      <c r="BE84" s="5">
        <v>250.63</v>
      </c>
      <c r="BF84" s="5">
        <v>244.1</v>
      </c>
      <c r="BG84" s="5">
        <v>244.88</v>
      </c>
      <c r="BH84" s="5">
        <v>233870</v>
      </c>
      <c r="BI84" s="5" t="s">
        <v>184</v>
      </c>
      <c r="BJ84" s="7">
        <f t="shared" si="1"/>
        <v>1.7151257758902361E-2</v>
      </c>
    </row>
    <row r="85" spans="56:62">
      <c r="BD85" s="5">
        <v>245.24</v>
      </c>
      <c r="BE85" s="5">
        <v>246.77</v>
      </c>
      <c r="BF85" s="5">
        <v>242.7</v>
      </c>
      <c r="BG85" s="5">
        <v>244.11</v>
      </c>
      <c r="BH85" s="5">
        <v>281939</v>
      </c>
      <c r="BI85" s="5" t="s">
        <v>183</v>
      </c>
      <c r="BJ85" s="7">
        <f t="shared" si="1"/>
        <v>4.6290606693704106E-3</v>
      </c>
    </row>
    <row r="86" spans="56:62">
      <c r="BD86" s="5">
        <v>244.84</v>
      </c>
      <c r="BE86" s="5">
        <v>245.66</v>
      </c>
      <c r="BF86" s="5">
        <v>241.91</v>
      </c>
      <c r="BG86" s="5">
        <v>243.01</v>
      </c>
      <c r="BH86" s="5">
        <v>224078</v>
      </c>
      <c r="BI86" s="5" t="s">
        <v>182</v>
      </c>
      <c r="BJ86" s="7">
        <f t="shared" si="1"/>
        <v>7.5305542981771723E-3</v>
      </c>
    </row>
    <row r="87" spans="56:62">
      <c r="BD87" s="5">
        <v>244.12</v>
      </c>
      <c r="BE87" s="5">
        <v>246.61</v>
      </c>
      <c r="BF87" s="5">
        <v>242.3</v>
      </c>
      <c r="BG87" s="5">
        <v>242.56</v>
      </c>
      <c r="BH87" s="5">
        <v>114677</v>
      </c>
      <c r="BI87" s="5" t="s">
        <v>181</v>
      </c>
      <c r="BJ87" s="7">
        <f t="shared" si="1"/>
        <v>6.4313984168864469E-3</v>
      </c>
    </row>
    <row r="88" spans="56:62">
      <c r="BD88" s="5">
        <v>244.15</v>
      </c>
      <c r="BE88" s="5">
        <v>250.81</v>
      </c>
      <c r="BF88" s="5">
        <v>240.3</v>
      </c>
      <c r="BG88" s="5">
        <v>249.86</v>
      </c>
      <c r="BH88" s="5">
        <v>271479</v>
      </c>
      <c r="BI88" s="5" t="s">
        <v>180</v>
      </c>
      <c r="BJ88" s="7">
        <f t="shared" si="1"/>
        <v>-2.2852797566637384E-2</v>
      </c>
    </row>
    <row r="89" spans="56:62">
      <c r="BD89" s="5">
        <v>248.96</v>
      </c>
      <c r="BE89" s="5">
        <v>250.94499999999999</v>
      </c>
      <c r="BF89" s="5">
        <v>244.02</v>
      </c>
      <c r="BG89" s="5">
        <v>245.68</v>
      </c>
      <c r="BH89" s="5">
        <v>297557</v>
      </c>
      <c r="BI89" s="5" t="s">
        <v>179</v>
      </c>
      <c r="BJ89" s="7">
        <f t="shared" si="1"/>
        <v>1.3350700097688017E-2</v>
      </c>
    </row>
    <row r="90" spans="56:62">
      <c r="BD90" s="5">
        <v>244.68</v>
      </c>
      <c r="BE90" s="5">
        <v>249.86</v>
      </c>
      <c r="BF90" s="5">
        <v>243.875</v>
      </c>
      <c r="BG90" s="5">
        <v>247.29</v>
      </c>
      <c r="BH90" s="5">
        <v>422387</v>
      </c>
      <c r="BI90" s="5" t="s">
        <v>178</v>
      </c>
      <c r="BJ90" s="7">
        <f t="shared" si="1"/>
        <v>-1.0554409802256415E-2</v>
      </c>
    </row>
    <row r="91" spans="56:62">
      <c r="BD91" s="5">
        <v>244.84</v>
      </c>
      <c r="BE91" s="5">
        <v>245.21</v>
      </c>
      <c r="BF91" s="5">
        <v>237.92</v>
      </c>
      <c r="BG91" s="5">
        <v>240</v>
      </c>
      <c r="BH91" s="5">
        <v>251999</v>
      </c>
      <c r="BI91" s="5" t="s">
        <v>177</v>
      </c>
      <c r="BJ91" s="7">
        <f t="shared" si="1"/>
        <v>2.0166666666666666E-2</v>
      </c>
    </row>
    <row r="92" spans="56:62">
      <c r="BD92" s="5">
        <v>240.49</v>
      </c>
      <c r="BE92" s="5">
        <v>241</v>
      </c>
      <c r="BF92" s="5">
        <v>235.93</v>
      </c>
      <c r="BG92" s="5">
        <v>237.29</v>
      </c>
      <c r="BH92" s="5">
        <v>203330</v>
      </c>
      <c r="BI92" s="5" t="s">
        <v>176</v>
      </c>
      <c r="BJ92" s="7">
        <f t="shared" si="1"/>
        <v>1.3485608327363119E-2</v>
      </c>
    </row>
    <row r="93" spans="56:62">
      <c r="BD93" s="5">
        <v>239.2</v>
      </c>
      <c r="BE93" s="5">
        <v>242.95</v>
      </c>
      <c r="BF93" s="5">
        <v>235.29</v>
      </c>
      <c r="BG93" s="5">
        <v>235.29</v>
      </c>
      <c r="BH93" s="5">
        <v>248896</v>
      </c>
      <c r="BI93" s="5" t="s">
        <v>175</v>
      </c>
      <c r="BJ93" s="7">
        <f t="shared" si="1"/>
        <v>1.6617790811339184E-2</v>
      </c>
    </row>
    <row r="94" spans="56:62">
      <c r="BD94" s="5">
        <v>237.11</v>
      </c>
      <c r="BE94" s="5">
        <v>239.35</v>
      </c>
      <c r="BF94" s="5">
        <v>234.62</v>
      </c>
      <c r="BG94" s="5">
        <v>237.16</v>
      </c>
      <c r="BH94" s="5">
        <v>203426</v>
      </c>
      <c r="BI94" s="5" t="s">
        <v>174</v>
      </c>
      <c r="BJ94" s="7">
        <f t="shared" si="1"/>
        <v>-2.1082813290596025E-4</v>
      </c>
    </row>
    <row r="95" spans="56:62">
      <c r="BD95" s="5">
        <v>240.48</v>
      </c>
      <c r="BE95" s="5">
        <v>241.82</v>
      </c>
      <c r="BF95" s="5">
        <v>235.30500000000001</v>
      </c>
      <c r="BG95" s="5">
        <v>236.48</v>
      </c>
      <c r="BH95" s="5">
        <v>643266</v>
      </c>
      <c r="BI95" s="5" t="s">
        <v>173</v>
      </c>
      <c r="BJ95" s="7">
        <f t="shared" si="1"/>
        <v>1.6914749661705031E-2</v>
      </c>
    </row>
    <row r="96" spans="56:62">
      <c r="BD96" s="5">
        <v>237.84</v>
      </c>
      <c r="BE96" s="5">
        <v>239.73</v>
      </c>
      <c r="BF96" s="5">
        <v>231.27</v>
      </c>
      <c r="BG96" s="5">
        <v>233.88</v>
      </c>
      <c r="BH96" s="5">
        <v>382919</v>
      </c>
      <c r="BI96" s="5" t="s">
        <v>172</v>
      </c>
      <c r="BJ96" s="7">
        <f t="shared" si="1"/>
        <v>1.6931759876859909E-2</v>
      </c>
    </row>
    <row r="97" spans="56:62">
      <c r="BD97" s="5">
        <v>233.51</v>
      </c>
      <c r="BE97" s="5">
        <v>237.25</v>
      </c>
      <c r="BF97" s="5">
        <v>232.505</v>
      </c>
      <c r="BG97" s="5">
        <v>236</v>
      </c>
      <c r="BH97" s="5">
        <v>195676</v>
      </c>
      <c r="BI97" s="5" t="s">
        <v>171</v>
      </c>
      <c r="BJ97" s="7">
        <f t="shared" si="1"/>
        <v>-1.0550847457627133E-2</v>
      </c>
    </row>
    <row r="98" spans="56:62">
      <c r="BD98" s="5">
        <v>236.05</v>
      </c>
      <c r="BE98" s="5">
        <v>238.29</v>
      </c>
      <c r="BF98" s="5">
        <v>235.13</v>
      </c>
      <c r="BG98" s="5">
        <v>237.77</v>
      </c>
      <c r="BH98" s="5">
        <v>180913</v>
      </c>
      <c r="BI98" s="5" t="s">
        <v>170</v>
      </c>
      <c r="BJ98" s="7">
        <f t="shared" si="1"/>
        <v>-7.233881482104576E-3</v>
      </c>
    </row>
    <row r="99" spans="56:62">
      <c r="BD99" s="5">
        <v>236.22</v>
      </c>
      <c r="BE99" s="5">
        <v>242.65</v>
      </c>
      <c r="BF99" s="5">
        <v>236.01</v>
      </c>
      <c r="BG99" s="5">
        <v>240.28</v>
      </c>
      <c r="BH99" s="5">
        <v>274564</v>
      </c>
      <c r="BI99" s="5" t="s">
        <v>169</v>
      </c>
      <c r="BJ99" s="7">
        <f t="shared" si="1"/>
        <v>-1.6896953554186744E-2</v>
      </c>
    </row>
    <row r="100" spans="56:62">
      <c r="BD100" s="5">
        <v>242.07</v>
      </c>
      <c r="BE100" s="5">
        <v>243.38499999999999</v>
      </c>
      <c r="BF100" s="5">
        <v>236.71</v>
      </c>
      <c r="BG100" s="5">
        <v>237.96</v>
      </c>
      <c r="BH100" s="5">
        <v>446469</v>
      </c>
      <c r="BI100" s="5" t="s">
        <v>168</v>
      </c>
      <c r="BJ100" s="7">
        <f t="shared" si="1"/>
        <v>1.7271810388300501E-2</v>
      </c>
    </row>
    <row r="101" spans="56:62">
      <c r="BD101" s="5">
        <v>236.45</v>
      </c>
      <c r="BE101" s="5">
        <v>236.54</v>
      </c>
      <c r="BF101" s="5">
        <v>231.93</v>
      </c>
      <c r="BG101" s="5">
        <v>232.36</v>
      </c>
      <c r="BH101" s="5">
        <v>318792</v>
      </c>
      <c r="BI101" s="5" t="s">
        <v>167</v>
      </c>
      <c r="BJ101" s="7">
        <f t="shared" si="1"/>
        <v>1.7601996901359884E-2</v>
      </c>
    </row>
    <row r="102" spans="56:62">
      <c r="BD102" s="5">
        <v>233.07</v>
      </c>
      <c r="BE102" s="5">
        <v>239.99</v>
      </c>
      <c r="BF102" s="5">
        <v>232.92</v>
      </c>
      <c r="BG102" s="5">
        <v>233.96</v>
      </c>
      <c r="BH102" s="5">
        <v>381267</v>
      </c>
      <c r="BI102" s="5" t="s">
        <v>166</v>
      </c>
      <c r="BJ102" s="7">
        <f t="shared" si="1"/>
        <v>-3.804069071636218E-3</v>
      </c>
    </row>
    <row r="103" spans="56:62">
      <c r="BD103" s="5">
        <v>233.7</v>
      </c>
      <c r="BE103" s="5">
        <v>238.9</v>
      </c>
      <c r="BF103" s="5">
        <v>228.9</v>
      </c>
      <c r="BG103" s="5">
        <v>238.9</v>
      </c>
      <c r="BH103" s="5">
        <v>463471</v>
      </c>
      <c r="BI103" s="5" t="s">
        <v>165</v>
      </c>
      <c r="BJ103" s="7">
        <f t="shared" si="1"/>
        <v>-2.1766429468396908E-2</v>
      </c>
    </row>
    <row r="104" spans="56:62">
      <c r="BD104" s="5">
        <v>232.39</v>
      </c>
      <c r="BE104" s="5">
        <v>235.47</v>
      </c>
      <c r="BF104" s="5">
        <v>228.64500000000001</v>
      </c>
      <c r="BG104" s="5">
        <v>229.01</v>
      </c>
      <c r="BH104" s="5">
        <v>417594</v>
      </c>
      <c r="BI104" s="5" t="s">
        <v>164</v>
      </c>
      <c r="BJ104" s="7">
        <f t="shared" si="1"/>
        <v>1.4759180821798168E-2</v>
      </c>
    </row>
    <row r="105" spans="56:62">
      <c r="BD105" s="5">
        <v>229.51</v>
      </c>
      <c r="BE105" s="5">
        <v>237.46</v>
      </c>
      <c r="BF105" s="5">
        <v>227.89</v>
      </c>
      <c r="BG105" s="5">
        <v>233.84</v>
      </c>
      <c r="BH105" s="5">
        <v>453739</v>
      </c>
      <c r="BI105" s="5" t="s">
        <v>163</v>
      </c>
      <c r="BJ105" s="7">
        <f t="shared" si="1"/>
        <v>-1.851693465617521E-2</v>
      </c>
    </row>
    <row r="106" spans="56:62">
      <c r="BD106" s="5">
        <v>233.3</v>
      </c>
      <c r="BE106" s="5">
        <v>236.56</v>
      </c>
      <c r="BF106" s="5">
        <v>227.93</v>
      </c>
      <c r="BG106" s="5">
        <v>231.08</v>
      </c>
      <c r="BH106" s="5">
        <v>525994</v>
      </c>
      <c r="BI106" s="5" t="s">
        <v>162</v>
      </c>
      <c r="BJ106" s="7">
        <f t="shared" si="1"/>
        <v>9.6070624891813061E-3</v>
      </c>
    </row>
    <row r="107" spans="56:62">
      <c r="BD107" s="5">
        <v>228.87</v>
      </c>
      <c r="BE107" s="5">
        <v>230.75</v>
      </c>
      <c r="BF107" s="5">
        <v>207.58</v>
      </c>
      <c r="BG107" s="5">
        <v>207.58</v>
      </c>
      <c r="BH107" s="5">
        <v>953178</v>
      </c>
      <c r="BI107" s="5" t="s">
        <v>161</v>
      </c>
      <c r="BJ107" s="7">
        <f t="shared" si="1"/>
        <v>0.10256286732825903</v>
      </c>
    </row>
    <row r="108" spans="56:62">
      <c r="BD108" s="5">
        <v>211.29</v>
      </c>
      <c r="BE108" s="5">
        <v>218.21</v>
      </c>
      <c r="BF108" s="5">
        <v>208.18</v>
      </c>
      <c r="BG108" s="5">
        <v>208.18</v>
      </c>
      <c r="BH108" s="5">
        <v>734000</v>
      </c>
      <c r="BI108" s="5" t="s">
        <v>160</v>
      </c>
      <c r="BJ108" s="7">
        <f t="shared" si="1"/>
        <v>1.4938995100393759E-2</v>
      </c>
    </row>
    <row r="109" spans="56:62">
      <c r="BD109" s="5">
        <v>209.63</v>
      </c>
      <c r="BE109" s="5">
        <v>214.97</v>
      </c>
      <c r="BF109" s="5">
        <v>206.51499999999999</v>
      </c>
      <c r="BG109" s="5">
        <v>208.62</v>
      </c>
      <c r="BH109" s="5">
        <v>585440</v>
      </c>
      <c r="BI109" s="5" t="s">
        <v>159</v>
      </c>
      <c r="BJ109" s="7">
        <f t="shared" si="1"/>
        <v>4.8413383184737757E-3</v>
      </c>
    </row>
    <row r="110" spans="56:62">
      <c r="BD110" s="5">
        <v>208.74</v>
      </c>
      <c r="BE110" s="5">
        <v>213.86</v>
      </c>
      <c r="BF110" s="5">
        <v>205.8</v>
      </c>
      <c r="BG110" s="5">
        <v>206.17</v>
      </c>
      <c r="BH110" s="5">
        <v>536897</v>
      </c>
      <c r="BI110" s="5" t="s">
        <v>158</v>
      </c>
      <c r="BJ110" s="7">
        <f t="shared" si="1"/>
        <v>1.2465441140806277E-2</v>
      </c>
    </row>
    <row r="111" spans="56:62">
      <c r="BD111" s="5">
        <v>204.71</v>
      </c>
      <c r="BE111" s="5">
        <v>206.72370000000001</v>
      </c>
      <c r="BF111" s="5">
        <v>203.72</v>
      </c>
      <c r="BG111" s="5">
        <v>206</v>
      </c>
      <c r="BH111" s="5">
        <v>244602</v>
      </c>
      <c r="BI111" s="5" t="s">
        <v>157</v>
      </c>
      <c r="BJ111" s="7">
        <f t="shared" si="1"/>
        <v>-6.2621359223300477E-3</v>
      </c>
    </row>
    <row r="112" spans="56:62">
      <c r="BD112" s="5">
        <v>206.55</v>
      </c>
      <c r="BE112" s="5">
        <v>208.22</v>
      </c>
      <c r="BF112" s="5">
        <v>204.89</v>
      </c>
      <c r="BG112" s="5">
        <v>204.89</v>
      </c>
      <c r="BH112" s="5">
        <v>330421</v>
      </c>
      <c r="BI112" s="5" t="s">
        <v>156</v>
      </c>
      <c r="BJ112" s="7">
        <f t="shared" si="1"/>
        <v>8.1019083410611703E-3</v>
      </c>
    </row>
    <row r="113" spans="56:62">
      <c r="BD113" s="5">
        <v>203.71</v>
      </c>
      <c r="BE113" s="5">
        <v>205.36</v>
      </c>
      <c r="BF113" s="5">
        <v>199.01</v>
      </c>
      <c r="BG113" s="5">
        <v>205.36</v>
      </c>
      <c r="BH113" s="5">
        <v>249777</v>
      </c>
      <c r="BI113" s="5" t="s">
        <v>155</v>
      </c>
      <c r="BJ113" s="7">
        <f t="shared" si="1"/>
        <v>-8.0346708219711793E-3</v>
      </c>
    </row>
    <row r="114" spans="56:62">
      <c r="BD114" s="5">
        <v>205.62</v>
      </c>
      <c r="BE114" s="5">
        <v>206.81</v>
      </c>
      <c r="BF114" s="5">
        <v>202</v>
      </c>
      <c r="BG114" s="5">
        <v>205.85</v>
      </c>
      <c r="BH114" s="5">
        <v>228881</v>
      </c>
      <c r="BI114" s="5" t="s">
        <v>154</v>
      </c>
      <c r="BJ114" s="7">
        <f t="shared" si="1"/>
        <v>-1.1173184357541333E-3</v>
      </c>
    </row>
    <row r="115" spans="56:62">
      <c r="BD115" s="5">
        <v>206.68</v>
      </c>
      <c r="BE115" s="5">
        <v>209.91</v>
      </c>
      <c r="BF115" s="5">
        <v>201.96</v>
      </c>
      <c r="BG115" s="5">
        <v>208.35</v>
      </c>
      <c r="BH115" s="5">
        <v>225223</v>
      </c>
      <c r="BI115" s="5" t="s">
        <v>153</v>
      </c>
      <c r="BJ115" s="7">
        <f t="shared" si="1"/>
        <v>-8.0153587712982199E-3</v>
      </c>
    </row>
    <row r="116" spans="56:62">
      <c r="BD116" s="5">
        <v>208.65</v>
      </c>
      <c r="BE116" s="5">
        <v>209.69499999999999</v>
      </c>
      <c r="BF116" s="5">
        <v>203.84</v>
      </c>
      <c r="BG116" s="5">
        <v>204.29</v>
      </c>
      <c r="BH116" s="5">
        <v>221677</v>
      </c>
      <c r="BI116" s="5" t="s">
        <v>152</v>
      </c>
      <c r="BJ116" s="7">
        <f t="shared" si="1"/>
        <v>2.1342209603994355E-2</v>
      </c>
    </row>
    <row r="117" spans="56:62">
      <c r="BD117" s="5">
        <v>202.26</v>
      </c>
      <c r="BE117" s="5">
        <v>206.28</v>
      </c>
      <c r="BF117" s="5">
        <v>198.68</v>
      </c>
      <c r="BG117" s="5">
        <v>205.43</v>
      </c>
      <c r="BH117" s="5">
        <v>280298</v>
      </c>
      <c r="BI117" s="5" t="s">
        <v>151</v>
      </c>
      <c r="BJ117" s="7">
        <f t="shared" si="1"/>
        <v>-1.5431047071995385E-2</v>
      </c>
    </row>
    <row r="118" spans="56:62">
      <c r="BD118" s="5">
        <v>205.43</v>
      </c>
      <c r="BE118" s="5">
        <v>209.41</v>
      </c>
      <c r="BF118" s="5">
        <v>203.79499999999999</v>
      </c>
      <c r="BG118" s="5">
        <v>204.96</v>
      </c>
      <c r="BH118" s="5">
        <v>272458</v>
      </c>
      <c r="BI118" s="5" t="s">
        <v>150</v>
      </c>
      <c r="BJ118" s="7">
        <f t="shared" si="1"/>
        <v>2.2931303669009306E-3</v>
      </c>
    </row>
    <row r="119" spans="56:62">
      <c r="BD119" s="5">
        <v>206.62</v>
      </c>
      <c r="BE119" s="5">
        <v>212.48</v>
      </c>
      <c r="BF119" s="5">
        <v>204.87</v>
      </c>
      <c r="BG119" s="5">
        <v>211.39</v>
      </c>
      <c r="BH119" s="5">
        <v>361428</v>
      </c>
      <c r="BI119" s="5" t="s">
        <v>149</v>
      </c>
      <c r="BJ119" s="7">
        <f t="shared" si="1"/>
        <v>-2.2564927385401279E-2</v>
      </c>
    </row>
    <row r="120" spans="56:62">
      <c r="BD120" s="5">
        <v>211.36</v>
      </c>
      <c r="BE120" s="5">
        <v>217.44</v>
      </c>
      <c r="BF120" s="5">
        <v>204.77</v>
      </c>
      <c r="BG120" s="5">
        <v>205</v>
      </c>
      <c r="BH120" s="5">
        <v>586871</v>
      </c>
      <c r="BI120" s="5" t="s">
        <v>148</v>
      </c>
      <c r="BJ120" s="7">
        <f t="shared" si="1"/>
        <v>3.1024390243902467E-2</v>
      </c>
    </row>
    <row r="121" spans="56:62">
      <c r="BD121" s="5">
        <v>203.19</v>
      </c>
      <c r="BE121" s="5">
        <v>203.86</v>
      </c>
      <c r="BF121" s="5">
        <v>193.495</v>
      </c>
      <c r="BG121" s="5">
        <v>193.7</v>
      </c>
      <c r="BH121" s="5">
        <v>387667</v>
      </c>
      <c r="BI121" s="5" t="s">
        <v>147</v>
      </c>
      <c r="BJ121" s="7">
        <f t="shared" si="1"/>
        <v>4.8993288590604145E-2</v>
      </c>
    </row>
    <row r="122" spans="56:62">
      <c r="BD122" s="5">
        <v>192.58</v>
      </c>
      <c r="BE122" s="5">
        <v>197.22</v>
      </c>
      <c r="BF122" s="5">
        <v>192.54</v>
      </c>
      <c r="BG122" s="5">
        <v>197.22</v>
      </c>
      <c r="BH122" s="5">
        <v>295550</v>
      </c>
      <c r="BI122" s="5" t="s">
        <v>146</v>
      </c>
      <c r="BJ122" s="7">
        <f t="shared" si="1"/>
        <v>-2.352702565662701E-2</v>
      </c>
    </row>
    <row r="123" spans="56:62">
      <c r="BD123" s="5">
        <v>197.55</v>
      </c>
      <c r="BE123" s="5">
        <v>197.82</v>
      </c>
      <c r="BF123" s="5">
        <v>193.66</v>
      </c>
      <c r="BG123" s="5">
        <v>194.75</v>
      </c>
      <c r="BH123" s="5">
        <v>272446</v>
      </c>
      <c r="BI123" s="5" t="s">
        <v>145</v>
      </c>
      <c r="BJ123" s="7">
        <f t="shared" si="1"/>
        <v>1.4377406931964209E-2</v>
      </c>
    </row>
    <row r="124" spans="56:62">
      <c r="BD124" s="5">
        <v>194.81</v>
      </c>
      <c r="BE124" s="5">
        <v>196.41</v>
      </c>
      <c r="BF124" s="5">
        <v>190.51</v>
      </c>
      <c r="BG124" s="5">
        <v>191.96</v>
      </c>
      <c r="BH124" s="5">
        <v>273502</v>
      </c>
      <c r="BI124" s="5" t="s">
        <v>144</v>
      </c>
      <c r="BJ124" s="7">
        <f t="shared" si="1"/>
        <v>1.4846843092310769E-2</v>
      </c>
    </row>
    <row r="125" spans="56:62">
      <c r="BD125" s="5">
        <v>190.81</v>
      </c>
      <c r="BE125" s="5">
        <v>194.64</v>
      </c>
      <c r="BF125" s="5">
        <v>190.08</v>
      </c>
      <c r="BG125" s="5">
        <v>194.64</v>
      </c>
      <c r="BH125" s="5">
        <v>244036</v>
      </c>
      <c r="BI125" s="5" t="s">
        <v>143</v>
      </c>
      <c r="BJ125" s="7">
        <f t="shared" si="1"/>
        <v>-1.9677353062063196E-2</v>
      </c>
    </row>
    <row r="126" spans="56:62">
      <c r="BD126" s="5">
        <v>194.73</v>
      </c>
      <c r="BE126" s="5">
        <v>198.89</v>
      </c>
      <c r="BF126" s="5">
        <v>192.26</v>
      </c>
      <c r="BG126" s="5">
        <v>197.59</v>
      </c>
      <c r="BH126" s="5">
        <v>243639</v>
      </c>
      <c r="BI126" s="5" t="s">
        <v>142</v>
      </c>
      <c r="BJ126" s="7">
        <f t="shared" si="1"/>
        <v>-1.4474416721494077E-2</v>
      </c>
    </row>
    <row r="127" spans="56:62">
      <c r="BD127" s="5">
        <v>194.99</v>
      </c>
      <c r="BE127" s="5">
        <v>197.09</v>
      </c>
      <c r="BF127" s="5">
        <v>189.94</v>
      </c>
      <c r="BG127" s="5">
        <v>192.18</v>
      </c>
      <c r="BH127" s="5">
        <v>304184</v>
      </c>
      <c r="BI127" s="5" t="s">
        <v>141</v>
      </c>
      <c r="BJ127" s="7">
        <f t="shared" si="1"/>
        <v>1.4621708814652967E-2</v>
      </c>
    </row>
    <row r="128" spans="56:62">
      <c r="BD128" s="5">
        <v>193.02</v>
      </c>
      <c r="BE128" s="5">
        <v>194.01</v>
      </c>
      <c r="BF128" s="5">
        <v>187.84</v>
      </c>
      <c r="BG128" s="5">
        <v>190.83</v>
      </c>
      <c r="BH128" s="5">
        <v>248342</v>
      </c>
      <c r="BI128" s="5" t="s">
        <v>140</v>
      </c>
      <c r="BJ128" s="7">
        <f t="shared" si="1"/>
        <v>1.1476182990095785E-2</v>
      </c>
    </row>
    <row r="129" spans="56:62">
      <c r="BD129" s="5">
        <v>191.56</v>
      </c>
      <c r="BE129" s="5">
        <v>194.55</v>
      </c>
      <c r="BF129" s="5">
        <v>186.965</v>
      </c>
      <c r="BG129" s="5">
        <v>193.93</v>
      </c>
      <c r="BH129" s="5">
        <v>274310</v>
      </c>
      <c r="BI129" s="5" t="s">
        <v>139</v>
      </c>
      <c r="BJ129" s="7">
        <f t="shared" si="1"/>
        <v>-1.22209044500593E-2</v>
      </c>
    </row>
    <row r="130" spans="56:62">
      <c r="BD130" s="5">
        <v>194.31</v>
      </c>
      <c r="BE130" s="5">
        <v>194.44</v>
      </c>
      <c r="BF130" s="5">
        <v>191.12</v>
      </c>
      <c r="BG130" s="5">
        <v>191.12</v>
      </c>
      <c r="BH130" s="5">
        <v>296876</v>
      </c>
      <c r="BI130" s="5" t="s">
        <v>138</v>
      </c>
      <c r="BJ130" s="7">
        <f t="shared" si="1"/>
        <v>1.6691084135621592E-2</v>
      </c>
    </row>
    <row r="131" spans="56:62">
      <c r="BD131" s="5">
        <v>191.55</v>
      </c>
      <c r="BE131" s="5">
        <v>195.02</v>
      </c>
      <c r="BF131" s="5">
        <v>189.47</v>
      </c>
      <c r="BG131" s="5">
        <v>193.27</v>
      </c>
      <c r="BH131" s="5">
        <v>159095</v>
      </c>
      <c r="BI131" s="5" t="s">
        <v>137</v>
      </c>
      <c r="BJ131" s="7">
        <f t="shared" si="1"/>
        <v>-8.8994670667977838E-3</v>
      </c>
    </row>
    <row r="132" spans="56:62">
      <c r="BD132" s="5">
        <v>191.63</v>
      </c>
      <c r="BE132" s="5">
        <v>192.1</v>
      </c>
      <c r="BF132" s="5">
        <v>186.09</v>
      </c>
      <c r="BG132" s="5">
        <v>189.71</v>
      </c>
      <c r="BH132" s="5">
        <v>282054</v>
      </c>
      <c r="BI132" s="5" t="s">
        <v>136</v>
      </c>
      <c r="BJ132" s="7">
        <f t="shared" si="1"/>
        <v>1.0120710558220392E-2</v>
      </c>
    </row>
    <row r="133" spans="56:62">
      <c r="BD133" s="5">
        <v>186.89</v>
      </c>
      <c r="BE133" s="5">
        <v>191.96</v>
      </c>
      <c r="BF133" s="5">
        <v>185.13</v>
      </c>
      <c r="BG133" s="5">
        <v>191.96</v>
      </c>
      <c r="BH133" s="5">
        <v>380320</v>
      </c>
      <c r="BI133" s="5" t="s">
        <v>135</v>
      </c>
      <c r="BJ133" s="7">
        <f t="shared" si="1"/>
        <v>-2.6411752448426862E-2</v>
      </c>
    </row>
    <row r="134" spans="56:62">
      <c r="BD134" s="5">
        <v>191.4</v>
      </c>
      <c r="BE134" s="5">
        <v>195.95</v>
      </c>
      <c r="BF134" s="5">
        <v>191.35</v>
      </c>
      <c r="BG134" s="5">
        <v>195.86</v>
      </c>
      <c r="BH134" s="5">
        <v>332508</v>
      </c>
      <c r="BI134" s="5" t="s">
        <v>134</v>
      </c>
      <c r="BJ134" s="7">
        <f t="shared" si="1"/>
        <v>-2.2771367303175749E-2</v>
      </c>
    </row>
    <row r="135" spans="56:62">
      <c r="BD135" s="5">
        <v>194.9</v>
      </c>
      <c r="BE135" s="5">
        <v>198.95750000000001</v>
      </c>
      <c r="BF135" s="5">
        <v>194.655</v>
      </c>
      <c r="BG135" s="5">
        <v>196.09</v>
      </c>
      <c r="BH135" s="5">
        <v>276361</v>
      </c>
      <c r="BI135" s="5" t="s">
        <v>133</v>
      </c>
      <c r="BJ135" s="7">
        <f t="shared" si="1"/>
        <v>-6.0686419501249089E-3</v>
      </c>
    </row>
    <row r="136" spans="56:62">
      <c r="BD136" s="5">
        <v>195</v>
      </c>
      <c r="BE136" s="5">
        <v>200.77500000000001</v>
      </c>
      <c r="BF136" s="5">
        <v>194.72499999999999</v>
      </c>
      <c r="BG136" s="5">
        <v>200.22</v>
      </c>
      <c r="BH136" s="5">
        <v>835823</v>
      </c>
      <c r="BI136" s="5" t="s">
        <v>132</v>
      </c>
      <c r="BJ136" s="7">
        <f t="shared" ref="BJ136:BJ199" si="2">BD136/BG136-1</f>
        <v>-2.6071321546299098E-2</v>
      </c>
    </row>
    <row r="137" spans="56:62">
      <c r="BD137" s="5">
        <v>200.82</v>
      </c>
      <c r="BE137" s="5">
        <v>203.28</v>
      </c>
      <c r="BF137" s="5">
        <v>198.09559999999999</v>
      </c>
      <c r="BG137" s="5">
        <v>201</v>
      </c>
      <c r="BH137" s="5">
        <v>370035</v>
      </c>
      <c r="BI137" s="5" t="s">
        <v>131</v>
      </c>
      <c r="BJ137" s="7">
        <f t="shared" si="2"/>
        <v>-8.9552238805978845E-4</v>
      </c>
    </row>
    <row r="138" spans="56:62">
      <c r="BD138" s="5">
        <v>195.58</v>
      </c>
      <c r="BE138" s="5">
        <v>199.66</v>
      </c>
      <c r="BF138" s="5">
        <v>188.75</v>
      </c>
      <c r="BG138" s="5">
        <v>189.71</v>
      </c>
      <c r="BH138" s="5">
        <v>464298</v>
      </c>
      <c r="BI138" s="5" t="s">
        <v>130</v>
      </c>
      <c r="BJ138" s="7">
        <f t="shared" si="2"/>
        <v>3.0941964050392734E-2</v>
      </c>
    </row>
    <row r="139" spans="56:62">
      <c r="BD139" s="5">
        <v>187.06</v>
      </c>
      <c r="BE139" s="5">
        <v>192.92</v>
      </c>
      <c r="BF139" s="5">
        <v>185.07</v>
      </c>
      <c r="BG139" s="5">
        <v>188.18</v>
      </c>
      <c r="BH139" s="5">
        <v>406336</v>
      </c>
      <c r="BI139" s="5" t="s">
        <v>129</v>
      </c>
      <c r="BJ139" s="7">
        <f t="shared" si="2"/>
        <v>-5.9517483260708159E-3</v>
      </c>
    </row>
    <row r="140" spans="56:62">
      <c r="BD140" s="5">
        <v>187.65</v>
      </c>
      <c r="BE140" s="5">
        <v>191.29</v>
      </c>
      <c r="BF140" s="5">
        <v>184.8</v>
      </c>
      <c r="BG140" s="5">
        <v>187.29</v>
      </c>
      <c r="BH140" s="5">
        <v>497037</v>
      </c>
      <c r="BI140" s="5" t="s">
        <v>128</v>
      </c>
      <c r="BJ140" s="7">
        <f t="shared" si="2"/>
        <v>1.922152811148603E-3</v>
      </c>
    </row>
    <row r="141" spans="56:62">
      <c r="BD141" s="5">
        <v>186.94</v>
      </c>
      <c r="BE141" s="5">
        <v>200.01</v>
      </c>
      <c r="BF141" s="5">
        <v>186.78</v>
      </c>
      <c r="BG141" s="5">
        <v>199.31</v>
      </c>
      <c r="BH141" s="5">
        <v>601133</v>
      </c>
      <c r="BI141" s="5" t="s">
        <v>127</v>
      </c>
      <c r="BJ141" s="7">
        <f t="shared" si="2"/>
        <v>-6.2064121218202817E-2</v>
      </c>
    </row>
    <row r="142" spans="56:62">
      <c r="BD142" s="5">
        <v>200.01</v>
      </c>
      <c r="BE142" s="5">
        <v>203.63</v>
      </c>
      <c r="BF142" s="5">
        <v>198.06</v>
      </c>
      <c r="BG142" s="5">
        <v>202.03</v>
      </c>
      <c r="BH142" s="5">
        <v>257034</v>
      </c>
      <c r="BI142" s="5" t="s">
        <v>126</v>
      </c>
      <c r="BJ142" s="7">
        <f t="shared" si="2"/>
        <v>-9.9985150720190985E-3</v>
      </c>
    </row>
    <row r="143" spans="56:62">
      <c r="BD143" s="5">
        <v>202.31</v>
      </c>
      <c r="BE143" s="5">
        <v>205.23</v>
      </c>
      <c r="BF143" s="5">
        <v>198.87</v>
      </c>
      <c r="BG143" s="5">
        <v>201.88</v>
      </c>
      <c r="BH143" s="5">
        <v>393491</v>
      </c>
      <c r="BI143" s="5" t="s">
        <v>125</v>
      </c>
      <c r="BJ143" s="7">
        <f t="shared" si="2"/>
        <v>2.129978204874261E-3</v>
      </c>
    </row>
    <row r="144" spans="56:62">
      <c r="BD144" s="5">
        <v>204.12</v>
      </c>
      <c r="BE144" s="5">
        <v>207.81</v>
      </c>
      <c r="BF144" s="5">
        <v>194.78</v>
      </c>
      <c r="BG144" s="5">
        <v>194.78</v>
      </c>
      <c r="BH144" s="5">
        <v>445925</v>
      </c>
      <c r="BI144" s="5" t="s">
        <v>124</v>
      </c>
      <c r="BJ144" s="7">
        <f t="shared" si="2"/>
        <v>4.7951535065201778E-2</v>
      </c>
    </row>
    <row r="145" spans="56:62">
      <c r="BD145" s="5">
        <v>195.08</v>
      </c>
      <c r="BE145" s="5">
        <v>204.8</v>
      </c>
      <c r="BF145" s="5">
        <v>194.86</v>
      </c>
      <c r="BG145" s="5">
        <v>203.98</v>
      </c>
      <c r="BH145" s="5">
        <v>550892</v>
      </c>
      <c r="BI145" s="5" t="s">
        <v>123</v>
      </c>
      <c r="BJ145" s="7">
        <f t="shared" si="2"/>
        <v>-4.3631728600843078E-2</v>
      </c>
    </row>
    <row r="146" spans="56:62">
      <c r="BD146" s="5">
        <v>203.73</v>
      </c>
      <c r="BE146" s="5">
        <v>205.99590000000001</v>
      </c>
      <c r="BF146" s="5">
        <v>199.93</v>
      </c>
      <c r="BG146" s="5">
        <v>204.46</v>
      </c>
      <c r="BH146" s="5">
        <v>539207</v>
      </c>
      <c r="BI146" s="5" t="s">
        <v>122</v>
      </c>
      <c r="BJ146" s="7">
        <f t="shared" si="2"/>
        <v>-3.5703805145261835E-3</v>
      </c>
    </row>
    <row r="147" spans="56:62">
      <c r="BD147" s="5">
        <v>204.04</v>
      </c>
      <c r="BE147" s="5">
        <v>205.51</v>
      </c>
      <c r="BF147" s="5">
        <v>199.99</v>
      </c>
      <c r="BG147" s="5">
        <v>202.39</v>
      </c>
      <c r="BH147" s="5">
        <v>306028</v>
      </c>
      <c r="BI147" s="5" t="s">
        <v>121</v>
      </c>
      <c r="BJ147" s="7">
        <f t="shared" si="2"/>
        <v>8.1525767083354683E-3</v>
      </c>
    </row>
    <row r="148" spans="56:62">
      <c r="BD148" s="5">
        <v>202.55</v>
      </c>
      <c r="BE148" s="5">
        <v>209.68</v>
      </c>
      <c r="BF148" s="5">
        <v>202.17</v>
      </c>
      <c r="BG148" s="5">
        <v>204.11</v>
      </c>
      <c r="BH148" s="5">
        <v>340274</v>
      </c>
      <c r="BI148" s="5" t="s">
        <v>120</v>
      </c>
      <c r="BJ148" s="7">
        <f t="shared" si="2"/>
        <v>-7.6429376316692332E-3</v>
      </c>
    </row>
    <row r="149" spans="56:62">
      <c r="BD149" s="5">
        <v>204.97</v>
      </c>
      <c r="BE149" s="5">
        <v>209.245</v>
      </c>
      <c r="BF149" s="5">
        <v>203.01</v>
      </c>
      <c r="BG149" s="5">
        <v>203.01</v>
      </c>
      <c r="BH149" s="5">
        <v>358909</v>
      </c>
      <c r="BI149" s="5" t="s">
        <v>119</v>
      </c>
      <c r="BJ149" s="7">
        <f t="shared" si="2"/>
        <v>9.6546968129649358E-3</v>
      </c>
    </row>
    <row r="150" spans="56:62">
      <c r="BD150" s="5">
        <v>202.32</v>
      </c>
      <c r="BE150" s="5">
        <v>203.83500000000001</v>
      </c>
      <c r="BF150" s="5">
        <v>199.86</v>
      </c>
      <c r="BG150" s="5">
        <v>202.35</v>
      </c>
      <c r="BH150" s="5">
        <v>267470</v>
      </c>
      <c r="BI150" s="5" t="s">
        <v>118</v>
      </c>
      <c r="BJ150" s="7">
        <f t="shared" si="2"/>
        <v>-1.482579688658614E-4</v>
      </c>
    </row>
    <row r="151" spans="56:62">
      <c r="BD151" s="5">
        <v>202.4</v>
      </c>
      <c r="BE151" s="5">
        <v>204.93</v>
      </c>
      <c r="BF151" s="5">
        <v>201.4</v>
      </c>
      <c r="BG151" s="5">
        <v>202.24</v>
      </c>
      <c r="BH151" s="5">
        <v>286392</v>
      </c>
      <c r="BI151" s="5" t="s">
        <v>117</v>
      </c>
      <c r="BJ151" s="7">
        <f t="shared" si="2"/>
        <v>7.9113924050622231E-4</v>
      </c>
    </row>
    <row r="152" spans="56:62">
      <c r="BD152" s="5">
        <v>200.46</v>
      </c>
      <c r="BE152" s="5">
        <v>204.35</v>
      </c>
      <c r="BF152" s="5">
        <v>197.98</v>
      </c>
      <c r="BG152" s="5">
        <v>203.36</v>
      </c>
      <c r="BH152" s="5">
        <v>323259</v>
      </c>
      <c r="BI152" s="5" t="s">
        <v>116</v>
      </c>
      <c r="BJ152" s="7">
        <f t="shared" si="2"/>
        <v>-1.4260424862313159E-2</v>
      </c>
    </row>
    <row r="153" spans="56:62">
      <c r="BD153" s="5">
        <v>203.16</v>
      </c>
      <c r="BE153" s="5">
        <v>203.99</v>
      </c>
      <c r="BF153" s="5">
        <v>199.39500000000001</v>
      </c>
      <c r="BG153" s="5">
        <v>200.53</v>
      </c>
      <c r="BH153" s="5">
        <v>334792</v>
      </c>
      <c r="BI153" s="5" t="s">
        <v>115</v>
      </c>
      <c r="BJ153" s="7">
        <f t="shared" si="2"/>
        <v>1.3115244601805243E-2</v>
      </c>
    </row>
    <row r="154" spans="56:62">
      <c r="BD154" s="5">
        <v>202.07</v>
      </c>
      <c r="BE154" s="5">
        <v>210.01499999999999</v>
      </c>
      <c r="BF154" s="5">
        <v>201.98</v>
      </c>
      <c r="BG154" s="5">
        <v>209.54</v>
      </c>
      <c r="BH154" s="5">
        <v>420489</v>
      </c>
      <c r="BI154" s="5" t="s">
        <v>114</v>
      </c>
      <c r="BJ154" s="7">
        <f t="shared" si="2"/>
        <v>-3.5649517991791502E-2</v>
      </c>
    </row>
    <row r="155" spans="56:62">
      <c r="BD155" s="5">
        <v>210.12</v>
      </c>
      <c r="BE155" s="5">
        <v>211.185</v>
      </c>
      <c r="BF155" s="5">
        <v>198.66</v>
      </c>
      <c r="BG155" s="5">
        <v>199.24</v>
      </c>
      <c r="BH155" s="5">
        <v>983455</v>
      </c>
      <c r="BI155" s="5" t="s">
        <v>113</v>
      </c>
      <c r="BJ155" s="7">
        <f t="shared" si="2"/>
        <v>5.4607508532423132E-2</v>
      </c>
    </row>
    <row r="156" spans="56:62">
      <c r="BD156" s="5">
        <v>197.57</v>
      </c>
      <c r="BE156" s="5">
        <v>200.16</v>
      </c>
      <c r="BF156" s="5">
        <v>195.03</v>
      </c>
      <c r="BG156" s="5">
        <v>196</v>
      </c>
      <c r="BH156" s="5">
        <v>382720</v>
      </c>
      <c r="BI156" s="5" t="s">
        <v>112</v>
      </c>
      <c r="BJ156" s="7">
        <f t="shared" si="2"/>
        <v>8.0102040816325548E-3</v>
      </c>
    </row>
    <row r="157" spans="56:62">
      <c r="BD157" s="5">
        <v>195.21</v>
      </c>
      <c r="BE157" s="5">
        <v>195.94499999999999</v>
      </c>
      <c r="BF157" s="5">
        <v>191.52</v>
      </c>
      <c r="BG157" s="5">
        <v>193.19</v>
      </c>
      <c r="BH157" s="5">
        <v>331885</v>
      </c>
      <c r="BI157" s="5" t="s">
        <v>111</v>
      </c>
      <c r="BJ157" s="7">
        <f t="shared" si="2"/>
        <v>1.0456027744707441E-2</v>
      </c>
    </row>
    <row r="158" spans="56:62">
      <c r="BD158" s="5">
        <v>192.07</v>
      </c>
      <c r="BE158" s="5">
        <v>192.77</v>
      </c>
      <c r="BF158" s="5">
        <v>187.99</v>
      </c>
      <c r="BG158" s="5">
        <v>190.67</v>
      </c>
      <c r="BH158" s="5">
        <v>550211</v>
      </c>
      <c r="BI158" s="5" t="s">
        <v>110</v>
      </c>
      <c r="BJ158" s="7">
        <f t="shared" si="2"/>
        <v>7.3425289767661273E-3</v>
      </c>
    </row>
    <row r="159" spans="56:62">
      <c r="BD159" s="5">
        <v>191.45</v>
      </c>
      <c r="BE159" s="5">
        <v>194.44</v>
      </c>
      <c r="BF159" s="5">
        <v>188.62</v>
      </c>
      <c r="BG159" s="5">
        <v>190.23</v>
      </c>
      <c r="BH159" s="5">
        <v>419716</v>
      </c>
      <c r="BI159" s="5" t="s">
        <v>109</v>
      </c>
      <c r="BJ159" s="7">
        <f t="shared" si="2"/>
        <v>6.4132891762602728E-3</v>
      </c>
    </row>
    <row r="160" spans="56:62">
      <c r="BD160" s="5">
        <v>190.51</v>
      </c>
      <c r="BE160" s="5">
        <v>191.16</v>
      </c>
      <c r="BF160" s="5">
        <v>186.68</v>
      </c>
      <c r="BG160" s="5">
        <v>188.88</v>
      </c>
      <c r="BH160" s="5">
        <v>320096</v>
      </c>
      <c r="BI160" s="5" t="s">
        <v>108</v>
      </c>
      <c r="BJ160" s="7">
        <f t="shared" si="2"/>
        <v>8.6298178737822528E-3</v>
      </c>
    </row>
    <row r="161" spans="56:62">
      <c r="BD161" s="5">
        <v>189.26</v>
      </c>
      <c r="BE161" s="5">
        <v>192.05</v>
      </c>
      <c r="BF161" s="5">
        <v>184.19</v>
      </c>
      <c r="BG161" s="5">
        <v>184.29</v>
      </c>
      <c r="BH161" s="5">
        <v>520750</v>
      </c>
      <c r="BI161" s="5" t="s">
        <v>107</v>
      </c>
      <c r="BJ161" s="7">
        <f t="shared" si="2"/>
        <v>2.6968365076781131E-2</v>
      </c>
    </row>
    <row r="162" spans="56:62">
      <c r="BD162" s="5">
        <v>183.1</v>
      </c>
      <c r="BE162" s="5">
        <v>187.845</v>
      </c>
      <c r="BF162" s="5">
        <v>181.13</v>
      </c>
      <c r="BG162" s="5">
        <v>186.75</v>
      </c>
      <c r="BH162" s="5">
        <v>545044</v>
      </c>
      <c r="BI162" s="5" t="s">
        <v>106</v>
      </c>
      <c r="BJ162" s="7">
        <f t="shared" si="2"/>
        <v>-1.9544846050870146E-2</v>
      </c>
    </row>
    <row r="163" spans="56:62">
      <c r="BD163" s="5">
        <v>186.94</v>
      </c>
      <c r="BE163" s="5">
        <v>194.51</v>
      </c>
      <c r="BF163" s="5">
        <v>174.23</v>
      </c>
      <c r="BG163" s="5">
        <v>177.29</v>
      </c>
      <c r="BH163" s="5">
        <v>1046475</v>
      </c>
      <c r="BI163" s="5" t="s">
        <v>105</v>
      </c>
      <c r="BJ163" s="7">
        <f t="shared" si="2"/>
        <v>5.4430593942128791E-2</v>
      </c>
    </row>
    <row r="164" spans="56:62">
      <c r="BD164" s="5">
        <v>168.79</v>
      </c>
      <c r="BE164" s="5">
        <v>172.42</v>
      </c>
      <c r="BF164" s="5">
        <v>168.3</v>
      </c>
      <c r="BG164" s="5">
        <v>169.45</v>
      </c>
      <c r="BH164" s="5">
        <v>383916</v>
      </c>
      <c r="BI164" s="5" t="s">
        <v>104</v>
      </c>
      <c r="BJ164" s="7">
        <f t="shared" si="2"/>
        <v>-3.8949542637946033E-3</v>
      </c>
    </row>
    <row r="165" spans="56:62">
      <c r="BD165" s="5">
        <v>170.03</v>
      </c>
      <c r="BE165" s="5">
        <v>171.27</v>
      </c>
      <c r="BF165" s="5">
        <v>166.64</v>
      </c>
      <c r="BG165" s="5">
        <v>170.11</v>
      </c>
      <c r="BH165" s="5">
        <v>294006</v>
      </c>
      <c r="BI165" s="5" t="s">
        <v>103</v>
      </c>
      <c r="BJ165" s="7">
        <f t="shared" si="2"/>
        <v>-4.7028393392523071E-4</v>
      </c>
    </row>
    <row r="166" spans="56:62">
      <c r="BD166" s="5">
        <v>169.38</v>
      </c>
      <c r="BE166" s="5">
        <v>170.13</v>
      </c>
      <c r="BF166" s="5">
        <v>164.42</v>
      </c>
      <c r="BG166" s="5">
        <v>164.42</v>
      </c>
      <c r="BH166" s="5">
        <v>349259</v>
      </c>
      <c r="BI166" s="5" t="s">
        <v>102</v>
      </c>
      <c r="BJ166" s="7">
        <f t="shared" si="2"/>
        <v>3.0166646393382957E-2</v>
      </c>
    </row>
    <row r="167" spans="56:62">
      <c r="BD167" s="5">
        <v>163.63999999999999</v>
      </c>
      <c r="BE167" s="5">
        <v>172.16</v>
      </c>
      <c r="BF167" s="5">
        <v>163.63</v>
      </c>
      <c r="BG167" s="5">
        <v>171.57</v>
      </c>
      <c r="BH167" s="5">
        <v>451656</v>
      </c>
      <c r="BI167" s="5" t="s">
        <v>101</v>
      </c>
      <c r="BJ167" s="7">
        <f t="shared" si="2"/>
        <v>-4.6220201666958172E-2</v>
      </c>
    </row>
    <row r="168" spans="56:62">
      <c r="BD168" s="5">
        <v>171.44</v>
      </c>
      <c r="BE168" s="5">
        <v>177.9932</v>
      </c>
      <c r="BF168" s="5">
        <v>171.41</v>
      </c>
      <c r="BG168" s="5">
        <v>177.46</v>
      </c>
      <c r="BH168" s="5">
        <v>551861</v>
      </c>
      <c r="BI168" s="5" t="s">
        <v>100</v>
      </c>
      <c r="BJ168" s="7">
        <f t="shared" si="2"/>
        <v>-3.3923137608475207E-2</v>
      </c>
    </row>
    <row r="169" spans="56:62">
      <c r="BD169" s="5">
        <v>177.56</v>
      </c>
      <c r="BE169" s="5">
        <v>181.44</v>
      </c>
      <c r="BF169" s="5">
        <v>169.84</v>
      </c>
      <c r="BG169" s="5">
        <v>170.63</v>
      </c>
      <c r="BH169" s="5">
        <v>617380</v>
      </c>
      <c r="BI169" s="5" t="s">
        <v>99</v>
      </c>
      <c r="BJ169" s="7">
        <f t="shared" si="2"/>
        <v>4.0614194455840247E-2</v>
      </c>
    </row>
    <row r="170" spans="56:62">
      <c r="BD170" s="5">
        <v>175.51</v>
      </c>
      <c r="BE170" s="5">
        <v>180.5</v>
      </c>
      <c r="BF170" s="5">
        <v>167.76</v>
      </c>
      <c r="BG170" s="5">
        <v>169.91</v>
      </c>
      <c r="BH170" s="5">
        <v>850453</v>
      </c>
      <c r="BI170" s="5" t="s">
        <v>98</v>
      </c>
      <c r="BJ170" s="7">
        <f t="shared" si="2"/>
        <v>3.2958625154493548E-2</v>
      </c>
    </row>
    <row r="171" spans="56:62">
      <c r="BD171" s="5">
        <v>171.25</v>
      </c>
      <c r="BE171" s="5">
        <v>172.85</v>
      </c>
      <c r="BF171" s="5">
        <v>160.18</v>
      </c>
      <c r="BG171" s="5">
        <v>168.73</v>
      </c>
      <c r="BH171" s="5">
        <v>726531</v>
      </c>
      <c r="BI171" s="5" t="s">
        <v>97</v>
      </c>
      <c r="BJ171" s="7">
        <f t="shared" si="2"/>
        <v>1.493510341966453E-2</v>
      </c>
    </row>
    <row r="172" spans="56:62">
      <c r="BD172" s="5">
        <v>167.09</v>
      </c>
      <c r="BE172" s="5">
        <v>176.745</v>
      </c>
      <c r="BF172" s="5">
        <v>148</v>
      </c>
      <c r="BG172" s="5">
        <v>151.97999999999999</v>
      </c>
      <c r="BH172" s="5">
        <v>2326977</v>
      </c>
      <c r="BI172" s="5" t="s">
        <v>96</v>
      </c>
      <c r="BJ172" s="7">
        <f t="shared" si="2"/>
        <v>9.942097644426906E-2</v>
      </c>
    </row>
    <row r="173" spans="56:62">
      <c r="BD173" s="5">
        <v>173.09</v>
      </c>
      <c r="BE173" s="5">
        <v>180.8</v>
      </c>
      <c r="BF173" s="5">
        <v>171.66</v>
      </c>
      <c r="BG173" s="5">
        <v>178.52</v>
      </c>
      <c r="BH173" s="5">
        <v>921460</v>
      </c>
      <c r="BI173" s="5" t="s">
        <v>95</v>
      </c>
      <c r="BJ173" s="7">
        <f t="shared" si="2"/>
        <v>-3.0416760026887757E-2</v>
      </c>
    </row>
    <row r="174" spans="56:62">
      <c r="BD174" s="5">
        <v>178.38</v>
      </c>
      <c r="BE174" s="5">
        <v>181.75</v>
      </c>
      <c r="BF174" s="5">
        <v>174.05</v>
      </c>
      <c r="BG174" s="5">
        <v>180.94</v>
      </c>
      <c r="BH174" s="5">
        <v>673391</v>
      </c>
      <c r="BI174" s="5" t="s">
        <v>94</v>
      </c>
      <c r="BJ174" s="7">
        <f t="shared" si="2"/>
        <v>-1.4148336465126587E-2</v>
      </c>
    </row>
    <row r="175" spans="56:62">
      <c r="BD175" s="5">
        <v>178.43</v>
      </c>
      <c r="BE175" s="5">
        <v>191.52500000000001</v>
      </c>
      <c r="BF175" s="5">
        <v>176.66</v>
      </c>
      <c r="BG175" s="5">
        <v>190.16</v>
      </c>
      <c r="BH175" s="5">
        <v>552683</v>
      </c>
      <c r="BI175" s="5" t="s">
        <v>93</v>
      </c>
      <c r="BJ175" s="7">
        <f t="shared" si="2"/>
        <v>-6.1684896928901889E-2</v>
      </c>
    </row>
    <row r="176" spans="56:62">
      <c r="BD176" s="5">
        <v>190.1</v>
      </c>
      <c r="BE176" s="5">
        <v>196.16</v>
      </c>
      <c r="BF176" s="5">
        <v>189.98</v>
      </c>
      <c r="BG176" s="5">
        <v>191.49</v>
      </c>
      <c r="BH176" s="5">
        <v>409808</v>
      </c>
      <c r="BI176" s="5" t="s">
        <v>92</v>
      </c>
      <c r="BJ176" s="7">
        <f t="shared" si="2"/>
        <v>-7.2588646926733391E-3</v>
      </c>
    </row>
    <row r="177" spans="56:62">
      <c r="BD177" s="5">
        <v>193.22</v>
      </c>
      <c r="BE177" s="5">
        <v>194.3</v>
      </c>
      <c r="BF177" s="5">
        <v>187.66</v>
      </c>
      <c r="BG177" s="5">
        <v>187.66</v>
      </c>
      <c r="BH177" s="5">
        <v>344929</v>
      </c>
      <c r="BI177" s="5" t="s">
        <v>91</v>
      </c>
      <c r="BJ177" s="7">
        <f t="shared" si="2"/>
        <v>2.9628050730043709E-2</v>
      </c>
    </row>
    <row r="178" spans="56:62">
      <c r="BD178" s="5">
        <v>188.3</v>
      </c>
      <c r="BE178" s="5">
        <v>192.2</v>
      </c>
      <c r="BF178" s="5">
        <v>188.24</v>
      </c>
      <c r="BG178" s="5">
        <v>192.2</v>
      </c>
      <c r="BH178" s="5">
        <v>383099</v>
      </c>
      <c r="BI178" s="5" t="s">
        <v>90</v>
      </c>
      <c r="BJ178" s="7">
        <f t="shared" si="2"/>
        <v>-2.0291363163371323E-2</v>
      </c>
    </row>
    <row r="179" spans="56:62">
      <c r="BD179" s="5">
        <v>192.25</v>
      </c>
      <c r="BE179" s="5">
        <v>192.48</v>
      </c>
      <c r="BF179" s="5">
        <v>184.95</v>
      </c>
      <c r="BG179" s="5">
        <v>190.95</v>
      </c>
      <c r="BH179" s="5">
        <v>207586</v>
      </c>
      <c r="BI179" s="5" t="s">
        <v>89</v>
      </c>
      <c r="BJ179" s="7">
        <f t="shared" si="2"/>
        <v>6.8080649384656411E-3</v>
      </c>
    </row>
    <row r="180" spans="56:62">
      <c r="BD180" s="5">
        <v>189.87</v>
      </c>
      <c r="BE180" s="5">
        <v>192.13</v>
      </c>
      <c r="BF180" s="5">
        <v>187.285</v>
      </c>
      <c r="BG180" s="5">
        <v>192.13</v>
      </c>
      <c r="BH180" s="5">
        <v>182531</v>
      </c>
      <c r="BI180" s="5" t="s">
        <v>88</v>
      </c>
      <c r="BJ180" s="7">
        <f t="shared" si="2"/>
        <v>-1.1762868890855094E-2</v>
      </c>
    </row>
    <row r="181" spans="56:62">
      <c r="BD181" s="5">
        <v>190.81</v>
      </c>
      <c r="BE181" s="5">
        <v>204.29</v>
      </c>
      <c r="BF181" s="5">
        <v>188.65</v>
      </c>
      <c r="BG181" s="5">
        <v>202.34</v>
      </c>
      <c r="BH181" s="5">
        <v>382245</v>
      </c>
      <c r="BI181" s="5" t="s">
        <v>87</v>
      </c>
      <c r="BJ181" s="7">
        <f t="shared" si="2"/>
        <v>-5.6983295443313264E-2</v>
      </c>
    </row>
    <row r="182" spans="56:62">
      <c r="BD182" s="5">
        <v>203.22</v>
      </c>
      <c r="BE182" s="5">
        <v>207.25</v>
      </c>
      <c r="BF182" s="5">
        <v>193.3</v>
      </c>
      <c r="BG182" s="5">
        <v>194.73</v>
      </c>
      <c r="BH182" s="5">
        <v>672376</v>
      </c>
      <c r="BI182" s="5" t="s">
        <v>86</v>
      </c>
      <c r="BJ182" s="7">
        <f t="shared" si="2"/>
        <v>4.3598829148051133E-2</v>
      </c>
    </row>
    <row r="183" spans="56:62">
      <c r="BD183" s="5">
        <v>196.75</v>
      </c>
      <c r="BE183" s="5">
        <v>198.37</v>
      </c>
      <c r="BF183" s="5">
        <v>190.88</v>
      </c>
      <c r="BG183" s="5">
        <v>191.6</v>
      </c>
      <c r="BH183" s="5">
        <v>455098</v>
      </c>
      <c r="BI183" s="5" t="s">
        <v>85</v>
      </c>
      <c r="BJ183" s="7">
        <f t="shared" si="2"/>
        <v>2.6878914405010557E-2</v>
      </c>
    </row>
    <row r="184" spans="56:62">
      <c r="BD184" s="5">
        <v>191.68</v>
      </c>
      <c r="BE184" s="5">
        <v>193.58</v>
      </c>
      <c r="BF184" s="5">
        <v>188.35249999999999</v>
      </c>
      <c r="BG184" s="5">
        <v>190.83</v>
      </c>
      <c r="BH184" s="5">
        <v>449346</v>
      </c>
      <c r="BI184" s="5" t="s">
        <v>84</v>
      </c>
      <c r="BJ184" s="7">
        <f t="shared" si="2"/>
        <v>4.454226274694717E-3</v>
      </c>
    </row>
    <row r="185" spans="56:62">
      <c r="BD185" s="5">
        <v>190.83</v>
      </c>
      <c r="BE185" s="5">
        <v>194.58</v>
      </c>
      <c r="BF185" s="5">
        <v>187.44</v>
      </c>
      <c r="BG185" s="5">
        <v>187.44</v>
      </c>
      <c r="BH185" s="5">
        <v>389981</v>
      </c>
      <c r="BI185" s="5" t="s">
        <v>83</v>
      </c>
      <c r="BJ185" s="7">
        <f t="shared" si="2"/>
        <v>1.8085787451984636E-2</v>
      </c>
    </row>
    <row r="186" spans="56:62">
      <c r="BD186" s="5">
        <v>186.29</v>
      </c>
      <c r="BE186" s="5">
        <v>186.68</v>
      </c>
      <c r="BF186" s="5">
        <v>179.75</v>
      </c>
      <c r="BG186" s="5">
        <v>181.02</v>
      </c>
      <c r="BH186" s="5">
        <v>341402</v>
      </c>
      <c r="BI186" s="5" t="s">
        <v>82</v>
      </c>
      <c r="BJ186" s="7">
        <f t="shared" si="2"/>
        <v>2.9112805214893234E-2</v>
      </c>
    </row>
    <row r="187" spans="56:62">
      <c r="BD187" s="5">
        <v>179.46</v>
      </c>
      <c r="BE187" s="5">
        <v>179.69</v>
      </c>
      <c r="BF187" s="5">
        <v>177.27</v>
      </c>
      <c r="BG187" s="5">
        <v>178.83</v>
      </c>
      <c r="BH187" s="5">
        <v>315721</v>
      </c>
      <c r="BI187" s="5" t="s">
        <v>81</v>
      </c>
      <c r="BJ187" s="7">
        <f t="shared" si="2"/>
        <v>3.5228988424760299E-3</v>
      </c>
    </row>
    <row r="188" spans="56:62">
      <c r="BD188" s="5">
        <v>177.99</v>
      </c>
      <c r="BE188" s="5">
        <v>180.07499999999999</v>
      </c>
      <c r="BF188" s="5">
        <v>174.5</v>
      </c>
      <c r="BG188" s="5">
        <v>179.37</v>
      </c>
      <c r="BH188" s="5">
        <v>276994</v>
      </c>
      <c r="BI188" s="5" t="s">
        <v>80</v>
      </c>
      <c r="BJ188" s="7">
        <f t="shared" si="2"/>
        <v>-7.6935942465294893E-3</v>
      </c>
    </row>
    <row r="189" spans="56:62">
      <c r="BD189" s="5">
        <v>179.27</v>
      </c>
      <c r="BE189" s="5">
        <v>183.32</v>
      </c>
      <c r="BF189" s="5">
        <v>179.19</v>
      </c>
      <c r="BG189" s="5">
        <v>181.14</v>
      </c>
      <c r="BH189" s="5">
        <v>323643</v>
      </c>
      <c r="BI189" s="5" t="s">
        <v>79</v>
      </c>
      <c r="BJ189" s="7">
        <f t="shared" si="2"/>
        <v>-1.0323506679915995E-2</v>
      </c>
    </row>
    <row r="190" spans="56:62">
      <c r="BD190" s="5">
        <v>181.09</v>
      </c>
      <c r="BE190" s="5">
        <v>181.31</v>
      </c>
      <c r="BF190" s="5">
        <v>176.79</v>
      </c>
      <c r="BG190" s="5">
        <v>178.19</v>
      </c>
      <c r="BH190" s="5">
        <v>183884</v>
      </c>
      <c r="BI190" s="5" t="s">
        <v>78</v>
      </c>
      <c r="BJ190" s="7">
        <f t="shared" si="2"/>
        <v>1.6274762893540684E-2</v>
      </c>
    </row>
    <row r="191" spans="56:62">
      <c r="BD191" s="5">
        <v>177.42</v>
      </c>
      <c r="BE191" s="5">
        <v>178.21</v>
      </c>
      <c r="BF191" s="5">
        <v>175.1</v>
      </c>
      <c r="BG191" s="5">
        <v>176.32</v>
      </c>
      <c r="BH191" s="5">
        <v>130530</v>
      </c>
      <c r="BI191" s="5" t="s">
        <v>77</v>
      </c>
      <c r="BJ191" s="7">
        <f t="shared" si="2"/>
        <v>6.2386569872958653E-3</v>
      </c>
    </row>
    <row r="192" spans="56:62">
      <c r="BD192" s="5">
        <v>175.99</v>
      </c>
      <c r="BE192" s="5">
        <v>179.51</v>
      </c>
      <c r="BF192" s="5">
        <v>174.5</v>
      </c>
      <c r="BG192" s="5">
        <v>177.97</v>
      </c>
      <c r="BH192" s="5">
        <v>185703</v>
      </c>
      <c r="BI192" s="5" t="s">
        <v>76</v>
      </c>
      <c r="BJ192" s="7">
        <f t="shared" si="2"/>
        <v>-1.1125470584929964E-2</v>
      </c>
    </row>
    <row r="193" spans="56:62">
      <c r="BD193" s="5">
        <v>177.09</v>
      </c>
      <c r="BE193" s="5">
        <v>181.25</v>
      </c>
      <c r="BF193" s="5">
        <v>174.69</v>
      </c>
      <c r="BG193" s="5">
        <v>179.99</v>
      </c>
      <c r="BH193" s="5">
        <v>349594</v>
      </c>
      <c r="BI193" s="5" t="s">
        <v>75</v>
      </c>
      <c r="BJ193" s="7">
        <f t="shared" si="2"/>
        <v>-1.6112006222567921E-2</v>
      </c>
    </row>
    <row r="194" spans="56:62">
      <c r="BD194" s="5">
        <v>179.97</v>
      </c>
      <c r="BE194" s="5">
        <v>181.28989999999999</v>
      </c>
      <c r="BF194" s="5">
        <v>173.815</v>
      </c>
      <c r="BG194" s="5">
        <v>176.16</v>
      </c>
      <c r="BH194" s="5">
        <v>750545</v>
      </c>
      <c r="BI194" s="5" t="s">
        <v>74</v>
      </c>
      <c r="BJ194" s="7">
        <f t="shared" si="2"/>
        <v>2.1628065395095319E-2</v>
      </c>
    </row>
    <row r="195" spans="56:62">
      <c r="BD195" s="5">
        <v>174.9</v>
      </c>
      <c r="BE195" s="5">
        <v>175.08</v>
      </c>
      <c r="BF195" s="5">
        <v>171.77</v>
      </c>
      <c r="BG195" s="5">
        <v>174.25</v>
      </c>
      <c r="BH195" s="5">
        <v>339167</v>
      </c>
      <c r="BI195" s="5" t="s">
        <v>73</v>
      </c>
      <c r="BJ195" s="7">
        <f t="shared" si="2"/>
        <v>3.7302725968435535E-3</v>
      </c>
    </row>
    <row r="196" spans="56:62">
      <c r="BD196" s="5">
        <v>174.82</v>
      </c>
      <c r="BE196" s="5">
        <v>175.25</v>
      </c>
      <c r="BF196" s="5">
        <v>171.11</v>
      </c>
      <c r="BG196" s="5">
        <v>171.77</v>
      </c>
      <c r="BH196" s="5">
        <v>194761</v>
      </c>
      <c r="BI196" s="5" t="s">
        <v>72</v>
      </c>
      <c r="BJ196" s="7">
        <f t="shared" si="2"/>
        <v>1.7756302031786575E-2</v>
      </c>
    </row>
    <row r="197" spans="56:62">
      <c r="BD197" s="5">
        <v>172.27</v>
      </c>
      <c r="BE197" s="5">
        <v>175.55500000000001</v>
      </c>
      <c r="BF197" s="5">
        <v>172.15</v>
      </c>
      <c r="BG197" s="5">
        <v>174.62</v>
      </c>
      <c r="BH197" s="5">
        <v>320248</v>
      </c>
      <c r="BI197" s="5" t="s">
        <v>71</v>
      </c>
      <c r="BJ197" s="7">
        <f t="shared" si="2"/>
        <v>-1.3457794067117113E-2</v>
      </c>
    </row>
    <row r="198" spans="56:62">
      <c r="BD198" s="5">
        <v>174.4</v>
      </c>
      <c r="BE198" s="5">
        <v>178.68</v>
      </c>
      <c r="BF198" s="5">
        <v>174.04</v>
      </c>
      <c r="BG198" s="5">
        <v>178</v>
      </c>
      <c r="BH198" s="5">
        <v>358709</v>
      </c>
      <c r="BI198" s="5" t="s">
        <v>70</v>
      </c>
      <c r="BJ198" s="7">
        <f t="shared" si="2"/>
        <v>-2.0224719101123556E-2</v>
      </c>
    </row>
    <row r="199" spans="56:62">
      <c r="BD199" s="5">
        <v>178.56</v>
      </c>
      <c r="BE199" s="5">
        <v>180.48</v>
      </c>
      <c r="BF199" s="5">
        <v>175.96</v>
      </c>
      <c r="BG199" s="5">
        <v>176.75</v>
      </c>
      <c r="BH199" s="5">
        <v>516399</v>
      </c>
      <c r="BI199" s="5" t="s">
        <v>69</v>
      </c>
      <c r="BJ199" s="7">
        <f t="shared" si="2"/>
        <v>1.0240452616690154E-2</v>
      </c>
    </row>
    <row r="200" spans="56:62">
      <c r="BD200" s="5">
        <v>175.45</v>
      </c>
      <c r="BE200" s="5">
        <v>176.67</v>
      </c>
      <c r="BF200" s="5">
        <v>170.59</v>
      </c>
      <c r="BG200" s="5">
        <v>176.02</v>
      </c>
      <c r="BH200" s="5">
        <v>561509</v>
      </c>
      <c r="BI200" s="5" t="s">
        <v>68</v>
      </c>
      <c r="BJ200" s="7">
        <f t="shared" ref="BJ200:BJ256" si="3">BD200/BG200-1</f>
        <v>-3.238268378593423E-3</v>
      </c>
    </row>
    <row r="201" spans="56:62">
      <c r="BD201" s="5">
        <v>176.03</v>
      </c>
      <c r="BE201" s="5">
        <v>186.74</v>
      </c>
      <c r="BF201" s="5">
        <v>175.03</v>
      </c>
      <c r="BG201" s="5">
        <v>185.93</v>
      </c>
      <c r="BH201" s="5">
        <v>469421</v>
      </c>
      <c r="BI201" s="5" t="s">
        <v>67</v>
      </c>
      <c r="BJ201" s="7">
        <f t="shared" si="3"/>
        <v>-5.3245845210563192E-2</v>
      </c>
    </row>
    <row r="202" spans="56:62">
      <c r="BD202" s="5">
        <v>187.32</v>
      </c>
      <c r="BE202" s="5">
        <v>187.96</v>
      </c>
      <c r="BF202" s="5">
        <v>182.67</v>
      </c>
      <c r="BG202" s="5">
        <v>184.72</v>
      </c>
      <c r="BH202" s="5">
        <v>265474</v>
      </c>
      <c r="BI202" s="5" t="s">
        <v>66</v>
      </c>
      <c r="BJ202" s="7">
        <f t="shared" si="3"/>
        <v>1.4075357297531399E-2</v>
      </c>
    </row>
    <row r="203" spans="56:62">
      <c r="BD203" s="5">
        <v>187.78</v>
      </c>
      <c r="BE203" s="5">
        <v>188.47</v>
      </c>
      <c r="BF203" s="5">
        <v>185.095</v>
      </c>
      <c r="BG203" s="5">
        <v>187.47</v>
      </c>
      <c r="BH203" s="5">
        <v>203456</v>
      </c>
      <c r="BI203" s="5" t="s">
        <v>65</v>
      </c>
      <c r="BJ203" s="7">
        <f t="shared" si="3"/>
        <v>1.6535979089988828E-3</v>
      </c>
    </row>
    <row r="204" spans="56:62">
      <c r="BD204" s="5">
        <v>188</v>
      </c>
      <c r="BE204" s="5">
        <v>192.02500000000001</v>
      </c>
      <c r="BF204" s="5">
        <v>186.61</v>
      </c>
      <c r="BG204" s="5">
        <v>191.39</v>
      </c>
      <c r="BH204" s="5">
        <v>268585</v>
      </c>
      <c r="BI204" s="5" t="s">
        <v>64</v>
      </c>
      <c r="BJ204" s="7">
        <f t="shared" si="3"/>
        <v>-1.7712524165316768E-2</v>
      </c>
    </row>
    <row r="205" spans="56:62">
      <c r="BD205" s="5">
        <v>191.77</v>
      </c>
      <c r="BE205" s="5">
        <v>198.48</v>
      </c>
      <c r="BF205" s="5">
        <v>189.15</v>
      </c>
      <c r="BG205" s="5">
        <v>193.54</v>
      </c>
      <c r="BH205" s="5">
        <v>367221</v>
      </c>
      <c r="BI205" s="5" t="s">
        <v>63</v>
      </c>
      <c r="BJ205" s="7">
        <f t="shared" si="3"/>
        <v>-9.1453963005062588E-3</v>
      </c>
    </row>
    <row r="206" spans="56:62">
      <c r="BD206" s="5">
        <v>189.94</v>
      </c>
      <c r="BE206" s="5">
        <v>191.05</v>
      </c>
      <c r="BF206" s="5">
        <v>185.02</v>
      </c>
      <c r="BG206" s="5">
        <v>187.72</v>
      </c>
      <c r="BH206" s="5">
        <v>295989</v>
      </c>
      <c r="BI206" s="5" t="s">
        <v>62</v>
      </c>
      <c r="BJ206" s="7">
        <f t="shared" si="3"/>
        <v>1.1826124014489681E-2</v>
      </c>
    </row>
    <row r="207" spans="56:62">
      <c r="BD207" s="5">
        <v>188.06</v>
      </c>
      <c r="BE207" s="5">
        <v>192.315</v>
      </c>
      <c r="BF207" s="5">
        <v>184.1</v>
      </c>
      <c r="BG207" s="5">
        <v>187.33</v>
      </c>
      <c r="BH207" s="5">
        <v>515041</v>
      </c>
      <c r="BI207" s="5" t="s">
        <v>61</v>
      </c>
      <c r="BJ207" s="7">
        <f t="shared" si="3"/>
        <v>3.8968664922862661E-3</v>
      </c>
    </row>
    <row r="208" spans="56:62">
      <c r="BD208" s="5">
        <v>188.95</v>
      </c>
      <c r="BE208" s="5">
        <v>194.97</v>
      </c>
      <c r="BF208" s="5">
        <v>187.06</v>
      </c>
      <c r="BG208" s="5">
        <v>194.97</v>
      </c>
      <c r="BH208" s="5">
        <v>584448</v>
      </c>
      <c r="BI208" s="5" t="s">
        <v>60</v>
      </c>
      <c r="BJ208" s="7">
        <f t="shared" si="3"/>
        <v>-3.0876545109504105E-2</v>
      </c>
    </row>
    <row r="209" spans="56:62">
      <c r="BD209" s="5">
        <v>196.41</v>
      </c>
      <c r="BE209" s="5">
        <v>198.61</v>
      </c>
      <c r="BF209" s="5">
        <v>191.59</v>
      </c>
      <c r="BG209" s="5">
        <v>192.47</v>
      </c>
      <c r="BH209" s="5">
        <v>547231</v>
      </c>
      <c r="BI209" s="5" t="s">
        <v>59</v>
      </c>
      <c r="BJ209" s="7">
        <f t="shared" si="3"/>
        <v>2.0470722710032696E-2</v>
      </c>
    </row>
    <row r="210" spans="56:62">
      <c r="BD210" s="5">
        <v>193.29</v>
      </c>
      <c r="BE210" s="5">
        <v>195.39619999999999</v>
      </c>
      <c r="BF210" s="5">
        <v>191.46</v>
      </c>
      <c r="BG210" s="5">
        <v>191.46</v>
      </c>
      <c r="BH210" s="5">
        <v>279781</v>
      </c>
      <c r="BI210" s="5" t="s">
        <v>58</v>
      </c>
      <c r="BJ210" s="7">
        <f t="shared" si="3"/>
        <v>9.5581322469444618E-3</v>
      </c>
    </row>
    <row r="211" spans="56:62">
      <c r="BD211" s="5">
        <v>190.86</v>
      </c>
      <c r="BE211" s="5">
        <v>193.38</v>
      </c>
      <c r="BF211" s="5">
        <v>188</v>
      </c>
      <c r="BG211" s="5">
        <v>188</v>
      </c>
      <c r="BH211" s="5">
        <v>305841</v>
      </c>
      <c r="BI211" s="5" t="s">
        <v>57</v>
      </c>
      <c r="BJ211" s="7">
        <f t="shared" si="3"/>
        <v>1.5212765957446805E-2</v>
      </c>
    </row>
    <row r="212" spans="56:62">
      <c r="BD212" s="5">
        <v>188.04</v>
      </c>
      <c r="BE212" s="5">
        <v>192.47</v>
      </c>
      <c r="BF212" s="5">
        <v>186.83</v>
      </c>
      <c r="BG212" s="5">
        <v>190.38</v>
      </c>
      <c r="BH212" s="5">
        <v>285215</v>
      </c>
      <c r="BI212" s="5" t="s">
        <v>56</v>
      </c>
      <c r="BJ212" s="7">
        <f t="shared" si="3"/>
        <v>-1.2291207059565101E-2</v>
      </c>
    </row>
    <row r="213" spans="56:62">
      <c r="BD213" s="5">
        <v>189.47</v>
      </c>
      <c r="BE213" s="5">
        <v>191.17</v>
      </c>
      <c r="BF213" s="5">
        <v>187</v>
      </c>
      <c r="BG213" s="5">
        <v>188.55</v>
      </c>
      <c r="BH213" s="5">
        <v>435845</v>
      </c>
      <c r="BI213" s="5" t="s">
        <v>55</v>
      </c>
      <c r="BJ213" s="7">
        <f t="shared" si="3"/>
        <v>4.8793423495092636E-3</v>
      </c>
    </row>
    <row r="214" spans="56:62">
      <c r="BD214" s="5">
        <v>188.01</v>
      </c>
      <c r="BE214" s="5">
        <v>192.07</v>
      </c>
      <c r="BF214" s="5">
        <v>185.12</v>
      </c>
      <c r="BG214" s="5">
        <v>190.18</v>
      </c>
      <c r="BH214" s="5">
        <v>512191</v>
      </c>
      <c r="BI214" s="5" t="s">
        <v>54</v>
      </c>
      <c r="BJ214" s="7">
        <f t="shared" si="3"/>
        <v>-1.1410242927752723E-2</v>
      </c>
    </row>
    <row r="215" spans="56:62">
      <c r="BD215" s="5">
        <v>191.34</v>
      </c>
      <c r="BE215" s="5">
        <v>193.18</v>
      </c>
      <c r="BF215" s="5">
        <v>189.52500000000001</v>
      </c>
      <c r="BG215" s="5">
        <v>190.51</v>
      </c>
      <c r="BH215" s="5">
        <v>211101</v>
      </c>
      <c r="BI215" s="5" t="s">
        <v>53</v>
      </c>
      <c r="BJ215" s="7">
        <f t="shared" si="3"/>
        <v>4.356726681014278E-3</v>
      </c>
    </row>
    <row r="216" spans="56:62">
      <c r="BD216" s="5">
        <v>192.81</v>
      </c>
      <c r="BE216" s="5">
        <v>194.12</v>
      </c>
      <c r="BF216" s="5">
        <v>191.155</v>
      </c>
      <c r="BG216" s="5">
        <v>193.65</v>
      </c>
      <c r="BH216" s="5">
        <v>230879</v>
      </c>
      <c r="BI216" s="5" t="s">
        <v>52</v>
      </c>
      <c r="BJ216" s="7">
        <f t="shared" si="3"/>
        <v>-4.3377226955848558E-3</v>
      </c>
    </row>
    <row r="217" spans="56:62">
      <c r="BD217" s="5">
        <v>193.66</v>
      </c>
      <c r="BE217" s="5">
        <v>196.25</v>
      </c>
      <c r="BF217" s="5">
        <v>190.96</v>
      </c>
      <c r="BG217" s="5">
        <v>190.96</v>
      </c>
      <c r="BH217" s="5">
        <v>193348</v>
      </c>
      <c r="BI217" s="5" t="s">
        <v>51</v>
      </c>
      <c r="BJ217" s="7">
        <f t="shared" si="3"/>
        <v>1.4139086719731742E-2</v>
      </c>
    </row>
    <row r="218" spans="56:62">
      <c r="BD218" s="5">
        <v>190.69</v>
      </c>
      <c r="BE218" s="5">
        <v>199.68690000000001</v>
      </c>
      <c r="BF218" s="5">
        <v>190.58</v>
      </c>
      <c r="BG218" s="5">
        <v>198.5</v>
      </c>
      <c r="BH218" s="5">
        <v>247586</v>
      </c>
      <c r="BI218" s="5" t="s">
        <v>50</v>
      </c>
      <c r="BJ218" s="7">
        <f t="shared" si="3"/>
        <v>-3.9345088161209074E-2</v>
      </c>
    </row>
    <row r="219" spans="56:62">
      <c r="BD219" s="5">
        <v>198.97</v>
      </c>
      <c r="BE219" s="5">
        <v>201.37</v>
      </c>
      <c r="BF219" s="5">
        <v>198.82</v>
      </c>
      <c r="BG219" s="5">
        <v>199.97</v>
      </c>
      <c r="BH219" s="5">
        <v>170699</v>
      </c>
      <c r="BI219" s="5" t="s">
        <v>49</v>
      </c>
      <c r="BJ219" s="7">
        <f t="shared" si="3"/>
        <v>-5.000750112516883E-3</v>
      </c>
    </row>
    <row r="220" spans="56:62">
      <c r="BD220" s="5">
        <v>200.23</v>
      </c>
      <c r="BE220" s="5">
        <v>201.15</v>
      </c>
      <c r="BF220" s="5">
        <v>198.47</v>
      </c>
      <c r="BG220" s="5">
        <v>200.68</v>
      </c>
      <c r="BH220" s="5">
        <v>166696</v>
      </c>
      <c r="BI220" s="5" t="s">
        <v>48</v>
      </c>
      <c r="BJ220" s="7">
        <f t="shared" si="3"/>
        <v>-2.2423759218657136E-3</v>
      </c>
    </row>
    <row r="221" spans="56:62">
      <c r="BD221" s="5">
        <v>201.44</v>
      </c>
      <c r="BE221" s="5">
        <v>204.12</v>
      </c>
      <c r="BF221" s="5">
        <v>199.6</v>
      </c>
      <c r="BG221" s="5">
        <v>203.54</v>
      </c>
      <c r="BH221" s="5">
        <v>166823</v>
      </c>
      <c r="BI221" s="5" t="s">
        <v>47</v>
      </c>
      <c r="BJ221" s="7">
        <f t="shared" si="3"/>
        <v>-1.0317382332710956E-2</v>
      </c>
    </row>
    <row r="222" spans="56:62">
      <c r="BD222" s="5">
        <v>203.53</v>
      </c>
      <c r="BE222" s="5">
        <v>204.09</v>
      </c>
      <c r="BF222" s="5">
        <v>200.69</v>
      </c>
      <c r="BG222" s="5">
        <v>201.5</v>
      </c>
      <c r="BH222" s="5">
        <v>220680</v>
      </c>
      <c r="BI222" s="5" t="s">
        <v>46</v>
      </c>
      <c r="BJ222" s="7">
        <f t="shared" si="3"/>
        <v>1.0074441687344837E-2</v>
      </c>
    </row>
    <row r="223" spans="56:62">
      <c r="BD223" s="5">
        <v>201.53</v>
      </c>
      <c r="BE223" s="5">
        <v>204.81</v>
      </c>
      <c r="BF223" s="5">
        <v>200.96</v>
      </c>
      <c r="BG223" s="5">
        <v>204.4</v>
      </c>
      <c r="BH223" s="5">
        <v>273269</v>
      </c>
      <c r="BI223" s="5" t="s">
        <v>45</v>
      </c>
      <c r="BJ223" s="7">
        <f t="shared" si="3"/>
        <v>-1.4041095890411026E-2</v>
      </c>
    </row>
    <row r="224" spans="56:62">
      <c r="BD224" s="5">
        <v>204.7</v>
      </c>
      <c r="BE224" s="5">
        <v>211.07</v>
      </c>
      <c r="BF224" s="5">
        <v>203.95</v>
      </c>
      <c r="BG224" s="5">
        <v>211.07</v>
      </c>
      <c r="BH224" s="5">
        <v>295161</v>
      </c>
      <c r="BI224" s="5" t="s">
        <v>44</v>
      </c>
      <c r="BJ224" s="7">
        <f t="shared" si="3"/>
        <v>-3.0179561282986711E-2</v>
      </c>
    </row>
    <row r="225" spans="56:62">
      <c r="BD225" s="5">
        <v>208.73</v>
      </c>
      <c r="BE225" s="5">
        <v>211.85</v>
      </c>
      <c r="BF225" s="5">
        <v>206.2012</v>
      </c>
      <c r="BG225" s="5">
        <v>206.28</v>
      </c>
      <c r="BH225" s="5">
        <v>188996</v>
      </c>
      <c r="BI225" s="5" t="s">
        <v>43</v>
      </c>
      <c r="BJ225" s="7">
        <f t="shared" si="3"/>
        <v>1.1877060306379583E-2</v>
      </c>
    </row>
    <row r="226" spans="56:62">
      <c r="BD226" s="5">
        <v>204.77</v>
      </c>
      <c r="BE226" s="5">
        <v>214.97</v>
      </c>
      <c r="BF226" s="5">
        <v>204.36500000000001</v>
      </c>
      <c r="BG226" s="5">
        <v>213.1</v>
      </c>
      <c r="BH226" s="5">
        <v>218417</v>
      </c>
      <c r="BI226" s="5" t="s">
        <v>42</v>
      </c>
      <c r="BJ226" s="7">
        <f t="shared" si="3"/>
        <v>-3.9089629282027194E-2</v>
      </c>
    </row>
    <row r="227" spans="56:62">
      <c r="BD227" s="5">
        <v>212.28</v>
      </c>
      <c r="BE227" s="5">
        <v>213.035</v>
      </c>
      <c r="BF227" s="5">
        <v>206.57</v>
      </c>
      <c r="BG227" s="5">
        <v>209.83</v>
      </c>
      <c r="BH227" s="5">
        <v>335546</v>
      </c>
      <c r="BI227" s="5" t="s">
        <v>41</v>
      </c>
      <c r="BJ227" s="7">
        <f t="shared" si="3"/>
        <v>1.167611876280783E-2</v>
      </c>
    </row>
    <row r="228" spans="56:62">
      <c r="BD228" s="5">
        <v>209.4</v>
      </c>
      <c r="BE228" s="5">
        <v>210.77</v>
      </c>
      <c r="BF228" s="5">
        <v>202.76</v>
      </c>
      <c r="BG228" s="5">
        <v>204.02</v>
      </c>
      <c r="BH228" s="5">
        <v>380712</v>
      </c>
      <c r="BI228" s="5" t="s">
        <v>40</v>
      </c>
      <c r="BJ228" s="7">
        <f t="shared" si="3"/>
        <v>2.6369963729046209E-2</v>
      </c>
    </row>
    <row r="229" spans="56:62">
      <c r="BD229" s="5">
        <v>203.09</v>
      </c>
      <c r="BE229" s="5">
        <v>220.4075</v>
      </c>
      <c r="BF229" s="5">
        <v>199.54</v>
      </c>
      <c r="BG229" s="5">
        <v>205.91</v>
      </c>
      <c r="BH229" s="5">
        <v>918833</v>
      </c>
      <c r="BI229" s="5" t="s">
        <v>39</v>
      </c>
      <c r="BJ229" s="7">
        <f t="shared" si="3"/>
        <v>-1.3695303773493261E-2</v>
      </c>
    </row>
    <row r="230" spans="56:62">
      <c r="BD230" s="5">
        <v>210</v>
      </c>
      <c r="BE230" s="5">
        <v>214.94</v>
      </c>
      <c r="BF230" s="5">
        <v>209.48519999999999</v>
      </c>
      <c r="BG230" s="5">
        <v>212.89</v>
      </c>
      <c r="BH230" s="5">
        <v>565627</v>
      </c>
      <c r="BI230" s="5" t="s">
        <v>38</v>
      </c>
      <c r="BJ230" s="7">
        <f t="shared" si="3"/>
        <v>-1.3575085725022196E-2</v>
      </c>
    </row>
    <row r="231" spans="56:62">
      <c r="BD231" s="5">
        <v>211.62</v>
      </c>
      <c r="BE231" s="5">
        <v>211.92</v>
      </c>
      <c r="BF231" s="5">
        <v>208.27</v>
      </c>
      <c r="BG231" s="5">
        <v>209.79</v>
      </c>
      <c r="BH231" s="5">
        <v>327016</v>
      </c>
      <c r="BI231" s="5" t="s">
        <v>37</v>
      </c>
      <c r="BJ231" s="7">
        <f t="shared" si="3"/>
        <v>8.723008723008796E-3</v>
      </c>
    </row>
    <row r="232" spans="56:62">
      <c r="BD232" s="5">
        <v>208.55</v>
      </c>
      <c r="BE232" s="5">
        <v>209.67</v>
      </c>
      <c r="BF232" s="5">
        <v>206.58</v>
      </c>
      <c r="BG232" s="5">
        <v>208.81</v>
      </c>
      <c r="BH232" s="5">
        <v>311088</v>
      </c>
      <c r="BI232" s="5" t="s">
        <v>36</v>
      </c>
      <c r="BJ232" s="7">
        <f t="shared" si="3"/>
        <v>-1.2451510942962374E-3</v>
      </c>
    </row>
    <row r="233" spans="56:62">
      <c r="BD233" s="5">
        <v>206.06</v>
      </c>
      <c r="BE233" s="5">
        <v>208.14</v>
      </c>
      <c r="BF233" s="5">
        <v>202.81</v>
      </c>
      <c r="BG233" s="5">
        <v>207.08</v>
      </c>
      <c r="BH233" s="5">
        <v>368376</v>
      </c>
      <c r="BI233" s="5" t="s">
        <v>35</v>
      </c>
      <c r="BJ233" s="7">
        <f t="shared" si="3"/>
        <v>-4.9256326057562916E-3</v>
      </c>
    </row>
    <row r="234" spans="56:62">
      <c r="BD234" s="5">
        <v>205.29</v>
      </c>
      <c r="BE234" s="5">
        <v>208.7799</v>
      </c>
      <c r="BF234" s="5">
        <v>196.48</v>
      </c>
      <c r="BG234" s="5">
        <v>196.69</v>
      </c>
      <c r="BH234" s="5">
        <v>544684</v>
      </c>
      <c r="BI234" s="5" t="s">
        <v>34</v>
      </c>
      <c r="BJ234" s="7">
        <f t="shared" si="3"/>
        <v>4.3723626010473415E-2</v>
      </c>
    </row>
    <row r="235" spans="56:62">
      <c r="BD235" s="5">
        <v>196.47</v>
      </c>
      <c r="BE235" s="5">
        <v>203.2604</v>
      </c>
      <c r="BF235" s="5">
        <v>196.23</v>
      </c>
      <c r="BG235" s="5">
        <v>201.11</v>
      </c>
      <c r="BH235" s="5">
        <v>302761</v>
      </c>
      <c r="BI235" s="5" t="s">
        <v>33</v>
      </c>
      <c r="BJ235" s="7">
        <f t="shared" si="3"/>
        <v>-2.3071950673760666E-2</v>
      </c>
    </row>
    <row r="236" spans="56:62">
      <c r="BD236" s="5">
        <v>202.04</v>
      </c>
      <c r="BE236" s="5">
        <v>207.66849999999999</v>
      </c>
      <c r="BF236" s="5">
        <v>199.32</v>
      </c>
      <c r="BG236" s="5">
        <v>205.83</v>
      </c>
      <c r="BH236" s="5">
        <v>361558</v>
      </c>
      <c r="BI236" s="5" t="s">
        <v>32</v>
      </c>
      <c r="BJ236" s="7">
        <f t="shared" si="3"/>
        <v>-1.8413253655929718E-2</v>
      </c>
    </row>
    <row r="237" spans="56:62">
      <c r="BD237" s="5">
        <v>204.41</v>
      </c>
      <c r="BE237" s="5">
        <v>207.17</v>
      </c>
      <c r="BF237" s="5">
        <v>203.1</v>
      </c>
      <c r="BG237" s="5">
        <v>206.4</v>
      </c>
      <c r="BH237" s="5">
        <v>290642</v>
      </c>
      <c r="BI237" s="5" t="s">
        <v>31</v>
      </c>
      <c r="BJ237" s="7">
        <f t="shared" si="3"/>
        <v>-9.6414728682171491E-3</v>
      </c>
    </row>
    <row r="238" spans="56:62">
      <c r="BD238" s="5">
        <v>205.5</v>
      </c>
      <c r="BE238" s="5">
        <v>206.66</v>
      </c>
      <c r="BF238" s="5">
        <v>201.01</v>
      </c>
      <c r="BG238" s="5">
        <v>204.22</v>
      </c>
      <c r="BH238" s="5">
        <v>261670</v>
      </c>
      <c r="BI238" s="5" t="s">
        <v>30</v>
      </c>
      <c r="BJ238" s="7">
        <f t="shared" si="3"/>
        <v>6.2677504651846849E-3</v>
      </c>
    </row>
    <row r="239" spans="56:62">
      <c r="BD239" s="5">
        <v>206.15</v>
      </c>
      <c r="BE239" s="5">
        <v>209.005</v>
      </c>
      <c r="BF239" s="5">
        <v>204.12</v>
      </c>
      <c r="BG239" s="5">
        <v>207.31</v>
      </c>
      <c r="BH239" s="5">
        <v>336365</v>
      </c>
      <c r="BI239" s="5" t="s">
        <v>29</v>
      </c>
      <c r="BJ239" s="7">
        <f t="shared" si="3"/>
        <v>-5.5954850224301245E-3</v>
      </c>
    </row>
    <row r="240" spans="56:62">
      <c r="BD240" s="5">
        <v>205.7</v>
      </c>
      <c r="BE240" s="5">
        <v>207.21</v>
      </c>
      <c r="BF240" s="5">
        <v>203.095</v>
      </c>
      <c r="BG240" s="5">
        <v>203.9</v>
      </c>
      <c r="BH240" s="5">
        <v>391951</v>
      </c>
      <c r="BI240" s="5" t="s">
        <v>28</v>
      </c>
      <c r="BJ240" s="7">
        <f t="shared" si="3"/>
        <v>8.8278567925452744E-3</v>
      </c>
    </row>
    <row r="241" spans="56:62">
      <c r="BD241" s="5">
        <v>203</v>
      </c>
      <c r="BE241" s="5">
        <v>206.36</v>
      </c>
      <c r="BF241" s="5">
        <v>200.8</v>
      </c>
      <c r="BG241" s="5">
        <v>204.04</v>
      </c>
      <c r="BH241" s="5">
        <v>348377</v>
      </c>
      <c r="BI241" s="5" t="s">
        <v>27</v>
      </c>
      <c r="BJ241" s="7">
        <f t="shared" si="3"/>
        <v>-5.0970397961184188E-3</v>
      </c>
    </row>
    <row r="242" spans="56:62">
      <c r="BD242" s="5">
        <v>202.72</v>
      </c>
      <c r="BE242" s="5">
        <v>204.10990000000001</v>
      </c>
      <c r="BF242" s="5">
        <v>199.38</v>
      </c>
      <c r="BG242" s="5">
        <v>202.7</v>
      </c>
      <c r="BH242" s="5">
        <v>338662</v>
      </c>
      <c r="BI242" s="5" t="s">
        <v>26</v>
      </c>
      <c r="BJ242" s="7">
        <f t="shared" si="3"/>
        <v>9.8667982239897256E-5</v>
      </c>
    </row>
    <row r="243" spans="56:62">
      <c r="BD243" s="5">
        <v>201.84</v>
      </c>
      <c r="BE243" s="5">
        <v>208.595</v>
      </c>
      <c r="BF243" s="5">
        <v>200.96</v>
      </c>
      <c r="BG243" s="5">
        <v>208.15</v>
      </c>
      <c r="BH243" s="5">
        <v>330454</v>
      </c>
      <c r="BI243" s="5" t="s">
        <v>25</v>
      </c>
      <c r="BJ243" s="7">
        <f t="shared" si="3"/>
        <v>-3.031467691568579E-2</v>
      </c>
    </row>
    <row r="244" spans="56:62">
      <c r="BD244" s="5">
        <v>208.68</v>
      </c>
      <c r="BE244" s="5">
        <v>211.4</v>
      </c>
      <c r="BF244" s="5">
        <v>208.4</v>
      </c>
      <c r="BG244" s="5">
        <v>209.48</v>
      </c>
      <c r="BH244" s="5">
        <v>346505</v>
      </c>
      <c r="BI244" s="5" t="s">
        <v>24</v>
      </c>
      <c r="BJ244" s="7">
        <f t="shared" si="3"/>
        <v>-3.8189803322512539E-3</v>
      </c>
    </row>
    <row r="245" spans="56:62">
      <c r="BD245" s="5">
        <v>210.05</v>
      </c>
      <c r="BE245" s="5">
        <v>212.77</v>
      </c>
      <c r="BF245" s="5">
        <v>207.04</v>
      </c>
      <c r="BG245" s="5">
        <v>209.29</v>
      </c>
      <c r="BH245" s="5">
        <v>232495</v>
      </c>
      <c r="BI245" s="5" t="s">
        <v>23</v>
      </c>
      <c r="BJ245" s="7">
        <f t="shared" si="3"/>
        <v>3.6313249558030947E-3</v>
      </c>
    </row>
    <row r="246" spans="56:62">
      <c r="BD246" s="5">
        <v>210.19</v>
      </c>
      <c r="BE246" s="5">
        <v>221.13</v>
      </c>
      <c r="BF246" s="5">
        <v>210.16</v>
      </c>
      <c r="BG246" s="5">
        <v>219.24</v>
      </c>
      <c r="BH246" s="5">
        <v>208831</v>
      </c>
      <c r="BI246" s="5" t="s">
        <v>22</v>
      </c>
      <c r="BJ246" s="7">
        <f t="shared" si="3"/>
        <v>-4.1278963692756854E-2</v>
      </c>
    </row>
    <row r="247" spans="56:62">
      <c r="BD247" s="5">
        <v>217.45</v>
      </c>
      <c r="BE247" s="5">
        <v>222.30500000000001</v>
      </c>
      <c r="BF247" s="5">
        <v>216.78</v>
      </c>
      <c r="BG247" s="5">
        <v>220.09</v>
      </c>
      <c r="BH247" s="5">
        <v>171287</v>
      </c>
      <c r="BI247" s="5" t="s">
        <v>21</v>
      </c>
      <c r="BJ247" s="7">
        <f t="shared" si="3"/>
        <v>-1.1995092916534222E-2</v>
      </c>
    </row>
    <row r="248" spans="56:62">
      <c r="BD248" s="5">
        <v>222.46</v>
      </c>
      <c r="BE248" s="5">
        <v>224.3</v>
      </c>
      <c r="BF248" s="5">
        <v>219.26499999999999</v>
      </c>
      <c r="BG248" s="5">
        <v>223.55</v>
      </c>
      <c r="BH248" s="5">
        <v>206905</v>
      </c>
      <c r="BI248" s="5" t="s">
        <v>20</v>
      </c>
      <c r="BJ248" s="7">
        <f t="shared" si="3"/>
        <v>-4.87586669648854E-3</v>
      </c>
    </row>
    <row r="249" spans="56:62">
      <c r="BD249" s="5">
        <v>221.1</v>
      </c>
      <c r="BE249" s="5">
        <v>221.85</v>
      </c>
      <c r="BF249" s="5">
        <v>216.34</v>
      </c>
      <c r="BG249" s="5">
        <v>218.91</v>
      </c>
      <c r="BH249" s="5">
        <v>192515</v>
      </c>
      <c r="BI249" s="5" t="s">
        <v>19</v>
      </c>
      <c r="BJ249" s="7">
        <f t="shared" si="3"/>
        <v>1.0004111278607564E-2</v>
      </c>
    </row>
    <row r="250" spans="56:62">
      <c r="BD250" s="5">
        <v>222.91</v>
      </c>
      <c r="BE250" s="5">
        <v>223.8</v>
      </c>
      <c r="BF250" s="5">
        <v>220.58</v>
      </c>
      <c r="BG250" s="5">
        <v>221.99</v>
      </c>
      <c r="BH250" s="5">
        <v>234655</v>
      </c>
      <c r="BI250" s="5" t="s">
        <v>18</v>
      </c>
      <c r="BJ250" s="7">
        <f t="shared" si="3"/>
        <v>4.1443308257127498E-3</v>
      </c>
    </row>
    <row r="251" spans="56:62">
      <c r="BD251" s="5">
        <v>220.07</v>
      </c>
      <c r="BE251" s="5">
        <v>224</v>
      </c>
      <c r="BF251" s="5">
        <v>217.6</v>
      </c>
      <c r="BG251" s="5">
        <v>223.66</v>
      </c>
      <c r="BH251" s="5">
        <v>303372</v>
      </c>
      <c r="BI251" s="5" t="s">
        <v>17</v>
      </c>
      <c r="BJ251" s="7">
        <f t="shared" si="3"/>
        <v>-1.6051149065545944E-2</v>
      </c>
    </row>
    <row r="252" spans="56:62">
      <c r="BD252" s="5">
        <v>223.95</v>
      </c>
      <c r="BE252" s="5">
        <v>226.27</v>
      </c>
      <c r="BF252" s="5">
        <v>214.84</v>
      </c>
      <c r="BG252" s="5">
        <v>216.27</v>
      </c>
      <c r="BH252" s="5">
        <v>489384</v>
      </c>
      <c r="BI252" s="5" t="s">
        <v>16</v>
      </c>
      <c r="BJ252" s="7">
        <f t="shared" si="3"/>
        <v>3.5511166597308907E-2</v>
      </c>
    </row>
    <row r="253" spans="56:62">
      <c r="BD253" s="5">
        <v>215.46</v>
      </c>
      <c r="BE253" s="5">
        <v>218.6</v>
      </c>
      <c r="BF253" s="5">
        <v>214.72</v>
      </c>
      <c r="BG253" s="5">
        <v>216.04</v>
      </c>
      <c r="BH253" s="5">
        <v>333139</v>
      </c>
      <c r="BI253" s="5" t="s">
        <v>15</v>
      </c>
      <c r="BJ253" s="7">
        <f t="shared" si="3"/>
        <v>-2.6846880207368473E-3</v>
      </c>
    </row>
    <row r="254" spans="56:62">
      <c r="BD254" s="5">
        <v>215</v>
      </c>
      <c r="BE254" s="5">
        <v>215.34</v>
      </c>
      <c r="BF254" s="5">
        <v>209.45</v>
      </c>
      <c r="BG254" s="5">
        <v>209.83</v>
      </c>
      <c r="BH254" s="5">
        <v>279310</v>
      </c>
      <c r="BI254" s="5" t="s">
        <v>14</v>
      </c>
      <c r="BJ254" s="7">
        <f t="shared" si="3"/>
        <v>2.4638993470905035E-2</v>
      </c>
    </row>
    <row r="255" spans="56:62">
      <c r="BD255" s="5">
        <v>211.5</v>
      </c>
      <c r="BE255" s="5">
        <v>215.26</v>
      </c>
      <c r="BF255" s="5">
        <v>209.99</v>
      </c>
      <c r="BG255" s="5">
        <v>214.99</v>
      </c>
      <c r="BH255" s="5">
        <v>296945</v>
      </c>
      <c r="BI255" s="5" t="s">
        <v>13</v>
      </c>
      <c r="BJ255" s="7">
        <f t="shared" si="3"/>
        <v>-1.62333131773571E-2</v>
      </c>
    </row>
    <row r="256" spans="56:62">
      <c r="BD256" s="5">
        <v>217.39</v>
      </c>
      <c r="BE256" s="5">
        <v>224.19499999999999</v>
      </c>
      <c r="BF256" s="5">
        <v>215.33500000000001</v>
      </c>
      <c r="BG256" s="5">
        <v>223.18</v>
      </c>
      <c r="BH256" s="5">
        <v>305822</v>
      </c>
      <c r="BI256" s="5" t="s">
        <v>12</v>
      </c>
      <c r="BJ256" s="7">
        <f t="shared" si="3"/>
        <v>-2.5943184873196579E-2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D48B8-C1DC-475F-B824-D0955DC9E3BC}">
  <dimension ref="A1"/>
  <sheetViews>
    <sheetView zoomScale="85" zoomScaleNormal="85" workbookViewId="0"/>
  </sheetViews>
  <sheetFormatPr defaultRowHeight="15"/>
  <cols>
    <col min="1" max="1" width="3"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0CB61-C448-4FEF-9745-025A105357D1}">
  <dimension ref="B2"/>
  <sheetViews>
    <sheetView zoomScale="85" zoomScaleNormal="85" workbookViewId="0">
      <selection activeCell="B2" sqref="B2"/>
    </sheetView>
  </sheetViews>
  <sheetFormatPr defaultRowHeight="15"/>
  <cols>
    <col min="1" max="1" width="2.85546875" customWidth="1"/>
  </cols>
  <sheetData>
    <row r="2" spans="2:2">
      <c r="B2" t="s">
        <v>617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13BF4-9697-4046-8C3C-D7E3DCD82664}">
  <dimension ref="A1"/>
  <sheetViews>
    <sheetView zoomScale="85" zoomScaleNormal="85" workbookViewId="0"/>
  </sheetViews>
  <sheetFormatPr defaultRowHeight="15"/>
  <cols>
    <col min="1" max="1" width="3"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 Overview</vt:lpstr>
      <vt:lpstr>Model</vt:lpstr>
      <vt:lpstr>Notes | Quant Analysis</vt:lpstr>
      <vt:lpstr>Markets | Product Lines</vt:lpstr>
      <vt:lpstr>Management</vt:lpstr>
      <vt:lpstr>Clinical Trail Channel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Jacob H</cp:lastModifiedBy>
  <dcterms:created xsi:type="dcterms:W3CDTF">2015-06-05T18:17:20Z</dcterms:created>
  <dcterms:modified xsi:type="dcterms:W3CDTF">2025-04-15T03:40:31Z</dcterms:modified>
</cp:coreProperties>
</file>