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Technology\"/>
    </mc:Choice>
  </mc:AlternateContent>
  <xr:revisionPtr revIDLastSave="0" documentId="13_ncr:1_{B04C14F0-0A55-41CC-97BA-4AE22177B91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4" i="2" l="1"/>
  <c r="C7" i="1"/>
  <c r="C6" i="1"/>
  <c r="CL9" i="2"/>
  <c r="CK9" i="2"/>
  <c r="CJ9" i="2"/>
  <c r="CI9" i="2"/>
  <c r="CH9" i="2"/>
  <c r="CG9" i="2"/>
  <c r="CF9" i="2"/>
  <c r="CE9" i="2"/>
  <c r="CD9" i="2"/>
  <c r="CC9" i="2"/>
  <c r="AJ28" i="2"/>
  <c r="AK28" i="2"/>
  <c r="AL28" i="2"/>
  <c r="AM28" i="2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Q42" i="2" l="1"/>
  <c r="AO2" i="2" l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AK73" i="2" l="1"/>
  <c r="AK69" i="2"/>
  <c r="AK68" i="2"/>
  <c r="AK67" i="2"/>
  <c r="AK66" i="2"/>
  <c r="AK65" i="2"/>
  <c r="AM39" i="2"/>
  <c r="AL42" i="2"/>
  <c r="AK43" i="2"/>
  <c r="AJ44" i="2"/>
  <c r="AM45" i="2"/>
  <c r="AL46" i="2"/>
  <c r="AJ57" i="2"/>
  <c r="AJ73" i="2"/>
  <c r="AJ69" i="2"/>
  <c r="AJ68" i="2"/>
  <c r="AJ67" i="2"/>
  <c r="AJ66" i="2"/>
  <c r="AJ65" i="2"/>
  <c r="AJ61" i="2"/>
  <c r="AJ59" i="2"/>
  <c r="AJ58" i="2"/>
  <c r="AJ56" i="2"/>
  <c r="AJ55" i="2"/>
  <c r="AJ54" i="2"/>
  <c r="AJ53" i="2"/>
  <c r="AJ50" i="2"/>
  <c r="AJ49" i="2"/>
  <c r="AJ48" i="2"/>
  <c r="AJ47" i="2"/>
  <c r="AJ46" i="2"/>
  <c r="AJ45" i="2"/>
  <c r="AJ43" i="2"/>
  <c r="AJ42" i="2"/>
  <c r="AJ41" i="2"/>
  <c r="AJ40" i="2"/>
  <c r="AJ39" i="2"/>
  <c r="AJ21" i="2"/>
  <c r="AK21" i="2"/>
  <c r="AL61" i="2"/>
  <c r="AL59" i="2"/>
  <c r="AL58" i="2"/>
  <c r="AL57" i="2"/>
  <c r="AL56" i="2"/>
  <c r="AL55" i="2"/>
  <c r="AL54" i="2"/>
  <c r="AL53" i="2"/>
  <c r="AL50" i="2"/>
  <c r="AL49" i="2"/>
  <c r="AL48" i="2"/>
  <c r="AL47" i="2"/>
  <c r="AL45" i="2"/>
  <c r="AL44" i="2"/>
  <c r="AL43" i="2"/>
  <c r="AL41" i="2"/>
  <c r="AL40" i="2"/>
  <c r="AL39" i="2"/>
  <c r="AM61" i="2"/>
  <c r="AM59" i="2"/>
  <c r="AM58" i="2"/>
  <c r="AM57" i="2"/>
  <c r="AM56" i="2"/>
  <c r="AM55" i="2"/>
  <c r="AM54" i="2"/>
  <c r="AM53" i="2"/>
  <c r="AM50" i="2"/>
  <c r="AM49" i="2"/>
  <c r="AM48" i="2"/>
  <c r="AM47" i="2"/>
  <c r="AM46" i="2"/>
  <c r="AM44" i="2"/>
  <c r="AM43" i="2"/>
  <c r="AM42" i="2"/>
  <c r="AM41" i="2"/>
  <c r="AM40" i="2"/>
  <c r="AK61" i="2" l="1"/>
  <c r="AK59" i="2"/>
  <c r="AK58" i="2"/>
  <c r="AK57" i="2"/>
  <c r="AK56" i="2"/>
  <c r="AK55" i="2"/>
  <c r="AK54" i="2"/>
  <c r="AK53" i="2"/>
  <c r="AK50" i="2"/>
  <c r="AK49" i="2"/>
  <c r="AK48" i="2"/>
  <c r="AK47" i="2"/>
  <c r="AK46" i="2"/>
  <c r="AK45" i="2"/>
  <c r="AK44" i="2"/>
  <c r="AK42" i="2"/>
  <c r="AK41" i="2"/>
  <c r="AK40" i="2"/>
  <c r="AK39" i="2"/>
  <c r="K69" i="2"/>
  <c r="N20" i="2"/>
  <c r="AL20" i="2" s="1"/>
  <c r="N68" i="2"/>
  <c r="AL68" i="2" s="1"/>
  <c r="N67" i="2"/>
  <c r="AL67" i="2" s="1"/>
  <c r="N66" i="2"/>
  <c r="AL66" i="2" s="1"/>
  <c r="N65" i="2"/>
  <c r="AL65" i="2" s="1"/>
  <c r="N75" i="2"/>
  <c r="N73" i="2"/>
  <c r="AL73" i="2" s="1"/>
  <c r="R73" i="2"/>
  <c r="AM73" i="2" s="1"/>
  <c r="R68" i="2"/>
  <c r="AM68" i="2" s="1"/>
  <c r="R67" i="2"/>
  <c r="AM67" i="2" s="1"/>
  <c r="R66" i="2"/>
  <c r="AM66" i="2" s="1"/>
  <c r="R65" i="2"/>
  <c r="AM65" i="2" s="1"/>
  <c r="R26" i="2"/>
  <c r="AM26" i="2" s="1"/>
  <c r="R24" i="2"/>
  <c r="AM24" i="2" s="1"/>
  <c r="R23" i="2"/>
  <c r="AM23" i="2" s="1"/>
  <c r="R21" i="2"/>
  <c r="AM21" i="2" s="1"/>
  <c r="R20" i="2"/>
  <c r="AM20" i="2" s="1"/>
  <c r="R19" i="2"/>
  <c r="AM19" i="2" s="1"/>
  <c r="R18" i="2"/>
  <c r="AM18" i="2" s="1"/>
  <c r="R12" i="2"/>
  <c r="AM12" i="2" s="1"/>
  <c r="R11" i="2"/>
  <c r="R4" i="2"/>
  <c r="R3" i="2"/>
  <c r="AM3" i="2" s="1"/>
  <c r="AN3" i="2" s="1"/>
  <c r="R51" i="2"/>
  <c r="R60" i="2"/>
  <c r="R62" i="2" s="1"/>
  <c r="R75" i="2"/>
  <c r="O69" i="2"/>
  <c r="L69" i="2"/>
  <c r="P69" i="2"/>
  <c r="P75" i="2"/>
  <c r="O75" i="2"/>
  <c r="M75" i="2"/>
  <c r="L75" i="2"/>
  <c r="K75" i="2"/>
  <c r="J75" i="2"/>
  <c r="I75" i="2"/>
  <c r="H75" i="2"/>
  <c r="G75" i="2"/>
  <c r="F75" i="2"/>
  <c r="E75" i="2"/>
  <c r="D75" i="2"/>
  <c r="C75" i="2"/>
  <c r="Q75" i="2"/>
  <c r="R32" i="2" l="1"/>
  <c r="AK75" i="2"/>
  <c r="AM75" i="2"/>
  <c r="AO3" i="2"/>
  <c r="R13" i="2"/>
  <c r="R16" i="2" s="1"/>
  <c r="AM11" i="2"/>
  <c r="R5" i="2"/>
  <c r="R15" i="2" s="1"/>
  <c r="R17" i="2" s="1"/>
  <c r="R22" i="2" s="1"/>
  <c r="AM4" i="2"/>
  <c r="AN4" i="2" s="1"/>
  <c r="AO4" i="2" s="1"/>
  <c r="AP4" i="2" s="1"/>
  <c r="AQ4" i="2" s="1"/>
  <c r="AR4" i="2" s="1"/>
  <c r="AS4" i="2" s="1"/>
  <c r="AT4" i="2" s="1"/>
  <c r="AU4" i="2" s="1"/>
  <c r="AJ75" i="2"/>
  <c r="AL75" i="2"/>
  <c r="R31" i="2"/>
  <c r="M69" i="2"/>
  <c r="N69" i="2" s="1"/>
  <c r="F26" i="2"/>
  <c r="AJ26" i="2" s="1"/>
  <c r="F24" i="2"/>
  <c r="AJ24" i="2" s="1"/>
  <c r="F23" i="2"/>
  <c r="AJ23" i="2" s="1"/>
  <c r="F20" i="2"/>
  <c r="AJ20" i="2" s="1"/>
  <c r="F19" i="2"/>
  <c r="AJ19" i="2" s="1"/>
  <c r="F18" i="2"/>
  <c r="AJ18" i="2" s="1"/>
  <c r="F12" i="2"/>
  <c r="AJ12" i="2" s="1"/>
  <c r="F11" i="2"/>
  <c r="AJ11" i="2" s="1"/>
  <c r="F4" i="2"/>
  <c r="AJ4" i="2" s="1"/>
  <c r="F3" i="2"/>
  <c r="AJ3" i="2" s="1"/>
  <c r="Q69" i="2"/>
  <c r="R69" i="2" s="1"/>
  <c r="AM69" i="2" s="1"/>
  <c r="Q60" i="2"/>
  <c r="Q62" i="2" s="1"/>
  <c r="Q51" i="2"/>
  <c r="Q5" i="2"/>
  <c r="Q15" i="2" s="1"/>
  <c r="Q7" i="2"/>
  <c r="Q8" i="2"/>
  <c r="Q13" i="2"/>
  <c r="Q16" i="2" s="1"/>
  <c r="Q31" i="2"/>
  <c r="Q32" i="2"/>
  <c r="P31" i="2"/>
  <c r="G60" i="2"/>
  <c r="F60" i="2"/>
  <c r="F62" i="2" s="1"/>
  <c r="G51" i="2"/>
  <c r="F51" i="2"/>
  <c r="J18" i="2"/>
  <c r="AK18" i="2" s="1"/>
  <c r="J26" i="2"/>
  <c r="AK26" i="2" s="1"/>
  <c r="J24" i="2"/>
  <c r="AK24" i="2" s="1"/>
  <c r="J23" i="2"/>
  <c r="AK23" i="2" s="1"/>
  <c r="J20" i="2"/>
  <c r="AK20" i="2" s="1"/>
  <c r="J19" i="2"/>
  <c r="AK19" i="2" s="1"/>
  <c r="J12" i="2"/>
  <c r="AK12" i="2" s="1"/>
  <c r="J11" i="2"/>
  <c r="AK11" i="2" s="1"/>
  <c r="J4" i="2"/>
  <c r="AK4" i="2" s="1"/>
  <c r="J3" i="2"/>
  <c r="AK3" i="2" s="1"/>
  <c r="N26" i="2"/>
  <c r="AL26" i="2" s="1"/>
  <c r="N24" i="2"/>
  <c r="AL24" i="2" s="1"/>
  <c r="N23" i="2"/>
  <c r="AL23" i="2" s="1"/>
  <c r="N21" i="2"/>
  <c r="AL21" i="2" s="1"/>
  <c r="N19" i="2"/>
  <c r="AL19" i="2" s="1"/>
  <c r="K60" i="2"/>
  <c r="J60" i="2"/>
  <c r="J62" i="2" s="1"/>
  <c r="I60" i="2"/>
  <c r="I62" i="2" s="1"/>
  <c r="J51" i="2"/>
  <c r="I51" i="2"/>
  <c r="N18" i="2"/>
  <c r="AL18" i="2" s="1"/>
  <c r="N12" i="2"/>
  <c r="AL12" i="2" s="1"/>
  <c r="N11" i="2"/>
  <c r="AL11" i="2" s="1"/>
  <c r="N4" i="2"/>
  <c r="N3" i="2"/>
  <c r="AL3" i="2" s="1"/>
  <c r="N60" i="2"/>
  <c r="N62" i="2" s="1"/>
  <c r="L60" i="2"/>
  <c r="L62" i="2" s="1"/>
  <c r="K51" i="2"/>
  <c r="L51" i="2"/>
  <c r="N51" i="2"/>
  <c r="O51" i="2"/>
  <c r="M51" i="2"/>
  <c r="H51" i="2"/>
  <c r="E51" i="2"/>
  <c r="D51" i="2"/>
  <c r="C51" i="2"/>
  <c r="O60" i="2"/>
  <c r="M60" i="2"/>
  <c r="M62" i="2" s="1"/>
  <c r="H60" i="2"/>
  <c r="H62" i="2" s="1"/>
  <c r="E60" i="2"/>
  <c r="E62" i="2" s="1"/>
  <c r="D60" i="2"/>
  <c r="D62" i="2" s="1"/>
  <c r="C60" i="2"/>
  <c r="P60" i="2"/>
  <c r="P62" i="2" s="1"/>
  <c r="P51" i="2"/>
  <c r="O31" i="2"/>
  <c r="M31" i="2"/>
  <c r="K31" i="2"/>
  <c r="I31" i="2"/>
  <c r="H31" i="2"/>
  <c r="G31" i="2"/>
  <c r="E31" i="2"/>
  <c r="D31" i="2"/>
  <c r="C31" i="2"/>
  <c r="K32" i="2"/>
  <c r="I32" i="2"/>
  <c r="H32" i="2"/>
  <c r="G32" i="2"/>
  <c r="E32" i="2"/>
  <c r="D32" i="2"/>
  <c r="C32" i="2"/>
  <c r="P32" i="2"/>
  <c r="O32" i="2"/>
  <c r="M32" i="2"/>
  <c r="L32" i="2"/>
  <c r="L31" i="2"/>
  <c r="O13" i="2"/>
  <c r="M13" i="2"/>
  <c r="M16" i="2" s="1"/>
  <c r="L13" i="2"/>
  <c r="L16" i="2" s="1"/>
  <c r="K13" i="2"/>
  <c r="I13" i="2"/>
  <c r="I16" i="2" s="1"/>
  <c r="H13" i="2"/>
  <c r="H16" i="2" s="1"/>
  <c r="G13" i="2"/>
  <c r="E13" i="2"/>
  <c r="E16" i="2" s="1"/>
  <c r="D13" i="2"/>
  <c r="D16" i="2" s="1"/>
  <c r="C13" i="2"/>
  <c r="P13" i="2"/>
  <c r="P16" i="2" s="1"/>
  <c r="O8" i="2"/>
  <c r="M8" i="2"/>
  <c r="L8" i="2"/>
  <c r="K8" i="2"/>
  <c r="I8" i="2"/>
  <c r="H8" i="2"/>
  <c r="G8" i="2"/>
  <c r="O7" i="2"/>
  <c r="M7" i="2"/>
  <c r="L7" i="2"/>
  <c r="K7" i="2"/>
  <c r="I7" i="2"/>
  <c r="H7" i="2"/>
  <c r="G7" i="2"/>
  <c r="P8" i="2"/>
  <c r="P7" i="2"/>
  <c r="O5" i="2"/>
  <c r="M5" i="2"/>
  <c r="M15" i="2" s="1"/>
  <c r="L5" i="2"/>
  <c r="K5" i="2"/>
  <c r="I5" i="2"/>
  <c r="H5" i="2"/>
  <c r="G5" i="2"/>
  <c r="E5" i="2"/>
  <c r="D5" i="2"/>
  <c r="C5" i="2"/>
  <c r="P5" i="2"/>
  <c r="C5" i="1"/>
  <c r="C8" i="1" s="1"/>
  <c r="R34" i="2" l="1"/>
  <c r="AM32" i="2"/>
  <c r="AL4" i="2"/>
  <c r="R8" i="2"/>
  <c r="K62" i="2"/>
  <c r="AL62" i="2" s="1"/>
  <c r="AL60" i="2"/>
  <c r="AL69" i="2"/>
  <c r="AM51" i="2"/>
  <c r="AK51" i="2"/>
  <c r="R7" i="2"/>
  <c r="AM7" i="2" s="1"/>
  <c r="O16" i="2"/>
  <c r="AM16" i="2" s="1"/>
  <c r="AM13" i="2"/>
  <c r="C62" i="2"/>
  <c r="AJ62" i="2" s="1"/>
  <c r="AJ60" i="2"/>
  <c r="K15" i="2"/>
  <c r="G16" i="2"/>
  <c r="C15" i="2"/>
  <c r="G62" i="2"/>
  <c r="AK62" i="2" s="1"/>
  <c r="AK60" i="2"/>
  <c r="AM5" i="2"/>
  <c r="K16" i="2"/>
  <c r="O62" i="2"/>
  <c r="AM62" i="2" s="1"/>
  <c r="AM60" i="2"/>
  <c r="AJ51" i="2"/>
  <c r="AL51" i="2"/>
  <c r="AN5" i="2"/>
  <c r="AM8" i="2"/>
  <c r="AM31" i="2"/>
  <c r="C16" i="2"/>
  <c r="AP3" i="2"/>
  <c r="AO5" i="2"/>
  <c r="R33" i="2"/>
  <c r="R25" i="2"/>
  <c r="R27" i="2" s="1"/>
  <c r="J7" i="2"/>
  <c r="AK7" i="2" s="1"/>
  <c r="Q9" i="2"/>
  <c r="Q17" i="2"/>
  <c r="Q22" i="2" s="1"/>
  <c r="Q33" i="2"/>
  <c r="F32" i="2"/>
  <c r="F13" i="2"/>
  <c r="F16" i="2" s="1"/>
  <c r="F31" i="2"/>
  <c r="J8" i="2"/>
  <c r="AK8" i="2" s="1"/>
  <c r="F5" i="2"/>
  <c r="F15" i="2" s="1"/>
  <c r="J13" i="2"/>
  <c r="J16" i="2" s="1"/>
  <c r="J32" i="2"/>
  <c r="AK32" i="2" s="1"/>
  <c r="N8" i="2"/>
  <c r="AL8" i="2" s="1"/>
  <c r="J5" i="2"/>
  <c r="J15" i="2" s="1"/>
  <c r="J31" i="2"/>
  <c r="AK31" i="2" s="1"/>
  <c r="G33" i="2"/>
  <c r="N13" i="2"/>
  <c r="N16" i="2" s="1"/>
  <c r="N31" i="2"/>
  <c r="AL31" i="2" s="1"/>
  <c r="N32" i="2"/>
  <c r="AL32" i="2" s="1"/>
  <c r="N7" i="2"/>
  <c r="AL7" i="2" s="1"/>
  <c r="N5" i="2"/>
  <c r="N15" i="2" s="1"/>
  <c r="O33" i="2"/>
  <c r="H33" i="2"/>
  <c r="D33" i="2"/>
  <c r="L33" i="2"/>
  <c r="P9" i="2"/>
  <c r="O15" i="2"/>
  <c r="I33" i="2"/>
  <c r="C33" i="2"/>
  <c r="G15" i="2"/>
  <c r="K33" i="2"/>
  <c r="M17" i="2"/>
  <c r="M22" i="2" s="1"/>
  <c r="H15" i="2"/>
  <c r="H17" i="2" s="1"/>
  <c r="H22" i="2" s="1"/>
  <c r="P15" i="2"/>
  <c r="P17" i="2" s="1"/>
  <c r="P22" i="2" s="1"/>
  <c r="I15" i="2"/>
  <c r="I17" i="2" s="1"/>
  <c r="I22" i="2" s="1"/>
  <c r="D15" i="2"/>
  <c r="D17" i="2" s="1"/>
  <c r="D22" i="2" s="1"/>
  <c r="L15" i="2"/>
  <c r="L17" i="2" s="1"/>
  <c r="L22" i="2" s="1"/>
  <c r="G9" i="2"/>
  <c r="K9" i="2"/>
  <c r="E15" i="2"/>
  <c r="E17" i="2" s="1"/>
  <c r="E22" i="2" s="1"/>
  <c r="P33" i="2"/>
  <c r="M9" i="2"/>
  <c r="E33" i="2"/>
  <c r="M33" i="2"/>
  <c r="O9" i="2"/>
  <c r="H9" i="2"/>
  <c r="L9" i="2"/>
  <c r="I9" i="2"/>
  <c r="C17" i="2" l="1"/>
  <c r="C22" i="2" s="1"/>
  <c r="C34" i="2" s="1"/>
  <c r="L25" i="2"/>
  <c r="L27" i="2" s="1"/>
  <c r="L64" i="2" s="1"/>
  <c r="L70" i="2" s="1"/>
  <c r="L72" i="2" s="1"/>
  <c r="L74" i="2" s="1"/>
  <c r="L76" i="2" s="1"/>
  <c r="L35" i="2"/>
  <c r="L34" i="2"/>
  <c r="D25" i="2"/>
  <c r="D27" i="2" s="1"/>
  <c r="D36" i="2" s="1"/>
  <c r="D34" i="2"/>
  <c r="Q25" i="2"/>
  <c r="Q27" i="2" s="1"/>
  <c r="Q29" i="2" s="1"/>
  <c r="Q35" i="2"/>
  <c r="Q34" i="2"/>
  <c r="I25" i="2"/>
  <c r="I27" i="2" s="1"/>
  <c r="I29" i="2" s="1"/>
  <c r="I34" i="2"/>
  <c r="I35" i="2"/>
  <c r="P25" i="2"/>
  <c r="P27" i="2" s="1"/>
  <c r="P35" i="2"/>
  <c r="P34" i="2"/>
  <c r="H34" i="2"/>
  <c r="H35" i="2"/>
  <c r="R36" i="2"/>
  <c r="E25" i="2"/>
  <c r="E27" i="2" s="1"/>
  <c r="E36" i="2" s="1"/>
  <c r="E34" i="2"/>
  <c r="M25" i="2"/>
  <c r="M27" i="2" s="1"/>
  <c r="M29" i="2" s="1"/>
  <c r="M34" i="2"/>
  <c r="M35" i="2"/>
  <c r="K17" i="2"/>
  <c r="K22" i="2" s="1"/>
  <c r="AK5" i="2"/>
  <c r="AK13" i="2"/>
  <c r="AJ5" i="2"/>
  <c r="G17" i="2"/>
  <c r="AK15" i="2"/>
  <c r="AM33" i="2"/>
  <c r="R9" i="2"/>
  <c r="AM9" i="2" s="1"/>
  <c r="AL16" i="2"/>
  <c r="AJ15" i="2"/>
  <c r="AO9" i="2"/>
  <c r="AO15" i="2"/>
  <c r="AO27" i="2" s="1"/>
  <c r="AO29" i="2" s="1"/>
  <c r="AQ3" i="2"/>
  <c r="AP5" i="2"/>
  <c r="AK16" i="2"/>
  <c r="AL13" i="2"/>
  <c r="AJ13" i="2"/>
  <c r="AL5" i="2"/>
  <c r="AN9" i="2"/>
  <c r="AN15" i="2"/>
  <c r="AN27" i="2" s="1"/>
  <c r="AN29" i="2" s="1"/>
  <c r="O17" i="2"/>
  <c r="AM15" i="2"/>
  <c r="AJ16" i="2"/>
  <c r="AL15" i="2"/>
  <c r="R29" i="2"/>
  <c r="R64" i="2"/>
  <c r="R70" i="2" s="1"/>
  <c r="R72" i="2" s="1"/>
  <c r="J17" i="2"/>
  <c r="J22" i="2" s="1"/>
  <c r="H25" i="2"/>
  <c r="H27" i="2" s="1"/>
  <c r="P29" i="2"/>
  <c r="E29" i="2"/>
  <c r="E64" i="2"/>
  <c r="E70" i="2" s="1"/>
  <c r="E72" i="2" s="1"/>
  <c r="E74" i="2" s="1"/>
  <c r="E76" i="2" s="1"/>
  <c r="L29" i="2"/>
  <c r="M64" i="2"/>
  <c r="M70" i="2" s="1"/>
  <c r="M72" i="2" s="1"/>
  <c r="M74" i="2" s="1"/>
  <c r="M76" i="2" s="1"/>
  <c r="D64" i="2"/>
  <c r="D70" i="2" s="1"/>
  <c r="D72" i="2" s="1"/>
  <c r="D74" i="2" s="1"/>
  <c r="D76" i="2" s="1"/>
  <c r="F33" i="2"/>
  <c r="F17" i="2"/>
  <c r="F22" i="2" s="1"/>
  <c r="J9" i="2"/>
  <c r="AK9" i="2" s="1"/>
  <c r="J33" i="2"/>
  <c r="AK33" i="2" s="1"/>
  <c r="N17" i="2"/>
  <c r="N22" i="2" s="1"/>
  <c r="N33" i="2"/>
  <c r="AL33" i="2" s="1"/>
  <c r="N9" i="2"/>
  <c r="AL9" i="2" s="1"/>
  <c r="I64" i="2" l="1"/>
  <c r="I70" i="2" s="1"/>
  <c r="I72" i="2" s="1"/>
  <c r="I74" i="2" s="1"/>
  <c r="I76" i="2" s="1"/>
  <c r="K34" i="2"/>
  <c r="Q36" i="2"/>
  <c r="Q37" i="2"/>
  <c r="M37" i="2"/>
  <c r="M36" i="2"/>
  <c r="J25" i="2"/>
  <c r="J27" i="2" s="1"/>
  <c r="J35" i="2"/>
  <c r="J34" i="2"/>
  <c r="P36" i="2"/>
  <c r="P37" i="2"/>
  <c r="N25" i="2"/>
  <c r="N27" i="2" s="1"/>
  <c r="N34" i="2"/>
  <c r="N35" i="2"/>
  <c r="R35" i="2"/>
  <c r="D29" i="2"/>
  <c r="H36" i="2"/>
  <c r="H37" i="2"/>
  <c r="F25" i="2"/>
  <c r="F27" i="2" s="1"/>
  <c r="F34" i="2"/>
  <c r="Q64" i="2"/>
  <c r="Q70" i="2" s="1"/>
  <c r="Q72" i="2" s="1"/>
  <c r="Q74" i="2" s="1"/>
  <c r="Q76" i="2" s="1"/>
  <c r="P64" i="2"/>
  <c r="P70" i="2" s="1"/>
  <c r="P72" i="2" s="1"/>
  <c r="P74" i="2" s="1"/>
  <c r="P76" i="2" s="1"/>
  <c r="I36" i="2"/>
  <c r="I37" i="2"/>
  <c r="L36" i="2"/>
  <c r="L37" i="2"/>
  <c r="AL17" i="2"/>
  <c r="R74" i="2"/>
  <c r="R76" i="2" s="1"/>
  <c r="K25" i="2"/>
  <c r="AL22" i="2"/>
  <c r="AP9" i="2"/>
  <c r="AP15" i="2"/>
  <c r="AP27" i="2" s="1"/>
  <c r="AP29" i="2" s="1"/>
  <c r="AQ5" i="2"/>
  <c r="AR3" i="2"/>
  <c r="AJ17" i="2"/>
  <c r="G22" i="2"/>
  <c r="AK17" i="2"/>
  <c r="C25" i="2"/>
  <c r="AJ22" i="2"/>
  <c r="AJ34" i="2" s="1"/>
  <c r="O22" i="2"/>
  <c r="AM17" i="2"/>
  <c r="H29" i="2"/>
  <c r="H64" i="2"/>
  <c r="H70" i="2" s="1"/>
  <c r="H72" i="2" s="1"/>
  <c r="H74" i="2" s="1"/>
  <c r="H76" i="2" s="1"/>
  <c r="N29" i="2"/>
  <c r="N64" i="2"/>
  <c r="F64" i="2"/>
  <c r="F70" i="2" s="1"/>
  <c r="F72" i="2" s="1"/>
  <c r="F74" i="2" s="1"/>
  <c r="F76" i="2" s="1"/>
  <c r="J64" i="2" l="1"/>
  <c r="J70" i="2" s="1"/>
  <c r="J72" i="2" s="1"/>
  <c r="J74" i="2" s="1"/>
  <c r="J76" i="2" s="1"/>
  <c r="J36" i="2"/>
  <c r="J37" i="2"/>
  <c r="AL34" i="2"/>
  <c r="N37" i="2"/>
  <c r="N36" i="2"/>
  <c r="R37" i="2"/>
  <c r="O34" i="2"/>
  <c r="O35" i="2"/>
  <c r="F29" i="2"/>
  <c r="F36" i="2"/>
  <c r="G34" i="2"/>
  <c r="G35" i="2"/>
  <c r="J29" i="2"/>
  <c r="K35" i="2"/>
  <c r="AQ15" i="2"/>
  <c r="AQ27" i="2" s="1"/>
  <c r="AQ29" i="2" s="1"/>
  <c r="AQ9" i="2"/>
  <c r="C27" i="2"/>
  <c r="C36" i="2" s="1"/>
  <c r="AJ25" i="2"/>
  <c r="O25" i="2"/>
  <c r="AM22" i="2"/>
  <c r="K27" i="2"/>
  <c r="AL25" i="2"/>
  <c r="AR5" i="2"/>
  <c r="AS3" i="2"/>
  <c r="N70" i="2"/>
  <c r="N72" i="2" s="1"/>
  <c r="G25" i="2"/>
  <c r="AK22" i="2"/>
  <c r="AL35" i="2" s="1"/>
  <c r="AM35" i="2" l="1"/>
  <c r="AM34" i="2"/>
  <c r="K36" i="2"/>
  <c r="AK34" i="2"/>
  <c r="AK35" i="2"/>
  <c r="N74" i="2"/>
  <c r="N76" i="2" s="1"/>
  <c r="AL27" i="2"/>
  <c r="K64" i="2"/>
  <c r="K29" i="2"/>
  <c r="AL29" i="2" s="1"/>
  <c r="O27" i="2"/>
  <c r="AM25" i="2"/>
  <c r="AJ27" i="2"/>
  <c r="AJ36" i="2" s="1"/>
  <c r="C64" i="2"/>
  <c r="C29" i="2"/>
  <c r="AJ29" i="2" s="1"/>
  <c r="G27" i="2"/>
  <c r="AK25" i="2"/>
  <c r="AS5" i="2"/>
  <c r="AT3" i="2"/>
  <c r="AR15" i="2"/>
  <c r="AR27" i="2" s="1"/>
  <c r="AR29" i="2" s="1"/>
  <c r="AR9" i="2"/>
  <c r="G36" i="2" l="1"/>
  <c r="G37" i="2"/>
  <c r="AL36" i="2"/>
  <c r="K37" i="2"/>
  <c r="O36" i="2"/>
  <c r="O37" i="2"/>
  <c r="AT5" i="2"/>
  <c r="AU3" i="2"/>
  <c r="AU5" i="2" s="1"/>
  <c r="AS15" i="2"/>
  <c r="AS27" i="2" s="1"/>
  <c r="AS29" i="2" s="1"/>
  <c r="AS9" i="2"/>
  <c r="AM27" i="2"/>
  <c r="O64" i="2"/>
  <c r="O29" i="2"/>
  <c r="AM29" i="2" s="1"/>
  <c r="K70" i="2"/>
  <c r="AL64" i="2"/>
  <c r="AK27" i="2"/>
  <c r="AL37" i="2" s="1"/>
  <c r="G64" i="2"/>
  <c r="G29" i="2"/>
  <c r="AK29" i="2" s="1"/>
  <c r="C70" i="2"/>
  <c r="AJ64" i="2"/>
  <c r="AM37" i="2" l="1"/>
  <c r="AM36" i="2"/>
  <c r="AK37" i="2"/>
  <c r="AK36" i="2"/>
  <c r="O70" i="2"/>
  <c r="AM64" i="2"/>
  <c r="G70" i="2"/>
  <c r="AK64" i="2"/>
  <c r="AV5" i="2"/>
  <c r="AU9" i="2"/>
  <c r="AU15" i="2"/>
  <c r="AU27" i="2" s="1"/>
  <c r="AU29" i="2" s="1"/>
  <c r="AT15" i="2"/>
  <c r="AT27" i="2" s="1"/>
  <c r="AT29" i="2" s="1"/>
  <c r="AT9" i="2"/>
  <c r="C72" i="2"/>
  <c r="AJ70" i="2"/>
  <c r="K72" i="2"/>
  <c r="AL70" i="2"/>
  <c r="K74" i="2" l="1"/>
  <c r="AL72" i="2"/>
  <c r="C74" i="2"/>
  <c r="AJ72" i="2"/>
  <c r="AW5" i="2"/>
  <c r="AV15" i="2"/>
  <c r="AV27" i="2" s="1"/>
  <c r="AV29" i="2" s="1"/>
  <c r="G72" i="2"/>
  <c r="AK70" i="2"/>
  <c r="O72" i="2"/>
  <c r="AM70" i="2"/>
  <c r="G74" i="2" l="1"/>
  <c r="AK72" i="2"/>
  <c r="AX5" i="2"/>
  <c r="AW15" i="2"/>
  <c r="AW27" i="2" s="1"/>
  <c r="AW29" i="2" s="1"/>
  <c r="AJ74" i="2"/>
  <c r="C76" i="2"/>
  <c r="AJ76" i="2" s="1"/>
  <c r="O74" i="2"/>
  <c r="AM72" i="2"/>
  <c r="K76" i="2"/>
  <c r="AL76" i="2" s="1"/>
  <c r="AL74" i="2"/>
  <c r="O76" i="2" l="1"/>
  <c r="AM76" i="2" s="1"/>
  <c r="AM74" i="2"/>
  <c r="AY5" i="2"/>
  <c r="AX15" i="2"/>
  <c r="AX27" i="2" s="1"/>
  <c r="AX29" i="2" s="1"/>
  <c r="G76" i="2"/>
  <c r="AK76" i="2" s="1"/>
  <c r="AK74" i="2"/>
  <c r="AZ5" i="2" l="1"/>
  <c r="AY15" i="2"/>
  <c r="AY27" i="2" s="1"/>
  <c r="AY29" i="2" s="1"/>
  <c r="BA5" i="2" l="1"/>
  <c r="AZ15" i="2"/>
  <c r="AZ27" i="2" s="1"/>
  <c r="AZ29" i="2" s="1"/>
  <c r="BB5" i="2" l="1"/>
  <c r="BA15" i="2"/>
  <c r="BA27" i="2" s="1"/>
  <c r="BA29" i="2" s="1"/>
  <c r="BC5" i="2" l="1"/>
  <c r="BB15" i="2"/>
  <c r="BB27" i="2" s="1"/>
  <c r="BB29" i="2" s="1"/>
  <c r="BD5" i="2" l="1"/>
  <c r="BC15" i="2"/>
  <c r="BC27" i="2" s="1"/>
  <c r="BC29" i="2" s="1"/>
  <c r="BE5" i="2" l="1"/>
  <c r="BD15" i="2"/>
  <c r="BD27" i="2" s="1"/>
  <c r="BD29" i="2" s="1"/>
  <c r="BF5" i="2" l="1"/>
  <c r="BE15" i="2"/>
  <c r="BE27" i="2" s="1"/>
  <c r="BE29" i="2" s="1"/>
  <c r="BG5" i="2" l="1"/>
  <c r="BF15" i="2"/>
  <c r="BF27" i="2" s="1"/>
  <c r="BF29" i="2" s="1"/>
  <c r="BH5" i="2" l="1"/>
  <c r="BG15" i="2"/>
  <c r="BG27" i="2" s="1"/>
  <c r="BG29" i="2" s="1"/>
  <c r="BI5" i="2" l="1"/>
  <c r="BH15" i="2"/>
  <c r="BH27" i="2" s="1"/>
  <c r="BH29" i="2" s="1"/>
  <c r="BJ5" i="2" l="1"/>
  <c r="BI15" i="2"/>
  <c r="BI27" i="2" s="1"/>
  <c r="BI29" i="2" s="1"/>
  <c r="BK5" i="2" l="1"/>
  <c r="BJ15" i="2"/>
  <c r="BJ27" i="2" s="1"/>
  <c r="BJ29" i="2" s="1"/>
  <c r="BL5" i="2" l="1"/>
  <c r="BK15" i="2"/>
  <c r="BK27" i="2" s="1"/>
  <c r="BK29" i="2" s="1"/>
  <c r="BM5" i="2" l="1"/>
  <c r="BL15" i="2"/>
  <c r="BL27" i="2" s="1"/>
  <c r="BL29" i="2" s="1"/>
  <c r="BN5" i="2" l="1"/>
  <c r="BM15" i="2"/>
  <c r="BM27" i="2" s="1"/>
  <c r="BM29" i="2" s="1"/>
  <c r="BO5" i="2" l="1"/>
  <c r="BN15" i="2"/>
  <c r="BN27" i="2" s="1"/>
  <c r="BN29" i="2" s="1"/>
  <c r="BP5" i="2" l="1"/>
  <c r="BO15" i="2"/>
  <c r="BO27" i="2" s="1"/>
  <c r="BO29" i="2" s="1"/>
  <c r="BQ5" i="2" l="1"/>
  <c r="BP15" i="2"/>
  <c r="BP27" i="2" s="1"/>
  <c r="BP29" i="2" s="1"/>
  <c r="BR5" i="2" l="1"/>
  <c r="BQ15" i="2"/>
  <c r="BQ27" i="2" s="1"/>
  <c r="BQ29" i="2" s="1"/>
  <c r="BS5" i="2" l="1"/>
  <c r="BR15" i="2"/>
  <c r="BR27" i="2" s="1"/>
  <c r="BR29" i="2" s="1"/>
  <c r="BT5" i="2" l="1"/>
  <c r="BS15" i="2"/>
  <c r="BS27" i="2" s="1"/>
  <c r="BS29" i="2" s="1"/>
  <c r="BU5" i="2" l="1"/>
  <c r="BT15" i="2"/>
  <c r="BT27" i="2" s="1"/>
  <c r="BT29" i="2" s="1"/>
  <c r="BV5" i="2" l="1"/>
  <c r="BU15" i="2"/>
  <c r="BU27" i="2" s="1"/>
  <c r="BU29" i="2" s="1"/>
  <c r="BW5" i="2" l="1"/>
  <c r="BV15" i="2"/>
  <c r="BV27" i="2" s="1"/>
  <c r="BV29" i="2" s="1"/>
  <c r="BX5" i="2" l="1"/>
  <c r="BW15" i="2"/>
  <c r="BW27" i="2" s="1"/>
  <c r="BW29" i="2" s="1"/>
  <c r="BY5" i="2" l="1"/>
  <c r="BX15" i="2"/>
  <c r="BX27" i="2" s="1"/>
  <c r="BX29" i="2" s="1"/>
  <c r="BZ5" i="2" l="1"/>
  <c r="BY15" i="2"/>
  <c r="BY27" i="2" s="1"/>
  <c r="BY29" i="2" s="1"/>
  <c r="CA5" i="2" l="1"/>
  <c r="BZ15" i="2"/>
  <c r="BZ27" i="2" s="1"/>
  <c r="BZ29" i="2" s="1"/>
  <c r="CB5" i="2" l="1"/>
  <c r="CA15" i="2"/>
  <c r="CA27" i="2" s="1"/>
  <c r="CA29" i="2" s="1"/>
  <c r="CB15" i="2" l="1"/>
  <c r="CB27" i="2" s="1"/>
  <c r="CB29" i="2" s="1"/>
  <c r="CC5" i="2"/>
  <c r="CD5" i="2" l="1"/>
  <c r="CC15" i="2"/>
  <c r="CC27" i="2" s="1"/>
  <c r="CC29" i="2" s="1"/>
  <c r="CD15" i="2" l="1"/>
  <c r="CD27" i="2" s="1"/>
  <c r="CD29" i="2" s="1"/>
  <c r="CE5" i="2"/>
  <c r="CE15" i="2" l="1"/>
  <c r="CE27" i="2" s="1"/>
  <c r="CE29" i="2" s="1"/>
  <c r="CF5" i="2"/>
  <c r="CF15" i="2" l="1"/>
  <c r="CF27" i="2" s="1"/>
  <c r="CF29" i="2" s="1"/>
  <c r="CG5" i="2"/>
  <c r="CH5" i="2" l="1"/>
  <c r="CG15" i="2"/>
  <c r="CG27" i="2" s="1"/>
  <c r="CG29" i="2" s="1"/>
  <c r="CI5" i="2" l="1"/>
  <c r="CH15" i="2"/>
  <c r="CH27" i="2" s="1"/>
  <c r="AQ41" i="2" l="1"/>
  <c r="AQ43" i="2" s="1"/>
  <c r="AQ45" i="2" s="1"/>
  <c r="AR45" i="2" s="1"/>
  <c r="CH29" i="2"/>
  <c r="CI15" i="2"/>
  <c r="CI27" i="2" s="1"/>
  <c r="CI29" i="2" s="1"/>
  <c r="CJ5" i="2"/>
  <c r="CJ15" i="2" l="1"/>
  <c r="CJ27" i="2" s="1"/>
  <c r="CJ29" i="2" s="1"/>
  <c r="CK5" i="2"/>
  <c r="CL5" i="2" l="1"/>
  <c r="CL15" i="2" s="1"/>
  <c r="CL27" i="2" s="1"/>
  <c r="CL29" i="2" s="1"/>
  <c r="CK15" i="2"/>
  <c r="CK27" i="2" s="1"/>
  <c r="CK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tc={DB327215-2635-4E3E-8EAD-EA8F22FFE3AF}</author>
    <author>tc={D64FBA41-C21F-4E88-AE3E-05CC69F9E786}</author>
    <author>tc={E804A26C-670E-4DBC-B755-5D428A65173F}</author>
    <author>tc={7658BDCA-582F-4207-8984-58853C9A8330}</author>
    <author>tc={62F5ACCD-5DCB-40F6-8772-CE14558EF78E}</author>
    <author>tc={C866505D-B587-4320-907A-538332A8C6E0}</author>
  </authors>
  <commentList>
    <comment ref="AN27" authorId="0" shapeId="0" xr:uid="{DB327215-2635-4E3E-8EAD-EA8F22FFE3AF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11.09 High: 11.17</t>
      </text>
    </comment>
    <comment ref="AO27" authorId="1" shapeId="0" xr:uid="{D64FBA41-C21F-4E88-AE3E-05CC69F9E786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11.06 High: 11.51</t>
      </text>
    </comment>
    <comment ref="AP27" authorId="2" shapeId="0" xr:uid="{E804A26C-670E-4DBC-B755-5D428A65173F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11.95 High: 13.51</t>
      </text>
    </comment>
    <comment ref="S29" authorId="3" shapeId="0" xr:uid="{7658BDCA-582F-4207-8984-58853C9A8330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2.51 High: 2.61</t>
      </text>
    </comment>
    <comment ref="T29" authorId="4" shapeId="0" xr:uid="{62F5ACCD-5DCB-40F6-8772-CE14558EF78E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2.63 High: 2.81</t>
      </text>
    </comment>
    <comment ref="AP34" authorId="5" shapeId="0" xr:uid="{C866505D-B587-4320-907A-538332A8C6E0}">
      <text>
        <t>[Threaded comment]
Your version of Excel allows you to read this threaded comment; however, any edits to it will get removed if the file is opened in a newer version of Excel. Learn more: https://go.microsoft.com/fwlink/?linkid=870924
Comment:
    Management stated they’re targeting a 30% operating margin by ‘26-’27</t>
      </text>
    </comment>
  </commentList>
</comments>
</file>

<file path=xl/sharedStrings.xml><?xml version="1.0" encoding="utf-8"?>
<sst xmlns="http://schemas.openxmlformats.org/spreadsheetml/2006/main" count="120" uniqueCount="108">
  <si>
    <t xml:space="preserve">Price </t>
  </si>
  <si>
    <t>Shares Outstanding</t>
  </si>
  <si>
    <t>MC</t>
  </si>
  <si>
    <t>Cash</t>
  </si>
  <si>
    <t>Debt</t>
  </si>
  <si>
    <t>EV</t>
  </si>
  <si>
    <t>CRM</t>
  </si>
  <si>
    <t>Q2'24</t>
  </si>
  <si>
    <t>Q3'24</t>
  </si>
  <si>
    <t>Revenues</t>
  </si>
  <si>
    <t>Subscription and Support</t>
  </si>
  <si>
    <t>Professional Services and Other</t>
  </si>
  <si>
    <t>Cost of Revenues</t>
  </si>
  <si>
    <t>Ttl Revenues</t>
  </si>
  <si>
    <t>Subscription and Support Y/y</t>
  </si>
  <si>
    <t>Ttl Revenue Growth Y/y</t>
  </si>
  <si>
    <t>Q4'22</t>
  </si>
  <si>
    <t>Q1'22</t>
  </si>
  <si>
    <t>Q2'22</t>
  </si>
  <si>
    <t>Q3'22</t>
  </si>
  <si>
    <t>Q1'23</t>
  </si>
  <si>
    <t>Q2'23</t>
  </si>
  <si>
    <t>Q3'23</t>
  </si>
  <si>
    <t>Q4'23</t>
  </si>
  <si>
    <t>Q1'24</t>
  </si>
  <si>
    <t>Q1'21</t>
  </si>
  <si>
    <t>Q2'21</t>
  </si>
  <si>
    <t>Q3'21</t>
  </si>
  <si>
    <t>Q4'21</t>
  </si>
  <si>
    <t>Ttl Cost of Revenues</t>
  </si>
  <si>
    <t>Gross Margin</t>
  </si>
  <si>
    <t>Subscription and Support Margin</t>
  </si>
  <si>
    <t>Prof. Services and Other</t>
  </si>
  <si>
    <t>Prof. Services and Other Y/y</t>
  </si>
  <si>
    <t>Prof. Services and Other Margin</t>
  </si>
  <si>
    <t>Gross Profit</t>
  </si>
  <si>
    <t>R&amp;D</t>
  </si>
  <si>
    <t>Sales and Marketing</t>
  </si>
  <si>
    <t>General and Administrative</t>
  </si>
  <si>
    <t>Restructuring</t>
  </si>
  <si>
    <t>Other Income</t>
  </si>
  <si>
    <t>Pretax Income</t>
  </si>
  <si>
    <t>Income Taxes</t>
  </si>
  <si>
    <t>Net Income</t>
  </si>
  <si>
    <t>Share Count</t>
  </si>
  <si>
    <t>EPS</t>
  </si>
  <si>
    <t>Cash and C.E.'s</t>
  </si>
  <si>
    <t>ST Investments</t>
  </si>
  <si>
    <t>A/R</t>
  </si>
  <si>
    <t>Cost Capitalized to Obtain Contracts</t>
  </si>
  <si>
    <t>Prepaid Expenses</t>
  </si>
  <si>
    <t>PP&amp;E</t>
  </si>
  <si>
    <t>Operating Leases</t>
  </si>
  <si>
    <t>LT Investments</t>
  </si>
  <si>
    <t>Goodwill</t>
  </si>
  <si>
    <t>Intangible Assets</t>
  </si>
  <si>
    <t>A/P</t>
  </si>
  <si>
    <t>Operating Lease Liabilities, Current</t>
  </si>
  <si>
    <t>Unearned Revenue</t>
  </si>
  <si>
    <t>Debt, Current</t>
  </si>
  <si>
    <t>Noncurrent Operating Lease Liab.</t>
  </si>
  <si>
    <t>Noncurrent Debts</t>
  </si>
  <si>
    <t>Other Noncurrent Liabilities</t>
  </si>
  <si>
    <t xml:space="preserve">Noncurrent Cost Capitalized </t>
  </si>
  <si>
    <t>SE</t>
  </si>
  <si>
    <t>L + SE</t>
  </si>
  <si>
    <t>Deferred Tax Assets</t>
  </si>
  <si>
    <t>Ttl Assets</t>
  </si>
  <si>
    <t>Ttl Liabilities</t>
  </si>
  <si>
    <t>G/(L) on Strat. Investments</t>
  </si>
  <si>
    <t>NI</t>
  </si>
  <si>
    <t>Depreciation</t>
  </si>
  <si>
    <t>Amortization</t>
  </si>
  <si>
    <t>SBC</t>
  </si>
  <si>
    <t>G/(L) on investments</t>
  </si>
  <si>
    <t>WC</t>
  </si>
  <si>
    <t>CFFO</t>
  </si>
  <si>
    <t>CapEx</t>
  </si>
  <si>
    <t>FCF</t>
  </si>
  <si>
    <t>FCF Per Share</t>
  </si>
  <si>
    <t>Adding SBC Back in</t>
  </si>
  <si>
    <t>Q4'24</t>
  </si>
  <si>
    <t>FQ1'25 Notes</t>
  </si>
  <si>
    <t>Revenue Segments</t>
  </si>
  <si>
    <t>Regulatory environment could be easing for M&amp;A activity -&gt; non-organic revenue growth</t>
  </si>
  <si>
    <t>This stock has been killed in the past when management went on an acquisistion spree, leading to activist intervention</t>
  </si>
  <si>
    <t xml:space="preserve">Core fundementals in the CRM SAAS business are the focus. </t>
  </si>
  <si>
    <t xml:space="preserve">Just from eyeballing revenue figures, growth is lackluster (current and projected) and appears to be an ongoing headwind for the business. </t>
  </si>
  <si>
    <t>With increased R&amp;D and CapEx spend in recent years for AI infrastructure, shareholders want to see meaningful gains in revenue growth/customer onboarding (demand) and expanding margins (increases in productivity/operating efficiency)</t>
  </si>
  <si>
    <t xml:space="preserve">Quarterly </t>
  </si>
  <si>
    <t>Annual</t>
  </si>
  <si>
    <t>Q2'25</t>
  </si>
  <si>
    <t>Almost 20 billion in cash and C.E.s is an interesting prospect</t>
  </si>
  <si>
    <t>Operating Income</t>
  </si>
  <si>
    <t>Q1'25</t>
  </si>
  <si>
    <t>Q3'25</t>
  </si>
  <si>
    <t>Q4'25</t>
  </si>
  <si>
    <t>Discount</t>
  </si>
  <si>
    <t>Terminal</t>
  </si>
  <si>
    <t>NPV</t>
  </si>
  <si>
    <t>SC</t>
  </si>
  <si>
    <t>CP</t>
  </si>
  <si>
    <t>FV</t>
  </si>
  <si>
    <t xml:space="preserve">Operating Margin </t>
  </si>
  <si>
    <t>Operating Margin Growth</t>
  </si>
  <si>
    <t>Net Income Margin</t>
  </si>
  <si>
    <t>Net Income Margin Growth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</si>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</sst>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sz val="11"/>
      <color theme="4" tint="-0.499984740745262"/>
      <name val="Calibre"/>
    </font>
    <font>
      <b/>
      <sz val="11"/>
      <color theme="4" tint="-0.499984740745262"/>
      <name val="Calibre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6" fontId="1" fillId="0" borderId="0" xfId="0" applyNumberFormat="1" applyFont="1"/>
    <xf numFmtId="14" fontId="1" fillId="0" borderId="0" xfId="0" applyNumberFormat="1" applyFont="1"/>
    <xf numFmtId="10" fontId="1" fillId="0" borderId="0" xfId="0" applyNumberFormat="1" applyFont="1"/>
    <xf numFmtId="0" fontId="1" fillId="2" borderId="0" xfId="0" applyFont="1" applyFill="1"/>
    <xf numFmtId="14" fontId="2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" fontId="4" fillId="0" borderId="0" xfId="0" applyNumberFormat="1" applyFont="1"/>
    <xf numFmtId="165" fontId="1" fillId="0" borderId="0" xfId="0" applyNumberFormat="1" applyFont="1"/>
    <xf numFmtId="165" fontId="3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2" fontId="3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ob H" id="{317B082C-8675-403E-93F3-9C35E365FCBF}" userId="6fdd6cd1f6a5d5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27" dT="2025-04-01T09:10:03.13" personId="{317B082C-8675-403E-93F3-9C35E365FCBF}" id="{DB327215-2635-4E3E-8EAD-EA8F22FFE3AF}">
    <text>Low: 11.09 High: 11.17</text>
  </threadedComment>
  <threadedComment ref="AO27" dT="2025-04-01T09:04:26.70" personId="{317B082C-8675-403E-93F3-9C35E365FCBF}" id="{D64FBA41-C21F-4E88-AE3E-05CC69F9E786}">
    <text>Low: 11.06 High: 11.51</text>
  </threadedComment>
  <threadedComment ref="AP27" dT="2025-04-01T09:06:20.04" personId="{317B082C-8675-403E-93F3-9C35E365FCBF}" id="{E804A26C-670E-4DBC-B755-5D428A65173F}">
    <text>Low: 11.95 High: 13.51</text>
  </threadedComment>
  <threadedComment ref="S29" dT="2025-04-01T09:02:55.35" personId="{317B082C-8675-403E-93F3-9C35E365FCBF}" id="{7658BDCA-582F-4207-8984-58853C9A8330}">
    <text>Low: 2.51 High: 2.61</text>
  </threadedComment>
  <threadedComment ref="T29" dT="2025-04-01T09:03:24.89" personId="{317B082C-8675-403E-93F3-9C35E365FCBF}" id="{62F5ACCD-5DCB-40F6-8772-CE14558EF78E}">
    <text>Low: 2.63 High: 2.81</text>
  </threadedComment>
  <threadedComment ref="AP34" dT="2025-04-01T09:31:46.03" personId="{317B082C-8675-403E-93F3-9C35E365FCBF}" id="{C866505D-B587-4320-907A-538332A8C6E0}">
    <text>Management stated they’re targeting a 30% operating margin by ‘26-’27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B12" sqref="B12"/>
    </sheetView>
  </sheetViews>
  <sheetFormatPr defaultColWidth="9.140625" defaultRowHeight="14.25"/>
  <cols>
    <col min="1" max="1" width="3.140625" style="1" customWidth="1"/>
    <col min="2" max="2" width="19.85546875" style="1" customWidth="1"/>
    <col min="3" max="3" width="12.140625" style="1" customWidth="1"/>
    <col min="4" max="4" width="10.140625" style="1" bestFit="1" customWidth="1"/>
    <col min="5" max="5" width="10.28515625" style="1" customWidth="1"/>
    <col min="6" max="6" width="19.5703125" style="1" customWidth="1"/>
    <col min="7" max="7" width="12.28515625" style="1" customWidth="1"/>
    <col min="8" max="8" width="10.140625" style="1" bestFit="1" customWidth="1"/>
    <col min="9" max="16384" width="9.140625" style="1"/>
  </cols>
  <sheetData>
    <row r="1" spans="1:8" ht="15">
      <c r="A1" s="21" t="s">
        <v>107</v>
      </c>
    </row>
    <row r="2" spans="1:8" ht="15">
      <c r="B2" s="3" t="s">
        <v>6</v>
      </c>
      <c r="F2" s="3"/>
    </row>
    <row r="3" spans="1:8">
      <c r="B3" s="1" t="s">
        <v>0</v>
      </c>
      <c r="C3" s="9">
        <v>275.02</v>
      </c>
      <c r="D3" s="5">
        <v>45778</v>
      </c>
      <c r="G3" s="9"/>
      <c r="H3" s="5"/>
    </row>
    <row r="4" spans="1:8">
      <c r="B4" s="1" t="s">
        <v>1</v>
      </c>
      <c r="C4" s="2">
        <v>961</v>
      </c>
      <c r="D4" s="1" t="s">
        <v>81</v>
      </c>
      <c r="G4" s="2"/>
    </row>
    <row r="5" spans="1:8">
      <c r="B5" s="1" t="s">
        <v>2</v>
      </c>
      <c r="C5" s="9">
        <f>C3*C4</f>
        <v>264294.21999999997</v>
      </c>
      <c r="G5" s="9"/>
    </row>
    <row r="6" spans="1:8">
      <c r="B6" s="1" t="s">
        <v>3</v>
      </c>
      <c r="C6" s="9">
        <f>7997+4760+4845</f>
        <v>17602</v>
      </c>
      <c r="D6" s="1" t="s">
        <v>81</v>
      </c>
      <c r="G6" s="9"/>
    </row>
    <row r="7" spans="1:8">
      <c r="B7" s="1" t="s">
        <v>4</v>
      </c>
      <c r="C7" s="9">
        <f>8432</f>
        <v>8432</v>
      </c>
      <c r="D7" s="1" t="s">
        <v>81</v>
      </c>
      <c r="G7" s="9"/>
    </row>
    <row r="8" spans="1:8">
      <c r="B8" s="1" t="s">
        <v>5</v>
      </c>
      <c r="C8" s="9">
        <f>C5-C6+C7</f>
        <v>255124.21999999997</v>
      </c>
      <c r="G8" s="9"/>
    </row>
    <row r="10" spans="1:8" ht="15">
      <c r="B10" s="8" t="s">
        <v>83</v>
      </c>
    </row>
    <row r="23" spans="2:3" ht="15">
      <c r="B23" s="3" t="s">
        <v>82</v>
      </c>
    </row>
    <row r="24" spans="2:3" ht="15">
      <c r="B24" s="3" t="s">
        <v>87</v>
      </c>
    </row>
    <row r="25" spans="2:3">
      <c r="C25" s="1" t="s">
        <v>84</v>
      </c>
    </row>
    <row r="26" spans="2:3">
      <c r="C26" s="1" t="s">
        <v>85</v>
      </c>
    </row>
    <row r="27" spans="2:3">
      <c r="B27" s="1" t="s">
        <v>86</v>
      </c>
    </row>
    <row r="28" spans="2:3">
      <c r="C28" s="1" t="s">
        <v>88</v>
      </c>
    </row>
    <row r="29" spans="2:3">
      <c r="C29" s="1" t="s">
        <v>92</v>
      </c>
    </row>
  </sheetData>
  <hyperlinks>
    <hyperlink ref="A1" r:id="rId1" xr:uid="{2C2F9875-8C67-4B4F-830F-C6869B2A6A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479D-0B21-4003-80C8-F6E693A73016}">
  <dimension ref="A1:CP76"/>
  <sheetViews>
    <sheetView zoomScale="85" zoomScaleNormal="85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AQ40" sqref="AQ40"/>
    </sheetView>
  </sheetViews>
  <sheetFormatPr defaultColWidth="9.140625" defaultRowHeight="14.25"/>
  <cols>
    <col min="1" max="1" width="2.85546875" style="1" customWidth="1"/>
    <col min="2" max="2" width="35.42578125" style="1" bestFit="1" customWidth="1"/>
    <col min="3" max="4" width="9.140625" style="1"/>
    <col min="5" max="5" width="9.28515625" style="1" bestFit="1" customWidth="1"/>
    <col min="6" max="6" width="9.42578125" style="1" bestFit="1" customWidth="1"/>
    <col min="7" max="13" width="9.28515625" style="1" bestFit="1" customWidth="1"/>
    <col min="14" max="14" width="9.28515625" style="1" customWidth="1"/>
    <col min="15" max="16" width="9.28515625" style="1" bestFit="1" customWidth="1"/>
    <col min="17" max="39" width="9.140625" style="1"/>
    <col min="40" max="42" width="9.28515625" style="1" bestFit="1" customWidth="1"/>
    <col min="43" max="43" width="10.140625" style="1" bestFit="1" customWidth="1"/>
    <col min="44" max="77" width="9.28515625" style="1" bestFit="1" customWidth="1"/>
    <col min="78" max="80" width="9.85546875" style="1" bestFit="1" customWidth="1"/>
    <col min="81" max="16384" width="9.140625" style="1"/>
  </cols>
  <sheetData>
    <row r="1" spans="1:94">
      <c r="B1" s="1" t="s">
        <v>89</v>
      </c>
      <c r="C1" s="4">
        <v>45412</v>
      </c>
      <c r="D1" s="4">
        <v>45504</v>
      </c>
      <c r="E1" s="4">
        <v>45596</v>
      </c>
      <c r="F1" s="4">
        <v>45322</v>
      </c>
      <c r="G1" s="4">
        <v>45412</v>
      </c>
      <c r="H1" s="4">
        <v>45504</v>
      </c>
      <c r="I1" s="4">
        <v>45596</v>
      </c>
      <c r="J1" s="4">
        <v>45322</v>
      </c>
      <c r="K1" s="4">
        <v>45412</v>
      </c>
      <c r="L1" s="4">
        <v>45504</v>
      </c>
      <c r="M1" s="4">
        <v>45596</v>
      </c>
      <c r="N1" s="4">
        <v>45322</v>
      </c>
      <c r="O1" s="4">
        <v>45412</v>
      </c>
      <c r="P1" s="4">
        <v>45504</v>
      </c>
      <c r="Q1" s="4">
        <v>45596</v>
      </c>
      <c r="R1" s="4">
        <v>45322</v>
      </c>
      <c r="S1" s="4">
        <v>45412</v>
      </c>
      <c r="T1" s="4">
        <v>45504</v>
      </c>
      <c r="U1" s="4">
        <v>45596</v>
      </c>
      <c r="V1" s="4">
        <v>45322</v>
      </c>
      <c r="W1" s="4">
        <v>45412</v>
      </c>
      <c r="X1" s="4">
        <v>45504</v>
      </c>
      <c r="Y1" s="4">
        <v>45596</v>
      </c>
      <c r="Z1" s="4">
        <v>45322</v>
      </c>
    </row>
    <row r="2" spans="1:94" ht="15">
      <c r="A2" s="3" t="s">
        <v>9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17</v>
      </c>
      <c r="H2" s="1" t="s">
        <v>18</v>
      </c>
      <c r="I2" s="1" t="s">
        <v>19</v>
      </c>
      <c r="J2" s="1" t="s">
        <v>16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7</v>
      </c>
      <c r="Q2" s="1" t="s">
        <v>8</v>
      </c>
      <c r="R2" s="1" t="s">
        <v>81</v>
      </c>
      <c r="S2" s="1" t="s">
        <v>94</v>
      </c>
      <c r="T2" s="1" t="s">
        <v>91</v>
      </c>
      <c r="U2" s="1" t="s">
        <v>95</v>
      </c>
      <c r="V2" s="1" t="s">
        <v>96</v>
      </c>
      <c r="W2" s="1" t="s">
        <v>94</v>
      </c>
      <c r="X2" s="1" t="s">
        <v>91</v>
      </c>
      <c r="Y2" s="1" t="s">
        <v>95</v>
      </c>
      <c r="Z2" s="1" t="s">
        <v>96</v>
      </c>
      <c r="AI2" s="1" t="s">
        <v>90</v>
      </c>
      <c r="AJ2" s="1">
        <v>2021</v>
      </c>
      <c r="AK2" s="1">
        <v>2022</v>
      </c>
      <c r="AL2" s="1">
        <v>2023</v>
      </c>
      <c r="AM2" s="1">
        <v>2024</v>
      </c>
      <c r="AN2" s="10">
        <v>2025</v>
      </c>
      <c r="AO2" s="10">
        <f>AN2+1</f>
        <v>2026</v>
      </c>
      <c r="AP2" s="10">
        <f t="shared" ref="AP2:BF2" si="0">AO2+1</f>
        <v>2027</v>
      </c>
      <c r="AQ2" s="10">
        <f t="shared" si="0"/>
        <v>2028</v>
      </c>
      <c r="AR2" s="10">
        <f t="shared" si="0"/>
        <v>2029</v>
      </c>
      <c r="AS2" s="10">
        <f t="shared" si="0"/>
        <v>2030</v>
      </c>
      <c r="AT2" s="10">
        <f t="shared" si="0"/>
        <v>2031</v>
      </c>
      <c r="AU2" s="10">
        <f t="shared" si="0"/>
        <v>2032</v>
      </c>
      <c r="AV2" s="10">
        <f t="shared" si="0"/>
        <v>2033</v>
      </c>
      <c r="AW2" s="10">
        <f t="shared" si="0"/>
        <v>2034</v>
      </c>
      <c r="AX2" s="10">
        <f t="shared" si="0"/>
        <v>2035</v>
      </c>
      <c r="AY2" s="10">
        <f t="shared" si="0"/>
        <v>2036</v>
      </c>
      <c r="AZ2" s="10">
        <f t="shared" si="0"/>
        <v>2037</v>
      </c>
      <c r="BA2" s="10">
        <f t="shared" si="0"/>
        <v>2038</v>
      </c>
      <c r="BB2" s="10">
        <f t="shared" si="0"/>
        <v>2039</v>
      </c>
      <c r="BC2" s="10">
        <f t="shared" si="0"/>
        <v>2040</v>
      </c>
      <c r="BD2" s="10">
        <f t="shared" si="0"/>
        <v>2041</v>
      </c>
      <c r="BE2" s="10">
        <f t="shared" si="0"/>
        <v>2042</v>
      </c>
      <c r="BF2" s="10">
        <f t="shared" si="0"/>
        <v>2043</v>
      </c>
      <c r="BG2" s="10">
        <f t="shared" ref="BG2" si="1">BF2+1</f>
        <v>2044</v>
      </c>
      <c r="BH2" s="10">
        <f t="shared" ref="BH2" si="2">BG2+1</f>
        <v>2045</v>
      </c>
      <c r="BI2" s="10">
        <f t="shared" ref="BI2" si="3">BH2+1</f>
        <v>2046</v>
      </c>
      <c r="BJ2" s="10">
        <f t="shared" ref="BJ2" si="4">BI2+1</f>
        <v>2047</v>
      </c>
      <c r="BK2" s="10">
        <f t="shared" ref="BK2" si="5">BJ2+1</f>
        <v>2048</v>
      </c>
      <c r="BL2" s="10">
        <f t="shared" ref="BL2" si="6">BK2+1</f>
        <v>2049</v>
      </c>
      <c r="BM2" s="10">
        <f t="shared" ref="BM2" si="7">BL2+1</f>
        <v>2050</v>
      </c>
      <c r="BN2" s="10">
        <f t="shared" ref="BN2" si="8">BM2+1</f>
        <v>2051</v>
      </c>
      <c r="BO2" s="10">
        <f t="shared" ref="BO2" si="9">BN2+1</f>
        <v>2052</v>
      </c>
      <c r="BP2" s="10">
        <f t="shared" ref="BP2" si="10">BO2+1</f>
        <v>2053</v>
      </c>
      <c r="BQ2" s="10">
        <f t="shared" ref="BQ2" si="11">BP2+1</f>
        <v>2054</v>
      </c>
      <c r="BR2" s="10">
        <f t="shared" ref="BR2" si="12">BQ2+1</f>
        <v>2055</v>
      </c>
      <c r="BS2" s="10">
        <f t="shared" ref="BS2" si="13">BR2+1</f>
        <v>2056</v>
      </c>
      <c r="BT2" s="10">
        <f t="shared" ref="BT2" si="14">BS2+1</f>
        <v>2057</v>
      </c>
      <c r="BU2" s="10">
        <f t="shared" ref="BU2" si="15">BT2+1</f>
        <v>2058</v>
      </c>
      <c r="BV2" s="10">
        <f t="shared" ref="BV2" si="16">BU2+1</f>
        <v>2059</v>
      </c>
      <c r="BW2" s="10">
        <f t="shared" ref="BW2" si="17">BV2+1</f>
        <v>2060</v>
      </c>
      <c r="BX2" s="10">
        <f t="shared" ref="BX2" si="18">BW2+1</f>
        <v>2061</v>
      </c>
      <c r="BY2" s="10">
        <f t="shared" ref="BY2" si="19">BX2+1</f>
        <v>2062</v>
      </c>
      <c r="BZ2" s="10">
        <f t="shared" ref="BZ2" si="20">BY2+1</f>
        <v>2063</v>
      </c>
      <c r="CA2" s="10">
        <f t="shared" ref="CA2" si="21">BZ2+1</f>
        <v>2064</v>
      </c>
      <c r="CB2" s="10">
        <f t="shared" ref="CB2" si="22">CA2+1</f>
        <v>2065</v>
      </c>
      <c r="CC2" s="10">
        <f t="shared" ref="CC2" si="23">CB2+1</f>
        <v>2066</v>
      </c>
      <c r="CD2" s="10">
        <f t="shared" ref="CD2" si="24">CC2+1</f>
        <v>2067</v>
      </c>
      <c r="CE2" s="10">
        <f t="shared" ref="CE2" si="25">CD2+1</f>
        <v>2068</v>
      </c>
      <c r="CF2" s="10">
        <f t="shared" ref="CF2" si="26">CE2+1</f>
        <v>2069</v>
      </c>
      <c r="CG2" s="10">
        <f t="shared" ref="CG2" si="27">CF2+1</f>
        <v>2070</v>
      </c>
      <c r="CH2" s="10">
        <f t="shared" ref="CH2" si="28">CG2+1</f>
        <v>2071</v>
      </c>
      <c r="CI2" s="10">
        <f t="shared" ref="CI2" si="29">CH2+1</f>
        <v>2072</v>
      </c>
      <c r="CJ2" s="10">
        <f t="shared" ref="CJ2" si="30">CI2+1</f>
        <v>2073</v>
      </c>
      <c r="CK2" s="10">
        <f t="shared" ref="CK2" si="31">CJ2+1</f>
        <v>2074</v>
      </c>
      <c r="CL2" s="10">
        <f t="shared" ref="CL2" si="32">CK2+1</f>
        <v>2075</v>
      </c>
      <c r="CM2" s="10"/>
      <c r="CN2" s="10"/>
      <c r="CO2" s="10"/>
      <c r="CP2" s="10"/>
    </row>
    <row r="3" spans="1:94">
      <c r="B3" s="1" t="s">
        <v>10</v>
      </c>
      <c r="C3" s="1">
        <v>5536</v>
      </c>
      <c r="D3" s="1">
        <v>5914</v>
      </c>
      <c r="E3" s="1">
        <v>6379</v>
      </c>
      <c r="F3" s="1">
        <f>24657-SUM(C3:E3)</f>
        <v>6828</v>
      </c>
      <c r="G3" s="1">
        <v>6856</v>
      </c>
      <c r="H3" s="1">
        <v>7143</v>
      </c>
      <c r="I3" s="1">
        <v>7233</v>
      </c>
      <c r="J3" s="1">
        <f>29024-SUM(G3:I3)</f>
        <v>7792</v>
      </c>
      <c r="K3" s="1">
        <v>7642</v>
      </c>
      <c r="L3" s="1">
        <v>8006</v>
      </c>
      <c r="M3" s="1">
        <v>8141</v>
      </c>
      <c r="N3" s="1">
        <f>32537-SUM(K3:M3)</f>
        <v>8748</v>
      </c>
      <c r="O3" s="1">
        <v>8585</v>
      </c>
      <c r="P3" s="1">
        <v>8764</v>
      </c>
      <c r="Q3" s="1">
        <v>8879</v>
      </c>
      <c r="R3" s="1">
        <f>35679-SUM(O3:Q3)</f>
        <v>9451</v>
      </c>
      <c r="AJ3" s="1">
        <f>SUM(C3:F3)</f>
        <v>24657</v>
      </c>
      <c r="AK3" s="1">
        <f>SUM(G3:J3)</f>
        <v>29024</v>
      </c>
      <c r="AL3" s="1">
        <f>SUM(K3:N3)</f>
        <v>32537</v>
      </c>
      <c r="AM3" s="1">
        <f>SUM(O3:R3)</f>
        <v>35679</v>
      </c>
      <c r="AN3" s="13">
        <f>AM3*(1+AN7)</f>
        <v>38711.714999999997</v>
      </c>
      <c r="AO3" s="13">
        <f t="shared" ref="AO3:AU3" si="33">AN3*(1+AO7)</f>
        <v>41421.535049999999</v>
      </c>
      <c r="AP3" s="13">
        <f t="shared" si="33"/>
        <v>46806.334606499993</v>
      </c>
      <c r="AQ3" s="13">
        <f t="shared" si="33"/>
        <v>52891.158105344985</v>
      </c>
      <c r="AR3" s="13">
        <f t="shared" si="33"/>
        <v>58180.273915879487</v>
      </c>
      <c r="AS3" s="13">
        <f t="shared" si="33"/>
        <v>62834.695829149852</v>
      </c>
      <c r="AT3" s="13">
        <f t="shared" si="33"/>
        <v>66604.777578898851</v>
      </c>
      <c r="AU3" s="13">
        <f t="shared" si="33"/>
        <v>69935.016457843798</v>
      </c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</row>
    <row r="4" spans="1:94">
      <c r="B4" s="1" t="s">
        <v>11</v>
      </c>
      <c r="C4" s="1">
        <v>427</v>
      </c>
      <c r="D4" s="1">
        <v>426</v>
      </c>
      <c r="E4" s="1">
        <v>484</v>
      </c>
      <c r="F4" s="1">
        <f>1835-SUM(C4:E4)</f>
        <v>498</v>
      </c>
      <c r="G4" s="1">
        <v>555</v>
      </c>
      <c r="H4" s="1">
        <v>577</v>
      </c>
      <c r="I4" s="1">
        <v>604</v>
      </c>
      <c r="J4" s="1">
        <f>2331-SUM(G4:I4)</f>
        <v>595</v>
      </c>
      <c r="K4" s="1">
        <v>605</v>
      </c>
      <c r="L4" s="1">
        <v>597</v>
      </c>
      <c r="M4" s="1">
        <v>579</v>
      </c>
      <c r="N4" s="1">
        <f>2320-SUM(K4:M4)</f>
        <v>539</v>
      </c>
      <c r="O4" s="1">
        <v>548</v>
      </c>
      <c r="P4" s="1">
        <v>561</v>
      </c>
      <c r="Q4" s="1">
        <v>565</v>
      </c>
      <c r="R4" s="1">
        <f>2216-SUM(O4:Q4)</f>
        <v>542</v>
      </c>
      <c r="AJ4" s="1">
        <f>SUM(C4:F4)</f>
        <v>1835</v>
      </c>
      <c r="AK4" s="1">
        <f>SUM(G4:J4)</f>
        <v>2331</v>
      </c>
      <c r="AL4" s="1">
        <f>SUM(K4:N4)</f>
        <v>2320</v>
      </c>
      <c r="AM4" s="1">
        <f>SUM(O4:R4)</f>
        <v>2216</v>
      </c>
      <c r="AN4" s="13">
        <f>AM4*(1+AN8)</f>
        <v>2437.6000000000004</v>
      </c>
      <c r="AO4" s="13">
        <f t="shared" ref="AO4:AU4" si="34">AN4*(1+AO8)</f>
        <v>2559.4800000000005</v>
      </c>
      <c r="AP4" s="13">
        <f t="shared" si="34"/>
        <v>2738.6436000000008</v>
      </c>
      <c r="AQ4" s="13">
        <f t="shared" si="34"/>
        <v>2930.348652000001</v>
      </c>
      <c r="AR4" s="13">
        <f t="shared" si="34"/>
        <v>3164.7765441600013</v>
      </c>
      <c r="AS4" s="13">
        <f t="shared" si="34"/>
        <v>3417.9586676928016</v>
      </c>
      <c r="AT4" s="13">
        <f t="shared" si="34"/>
        <v>3759.7545344620821</v>
      </c>
      <c r="AU4" s="13">
        <f t="shared" si="34"/>
        <v>4173.327533252912</v>
      </c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</row>
    <row r="5" spans="1:94" s="3" customFormat="1" ht="15">
      <c r="B5" s="3" t="s">
        <v>13</v>
      </c>
      <c r="C5" s="3">
        <f t="shared" ref="C5:O5" si="35">C3+C4</f>
        <v>5963</v>
      </c>
      <c r="D5" s="3">
        <f t="shared" si="35"/>
        <v>6340</v>
      </c>
      <c r="E5" s="3">
        <f t="shared" si="35"/>
        <v>6863</v>
      </c>
      <c r="F5" s="3">
        <f t="shared" si="35"/>
        <v>7326</v>
      </c>
      <c r="G5" s="3">
        <f t="shared" si="35"/>
        <v>7411</v>
      </c>
      <c r="H5" s="3">
        <f t="shared" si="35"/>
        <v>7720</v>
      </c>
      <c r="I5" s="3">
        <f t="shared" si="35"/>
        <v>7837</v>
      </c>
      <c r="J5" s="3">
        <f t="shared" si="35"/>
        <v>8387</v>
      </c>
      <c r="K5" s="3">
        <f t="shared" si="35"/>
        <v>8247</v>
      </c>
      <c r="L5" s="3">
        <f t="shared" si="35"/>
        <v>8603</v>
      </c>
      <c r="M5" s="3">
        <f t="shared" si="35"/>
        <v>8720</v>
      </c>
      <c r="N5" s="3">
        <f t="shared" si="35"/>
        <v>9287</v>
      </c>
      <c r="O5" s="3">
        <f t="shared" si="35"/>
        <v>9133</v>
      </c>
      <c r="P5" s="3">
        <f>P3+P4</f>
        <v>9325</v>
      </c>
      <c r="Q5" s="3">
        <f>Q3+Q4</f>
        <v>9444</v>
      </c>
      <c r="R5" s="3">
        <f>R3+R4</f>
        <v>9993</v>
      </c>
      <c r="AJ5" s="3">
        <f>SUM(C5:F5)</f>
        <v>26492</v>
      </c>
      <c r="AK5" s="3">
        <f>SUM(G5:J5)</f>
        <v>31355</v>
      </c>
      <c r="AL5" s="3">
        <f>SUM(K5:N5)</f>
        <v>34857</v>
      </c>
      <c r="AM5" s="3">
        <f>SUM(O5:R5)</f>
        <v>37895</v>
      </c>
      <c r="AN5" s="15">
        <f>AN3+AN4</f>
        <v>41149.314999999995</v>
      </c>
      <c r="AO5" s="15">
        <f t="shared" ref="AO5:AT5" si="36">AO3+AO4</f>
        <v>43981.015050000002</v>
      </c>
      <c r="AP5" s="15">
        <f t="shared" si="36"/>
        <v>49544.978206499996</v>
      </c>
      <c r="AQ5" s="15">
        <f t="shared" si="36"/>
        <v>55821.506757344985</v>
      </c>
      <c r="AR5" s="15">
        <f t="shared" si="36"/>
        <v>61345.050460039485</v>
      </c>
      <c r="AS5" s="15">
        <f t="shared" si="36"/>
        <v>66252.654496842661</v>
      </c>
      <c r="AT5" s="15">
        <f t="shared" si="36"/>
        <v>70364.53211336094</v>
      </c>
      <c r="AU5" s="15">
        <f>AU3+AU4</f>
        <v>74108.343991096714</v>
      </c>
      <c r="AV5" s="15">
        <f>AU5*(AV9+1)</f>
        <v>75590.510870918646</v>
      </c>
      <c r="AW5" s="15">
        <f t="shared" ref="AW5:CB5" si="37">AV5*(AW9+1)</f>
        <v>77102.321088337019</v>
      </c>
      <c r="AX5" s="15">
        <f t="shared" si="37"/>
        <v>78644.367510103766</v>
      </c>
      <c r="AY5" s="15">
        <f t="shared" si="37"/>
        <v>80217.254860305839</v>
      </c>
      <c r="AZ5" s="15">
        <f t="shared" si="37"/>
        <v>81821.599957511949</v>
      </c>
      <c r="BA5" s="15">
        <f t="shared" si="37"/>
        <v>83458.031956662191</v>
      </c>
      <c r="BB5" s="15">
        <f t="shared" si="37"/>
        <v>85127.192595795437</v>
      </c>
      <c r="BC5" s="15">
        <f t="shared" si="37"/>
        <v>86829.736447711344</v>
      </c>
      <c r="BD5" s="15">
        <f t="shared" si="37"/>
        <v>88566.331176665568</v>
      </c>
      <c r="BE5" s="15">
        <f t="shared" si="37"/>
        <v>90337.657800198882</v>
      </c>
      <c r="BF5" s="15">
        <f t="shared" si="37"/>
        <v>92144.410956202861</v>
      </c>
      <c r="BG5" s="15">
        <f t="shared" si="37"/>
        <v>93987.299175326916</v>
      </c>
      <c r="BH5" s="15">
        <f t="shared" si="37"/>
        <v>95867.045158833454</v>
      </c>
      <c r="BI5" s="15">
        <f t="shared" si="37"/>
        <v>97784.386062010119</v>
      </c>
      <c r="BJ5" s="15">
        <f t="shared" si="37"/>
        <v>99740.073783250322</v>
      </c>
      <c r="BK5" s="15">
        <f t="shared" si="37"/>
        <v>101734.87525891533</v>
      </c>
      <c r="BL5" s="15">
        <f t="shared" si="37"/>
        <v>103769.57276409364</v>
      </c>
      <c r="BM5" s="15">
        <f t="shared" si="37"/>
        <v>105844.96421937551</v>
      </c>
      <c r="BN5" s="15">
        <f t="shared" si="37"/>
        <v>107961.86350376303</v>
      </c>
      <c r="BO5" s="15">
        <f t="shared" si="37"/>
        <v>110121.10077383829</v>
      </c>
      <c r="BP5" s="15">
        <f t="shared" si="37"/>
        <v>112323.52278931506</v>
      </c>
      <c r="BQ5" s="15">
        <f t="shared" si="37"/>
        <v>114569.99324510136</v>
      </c>
      <c r="BR5" s="15">
        <f t="shared" si="37"/>
        <v>116861.3931100034</v>
      </c>
      <c r="BS5" s="15">
        <f t="shared" si="37"/>
        <v>119198.62097220347</v>
      </c>
      <c r="BT5" s="15">
        <f t="shared" si="37"/>
        <v>121582.59339164755</v>
      </c>
      <c r="BU5" s="15">
        <f t="shared" si="37"/>
        <v>124014.24525948051</v>
      </c>
      <c r="BV5" s="15">
        <f t="shared" si="37"/>
        <v>126494.53016467013</v>
      </c>
      <c r="BW5" s="15">
        <f t="shared" si="37"/>
        <v>129024.42076796353</v>
      </c>
      <c r="BX5" s="15">
        <f t="shared" si="37"/>
        <v>131604.9091833228</v>
      </c>
      <c r="BY5" s="15">
        <f t="shared" si="37"/>
        <v>134237.00736698927</v>
      </c>
      <c r="BZ5" s="15">
        <f t="shared" si="37"/>
        <v>136921.74751432906</v>
      </c>
      <c r="CA5" s="15">
        <f t="shared" si="37"/>
        <v>139660.18246461565</v>
      </c>
      <c r="CB5" s="15">
        <f t="shared" si="37"/>
        <v>142453.38611390797</v>
      </c>
      <c r="CC5" s="15">
        <f t="shared" ref="CC5:CL5" si="38">CB5*(CC9+1)</f>
        <v>145302.45383618612</v>
      </c>
      <c r="CD5" s="15">
        <f t="shared" si="38"/>
        <v>148208.50291290984</v>
      </c>
      <c r="CE5" s="15">
        <f t="shared" si="38"/>
        <v>151172.67297116804</v>
      </c>
      <c r="CF5" s="15">
        <f t="shared" si="38"/>
        <v>154196.12643059139</v>
      </c>
      <c r="CG5" s="15">
        <f t="shared" si="38"/>
        <v>157280.04895920321</v>
      </c>
      <c r="CH5" s="15">
        <f t="shared" si="38"/>
        <v>160425.64993838727</v>
      </c>
      <c r="CI5" s="15">
        <f t="shared" si="38"/>
        <v>163634.16293715502</v>
      </c>
      <c r="CJ5" s="15">
        <f t="shared" si="38"/>
        <v>166906.84619589814</v>
      </c>
      <c r="CK5" s="15">
        <f t="shared" si="38"/>
        <v>170244.98311981611</v>
      </c>
      <c r="CL5" s="15">
        <f t="shared" si="38"/>
        <v>173649.88278221243</v>
      </c>
      <c r="CM5" s="15"/>
      <c r="CN5" s="15"/>
      <c r="CO5" s="15"/>
      <c r="CP5" s="15"/>
    </row>
    <row r="6" spans="1:94" s="3" customFormat="1" ht="15"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</row>
    <row r="7" spans="1:94">
      <c r="B7" s="1" t="s">
        <v>14</v>
      </c>
      <c r="D7" s="6"/>
      <c r="E7" s="6"/>
      <c r="F7" s="6"/>
      <c r="G7" s="6">
        <f t="shared" ref="G7:O7" si="39">G3/C3-1</f>
        <v>0.2384393063583814</v>
      </c>
      <c r="H7" s="6">
        <f t="shared" si="39"/>
        <v>0.2078119715928306</v>
      </c>
      <c r="I7" s="6">
        <f t="shared" si="39"/>
        <v>0.13387678319485818</v>
      </c>
      <c r="J7" s="6">
        <f>J3/F3-1</f>
        <v>0.14118336262448739</v>
      </c>
      <c r="K7" s="6">
        <f t="shared" si="39"/>
        <v>0.11464410735122521</v>
      </c>
      <c r="L7" s="6">
        <f t="shared" si="39"/>
        <v>0.12081758364832695</v>
      </c>
      <c r="M7" s="6">
        <f t="shared" si="39"/>
        <v>0.12553573897414627</v>
      </c>
      <c r="N7" s="6">
        <f t="shared" si="39"/>
        <v>0.12268993839835729</v>
      </c>
      <c r="O7" s="6">
        <f t="shared" si="39"/>
        <v>0.12339701648783041</v>
      </c>
      <c r="P7" s="6">
        <f t="shared" ref="P7:R9" si="40">P3/L3-1</f>
        <v>9.4678990756932313E-2</v>
      </c>
      <c r="Q7" s="6">
        <f t="shared" si="40"/>
        <v>9.0652254022847378E-2</v>
      </c>
      <c r="R7" s="6">
        <f t="shared" si="40"/>
        <v>8.0361225422953764E-2</v>
      </c>
      <c r="AK7" s="6">
        <f>AVERAGE(G7:J7)</f>
        <v>0.18032785594263939</v>
      </c>
      <c r="AL7" s="6">
        <f>AVERAGE(K7:N7)</f>
        <v>0.12092184209301393</v>
      </c>
      <c r="AM7" s="6">
        <f>AVERAGE(O7:R7)</f>
        <v>9.7272371672640967E-2</v>
      </c>
      <c r="AN7" s="12">
        <v>8.5000000000000006E-2</v>
      </c>
      <c r="AO7" s="12">
        <v>7.0000000000000007E-2</v>
      </c>
      <c r="AP7" s="12">
        <v>0.13</v>
      </c>
      <c r="AQ7" s="12">
        <v>0.13</v>
      </c>
      <c r="AR7" s="12">
        <v>0.1</v>
      </c>
      <c r="AS7" s="12">
        <v>0.08</v>
      </c>
      <c r="AT7" s="12">
        <v>0.06</v>
      </c>
      <c r="AU7" s="12">
        <v>0.05</v>
      </c>
      <c r="AV7" s="12"/>
      <c r="AW7" s="12"/>
      <c r="AX7" s="12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</row>
    <row r="8" spans="1:94">
      <c r="B8" s="1" t="s">
        <v>33</v>
      </c>
      <c r="D8" s="6"/>
      <c r="E8" s="6"/>
      <c r="F8" s="6"/>
      <c r="G8" s="6">
        <f t="shared" ref="G8:O8" si="41">G4/C4-1</f>
        <v>0.29976580796252938</v>
      </c>
      <c r="H8" s="6">
        <f t="shared" si="41"/>
        <v>0.35446009389671351</v>
      </c>
      <c r="I8" s="6">
        <f t="shared" si="41"/>
        <v>0.24793388429752072</v>
      </c>
      <c r="J8" s="6">
        <f t="shared" si="41"/>
        <v>0.19477911646586343</v>
      </c>
      <c r="K8" s="6">
        <f t="shared" si="41"/>
        <v>9.0090090090090058E-2</v>
      </c>
      <c r="L8" s="6">
        <f t="shared" si="41"/>
        <v>3.4662045060658508E-2</v>
      </c>
      <c r="M8" s="6">
        <f t="shared" si="41"/>
        <v>-4.1390728476821237E-2</v>
      </c>
      <c r="N8" s="6">
        <f t="shared" si="41"/>
        <v>-9.4117647058823528E-2</v>
      </c>
      <c r="O8" s="6">
        <f t="shared" si="41"/>
        <v>-9.4214876033057893E-2</v>
      </c>
      <c r="P8" s="6">
        <f t="shared" si="40"/>
        <v>-6.0301507537688481E-2</v>
      </c>
      <c r="Q8" s="6">
        <f t="shared" si="40"/>
        <v>-2.4179620034542326E-2</v>
      </c>
      <c r="R8" s="6">
        <f t="shared" si="40"/>
        <v>5.5658627087198376E-3</v>
      </c>
      <c r="AK8" s="6">
        <f>AVERAGE(G8:J8)</f>
        <v>0.27423472565565676</v>
      </c>
      <c r="AL8" s="6">
        <f>AVERAGE(K8:N8)</f>
        <v>-2.6890600962240496E-3</v>
      </c>
      <c r="AM8" s="6">
        <f>AVERAGE(O8:R8)</f>
        <v>-4.3282535224142216E-2</v>
      </c>
      <c r="AN8" s="12">
        <v>0.1</v>
      </c>
      <c r="AO8" s="12">
        <v>0.05</v>
      </c>
      <c r="AP8" s="12">
        <v>7.0000000000000007E-2</v>
      </c>
      <c r="AQ8" s="12">
        <v>7.0000000000000007E-2</v>
      </c>
      <c r="AR8" s="12">
        <v>0.08</v>
      </c>
      <c r="AS8" s="12">
        <v>0.08</v>
      </c>
      <c r="AT8" s="12">
        <v>0.1</v>
      </c>
      <c r="AU8" s="12">
        <v>0.11</v>
      </c>
      <c r="AV8" s="12"/>
      <c r="AW8" s="12"/>
      <c r="AX8" s="12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</row>
    <row r="9" spans="1:94" s="6" customFormat="1">
      <c r="B9" s="6" t="s">
        <v>15</v>
      </c>
      <c r="G9" s="6">
        <f t="shared" ref="G9:O9" si="42">G5/C5-1</f>
        <v>0.24283078987087037</v>
      </c>
      <c r="H9" s="6">
        <f t="shared" si="42"/>
        <v>0.21766561514195581</v>
      </c>
      <c r="I9" s="6">
        <f t="shared" si="42"/>
        <v>0.14192044295497586</v>
      </c>
      <c r="J9" s="6">
        <f t="shared" si="42"/>
        <v>0.14482664482664487</v>
      </c>
      <c r="K9" s="6">
        <f t="shared" si="42"/>
        <v>0.11280528943462431</v>
      </c>
      <c r="L9" s="6">
        <f t="shared" si="42"/>
        <v>0.11437823834196892</v>
      </c>
      <c r="M9" s="6">
        <f t="shared" si="42"/>
        <v>0.11267066479520227</v>
      </c>
      <c r="N9" s="6">
        <f t="shared" si="42"/>
        <v>0.10730893048765955</v>
      </c>
      <c r="O9" s="6">
        <f t="shared" si="42"/>
        <v>0.10743300594155447</v>
      </c>
      <c r="P9" s="6">
        <f t="shared" si="40"/>
        <v>8.3924212484017158E-2</v>
      </c>
      <c r="Q9" s="6">
        <f t="shared" si="40"/>
        <v>8.3027522935779752E-2</v>
      </c>
      <c r="R9" s="6">
        <f t="shared" si="40"/>
        <v>7.6020243350920724E-2</v>
      </c>
      <c r="AK9" s="6">
        <f>AVERAGE(G9:J9)</f>
        <v>0.18681087319861173</v>
      </c>
      <c r="AL9" s="6">
        <f>AVERAGE(K9:N9)</f>
        <v>0.11179078076486376</v>
      </c>
      <c r="AM9" s="6">
        <f>AVERAGE(O9:R9)</f>
        <v>8.7601246178068026E-2</v>
      </c>
      <c r="AN9" s="12">
        <f>AN5/AM5-1</f>
        <v>8.5877160575273725E-2</v>
      </c>
      <c r="AO9" s="12">
        <f t="shared" ref="AO9:AU9" si="43">AO5/AN5-1</f>
        <v>6.8815241517386383E-2</v>
      </c>
      <c r="AP9" s="12">
        <f t="shared" si="43"/>
        <v>0.12650829341193193</v>
      </c>
      <c r="AQ9" s="12">
        <f t="shared" si="43"/>
        <v>0.12668344558927558</v>
      </c>
      <c r="AR9" s="12">
        <f t="shared" si="43"/>
        <v>9.895010048197439E-2</v>
      </c>
      <c r="AS9" s="12">
        <f t="shared" si="43"/>
        <v>8.0000000000000293E-2</v>
      </c>
      <c r="AT9" s="12">
        <f t="shared" si="43"/>
        <v>6.2063590474163322E-2</v>
      </c>
      <c r="AU9" s="12">
        <f t="shared" si="43"/>
        <v>5.320595142598683E-2</v>
      </c>
      <c r="AV9" s="12">
        <f>$AQ$40</f>
        <v>0.02</v>
      </c>
      <c r="AW9" s="12">
        <f t="shared" ref="AW9:CL9" si="44">$AQ$40</f>
        <v>0.02</v>
      </c>
      <c r="AX9" s="12">
        <f t="shared" si="44"/>
        <v>0.02</v>
      </c>
      <c r="AY9" s="12">
        <f t="shared" si="44"/>
        <v>0.02</v>
      </c>
      <c r="AZ9" s="12">
        <f t="shared" si="44"/>
        <v>0.02</v>
      </c>
      <c r="BA9" s="12">
        <f t="shared" si="44"/>
        <v>0.02</v>
      </c>
      <c r="BB9" s="12">
        <f t="shared" si="44"/>
        <v>0.02</v>
      </c>
      <c r="BC9" s="12">
        <f t="shared" si="44"/>
        <v>0.02</v>
      </c>
      <c r="BD9" s="12">
        <f t="shared" si="44"/>
        <v>0.02</v>
      </c>
      <c r="BE9" s="12">
        <f t="shared" si="44"/>
        <v>0.02</v>
      </c>
      <c r="BF9" s="12">
        <f t="shared" si="44"/>
        <v>0.02</v>
      </c>
      <c r="BG9" s="12">
        <f t="shared" si="44"/>
        <v>0.02</v>
      </c>
      <c r="BH9" s="12">
        <f t="shared" si="44"/>
        <v>0.02</v>
      </c>
      <c r="BI9" s="12">
        <f t="shared" si="44"/>
        <v>0.02</v>
      </c>
      <c r="BJ9" s="12">
        <f t="shared" si="44"/>
        <v>0.02</v>
      </c>
      <c r="BK9" s="12">
        <f t="shared" si="44"/>
        <v>0.02</v>
      </c>
      <c r="BL9" s="12">
        <f t="shared" si="44"/>
        <v>0.02</v>
      </c>
      <c r="BM9" s="12">
        <f t="shared" si="44"/>
        <v>0.02</v>
      </c>
      <c r="BN9" s="12">
        <f t="shared" si="44"/>
        <v>0.02</v>
      </c>
      <c r="BO9" s="12">
        <f t="shared" si="44"/>
        <v>0.02</v>
      </c>
      <c r="BP9" s="12">
        <f t="shared" si="44"/>
        <v>0.02</v>
      </c>
      <c r="BQ9" s="12">
        <f t="shared" si="44"/>
        <v>0.02</v>
      </c>
      <c r="BR9" s="12">
        <f t="shared" si="44"/>
        <v>0.02</v>
      </c>
      <c r="BS9" s="12">
        <f t="shared" si="44"/>
        <v>0.02</v>
      </c>
      <c r="BT9" s="12">
        <f t="shared" si="44"/>
        <v>0.02</v>
      </c>
      <c r="BU9" s="12">
        <f t="shared" si="44"/>
        <v>0.02</v>
      </c>
      <c r="BV9" s="12">
        <f t="shared" si="44"/>
        <v>0.02</v>
      </c>
      <c r="BW9" s="12">
        <f t="shared" si="44"/>
        <v>0.02</v>
      </c>
      <c r="BX9" s="12">
        <f t="shared" si="44"/>
        <v>0.02</v>
      </c>
      <c r="BY9" s="12">
        <f t="shared" si="44"/>
        <v>0.02</v>
      </c>
      <c r="BZ9" s="12">
        <f t="shared" si="44"/>
        <v>0.02</v>
      </c>
      <c r="CA9" s="12">
        <f t="shared" si="44"/>
        <v>0.02</v>
      </c>
      <c r="CB9" s="12">
        <f t="shared" si="44"/>
        <v>0.02</v>
      </c>
      <c r="CC9" s="12">
        <f t="shared" si="44"/>
        <v>0.02</v>
      </c>
      <c r="CD9" s="12">
        <f t="shared" si="44"/>
        <v>0.02</v>
      </c>
      <c r="CE9" s="12">
        <f t="shared" si="44"/>
        <v>0.02</v>
      </c>
      <c r="CF9" s="12">
        <f t="shared" si="44"/>
        <v>0.02</v>
      </c>
      <c r="CG9" s="12">
        <f t="shared" si="44"/>
        <v>0.02</v>
      </c>
      <c r="CH9" s="12">
        <f t="shared" si="44"/>
        <v>0.02</v>
      </c>
      <c r="CI9" s="12">
        <f t="shared" si="44"/>
        <v>0.02</v>
      </c>
      <c r="CJ9" s="12">
        <f t="shared" si="44"/>
        <v>0.02</v>
      </c>
      <c r="CK9" s="12">
        <f t="shared" si="44"/>
        <v>0.02</v>
      </c>
      <c r="CL9" s="12">
        <f t="shared" si="44"/>
        <v>0.02</v>
      </c>
      <c r="CM9" s="12"/>
      <c r="CN9" s="12"/>
      <c r="CO9" s="12"/>
      <c r="CP9" s="12"/>
    </row>
    <row r="10" spans="1:94" ht="15">
      <c r="A10" s="3" t="s">
        <v>12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</row>
    <row r="11" spans="1:94">
      <c r="B11" s="1" t="s">
        <v>10</v>
      </c>
      <c r="C11" s="1">
        <v>1122</v>
      </c>
      <c r="D11" s="1">
        <v>1146</v>
      </c>
      <c r="E11" s="1">
        <v>1335</v>
      </c>
      <c r="F11" s="1">
        <f>5059-SUM(C11:E11)</f>
        <v>1456</v>
      </c>
      <c r="G11" s="1">
        <v>1440</v>
      </c>
      <c r="H11" s="1">
        <v>1490</v>
      </c>
      <c r="I11" s="1">
        <v>1451</v>
      </c>
      <c r="J11" s="1">
        <f>5821-G11-H11-I11</f>
        <v>1440</v>
      </c>
      <c r="K11" s="1">
        <v>1510</v>
      </c>
      <c r="L11" s="1">
        <v>1515</v>
      </c>
      <c r="M11" s="1">
        <v>1571</v>
      </c>
      <c r="N11" s="1">
        <f>6177-SUM(K11:M11)</f>
        <v>1581</v>
      </c>
      <c r="O11" s="1">
        <v>1560</v>
      </c>
      <c r="P11" s="1">
        <v>1556</v>
      </c>
      <c r="Q11" s="1">
        <v>1501</v>
      </c>
      <c r="R11" s="1">
        <f>6198-SUM(O11:Q11)</f>
        <v>1581</v>
      </c>
      <c r="AJ11" s="1">
        <f>SUM(C11:F11)</f>
        <v>5059</v>
      </c>
      <c r="AK11" s="1">
        <f>SUM(G11:J11)</f>
        <v>5821</v>
      </c>
      <c r="AL11" s="1">
        <f>SUM(K11:N11)</f>
        <v>6177</v>
      </c>
      <c r="AM11" s="1">
        <f>SUM(O11:R11)</f>
        <v>6198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</row>
    <row r="12" spans="1:94">
      <c r="B12" s="1" t="s">
        <v>32</v>
      </c>
      <c r="C12" s="1">
        <v>433</v>
      </c>
      <c r="D12" s="1">
        <v>467</v>
      </c>
      <c r="E12" s="1">
        <v>509</v>
      </c>
      <c r="F12" s="1">
        <f>1967-SUM(C12:E12)</f>
        <v>558</v>
      </c>
      <c r="G12" s="1">
        <v>605</v>
      </c>
      <c r="H12" s="1">
        <v>637</v>
      </c>
      <c r="I12" s="1">
        <v>637</v>
      </c>
      <c r="J12" s="1">
        <f>2539-G12-H12-I12</f>
        <v>660</v>
      </c>
      <c r="K12" s="1">
        <v>615</v>
      </c>
      <c r="L12" s="1">
        <v>598</v>
      </c>
      <c r="M12" s="1">
        <v>584</v>
      </c>
      <c r="N12" s="1">
        <f>2364-SUM(K12:M12)</f>
        <v>567</v>
      </c>
      <c r="O12" s="1">
        <v>602</v>
      </c>
      <c r="P12" s="1">
        <v>603</v>
      </c>
      <c r="Q12" s="1">
        <v>604</v>
      </c>
      <c r="R12" s="1">
        <f>2445-SUM(O12:Q12)</f>
        <v>636</v>
      </c>
      <c r="AJ12" s="1">
        <f>SUM(C12:F12)</f>
        <v>1967</v>
      </c>
      <c r="AK12" s="1">
        <f>SUM(G12:J12)</f>
        <v>2539</v>
      </c>
      <c r="AL12" s="1">
        <f>SUM(K12:N12)</f>
        <v>2364</v>
      </c>
      <c r="AM12" s="1">
        <f>SUM(O12:R12)</f>
        <v>2445</v>
      </c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</row>
    <row r="13" spans="1:94" s="3" customFormat="1" ht="15">
      <c r="B13" s="3" t="s">
        <v>29</v>
      </c>
      <c r="C13" s="3">
        <f t="shared" ref="C13:O13" si="45">C11+C12</f>
        <v>1555</v>
      </c>
      <c r="D13" s="3">
        <f t="shared" si="45"/>
        <v>1613</v>
      </c>
      <c r="E13" s="3">
        <f t="shared" si="45"/>
        <v>1844</v>
      </c>
      <c r="F13" s="3">
        <f t="shared" si="45"/>
        <v>2014</v>
      </c>
      <c r="G13" s="3">
        <f t="shared" si="45"/>
        <v>2045</v>
      </c>
      <c r="H13" s="3">
        <f t="shared" si="45"/>
        <v>2127</v>
      </c>
      <c r="I13" s="3">
        <f t="shared" si="45"/>
        <v>2088</v>
      </c>
      <c r="J13" s="3">
        <f t="shared" si="45"/>
        <v>2100</v>
      </c>
      <c r="K13" s="3">
        <f t="shared" si="45"/>
        <v>2125</v>
      </c>
      <c r="L13" s="3">
        <f t="shared" si="45"/>
        <v>2113</v>
      </c>
      <c r="M13" s="3">
        <f t="shared" si="45"/>
        <v>2155</v>
      </c>
      <c r="N13" s="3">
        <f t="shared" si="45"/>
        <v>2148</v>
      </c>
      <c r="O13" s="3">
        <f t="shared" si="45"/>
        <v>2162</v>
      </c>
      <c r="P13" s="3">
        <f>P11+P12</f>
        <v>2159</v>
      </c>
      <c r="Q13" s="3">
        <f>Q11+Q12</f>
        <v>2105</v>
      </c>
      <c r="R13" s="3">
        <f t="shared" ref="R13" si="46">R11+R12</f>
        <v>2217</v>
      </c>
      <c r="AJ13" s="3">
        <f>SUM(C13:F13)</f>
        <v>7026</v>
      </c>
      <c r="AK13" s="3">
        <f>SUM(G13:J13)</f>
        <v>8360</v>
      </c>
      <c r="AL13" s="3">
        <f>SUM(K13:N13)</f>
        <v>8541</v>
      </c>
      <c r="AM13" s="3">
        <f>SUM(O13:R13)</f>
        <v>8643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</row>
    <row r="14" spans="1:94"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</row>
    <row r="15" spans="1:94" ht="15">
      <c r="A15" s="3" t="s">
        <v>13</v>
      </c>
      <c r="C15" s="1">
        <f t="shared" ref="C15:R15" si="47">C5</f>
        <v>5963</v>
      </c>
      <c r="D15" s="1">
        <f t="shared" si="47"/>
        <v>6340</v>
      </c>
      <c r="E15" s="1">
        <f t="shared" si="47"/>
        <v>6863</v>
      </c>
      <c r="F15" s="1">
        <f t="shared" si="47"/>
        <v>7326</v>
      </c>
      <c r="G15" s="1">
        <f t="shared" si="47"/>
        <v>7411</v>
      </c>
      <c r="H15" s="1">
        <f t="shared" si="47"/>
        <v>7720</v>
      </c>
      <c r="I15" s="1">
        <f t="shared" si="47"/>
        <v>7837</v>
      </c>
      <c r="J15" s="1">
        <f t="shared" si="47"/>
        <v>8387</v>
      </c>
      <c r="K15" s="1">
        <f t="shared" si="47"/>
        <v>8247</v>
      </c>
      <c r="L15" s="1">
        <f t="shared" si="47"/>
        <v>8603</v>
      </c>
      <c r="M15" s="1">
        <f t="shared" si="47"/>
        <v>8720</v>
      </c>
      <c r="N15" s="1">
        <f t="shared" si="47"/>
        <v>9287</v>
      </c>
      <c r="O15" s="1">
        <f t="shared" si="47"/>
        <v>9133</v>
      </c>
      <c r="P15" s="1">
        <f t="shared" si="47"/>
        <v>9325</v>
      </c>
      <c r="Q15" s="1">
        <f t="shared" si="47"/>
        <v>9444</v>
      </c>
      <c r="R15" s="1">
        <f t="shared" si="47"/>
        <v>9993</v>
      </c>
      <c r="AJ15" s="1">
        <f t="shared" ref="AJ15:AJ29" si="48">SUM(C15:F15)</f>
        <v>26492</v>
      </c>
      <c r="AK15" s="1">
        <f t="shared" ref="AK15:AK29" si="49">SUM(G15:J15)</f>
        <v>31355</v>
      </c>
      <c r="AL15" s="1">
        <f t="shared" ref="AL15:AL27" si="50">SUM(K15:N15)</f>
        <v>34857</v>
      </c>
      <c r="AM15" s="1">
        <f t="shared" ref="AM15:AM27" si="51">SUM(O15:R15)</f>
        <v>37895</v>
      </c>
      <c r="AN15" s="13">
        <f t="shared" ref="AN15:BS15" si="52">AN5</f>
        <v>41149.314999999995</v>
      </c>
      <c r="AO15" s="13">
        <f t="shared" si="52"/>
        <v>43981.015050000002</v>
      </c>
      <c r="AP15" s="13">
        <f t="shared" si="52"/>
        <v>49544.978206499996</v>
      </c>
      <c r="AQ15" s="13">
        <f t="shared" si="52"/>
        <v>55821.506757344985</v>
      </c>
      <c r="AR15" s="13">
        <f t="shared" si="52"/>
        <v>61345.050460039485</v>
      </c>
      <c r="AS15" s="13">
        <f t="shared" si="52"/>
        <v>66252.654496842661</v>
      </c>
      <c r="AT15" s="13">
        <f t="shared" si="52"/>
        <v>70364.53211336094</v>
      </c>
      <c r="AU15" s="13">
        <f t="shared" si="52"/>
        <v>74108.343991096714</v>
      </c>
      <c r="AV15" s="13">
        <f t="shared" si="52"/>
        <v>75590.510870918646</v>
      </c>
      <c r="AW15" s="13">
        <f t="shared" si="52"/>
        <v>77102.321088337019</v>
      </c>
      <c r="AX15" s="13">
        <f t="shared" si="52"/>
        <v>78644.367510103766</v>
      </c>
      <c r="AY15" s="13">
        <f t="shared" si="52"/>
        <v>80217.254860305839</v>
      </c>
      <c r="AZ15" s="13">
        <f t="shared" si="52"/>
        <v>81821.599957511949</v>
      </c>
      <c r="BA15" s="13">
        <f t="shared" si="52"/>
        <v>83458.031956662191</v>
      </c>
      <c r="BB15" s="13">
        <f t="shared" si="52"/>
        <v>85127.192595795437</v>
      </c>
      <c r="BC15" s="13">
        <f t="shared" si="52"/>
        <v>86829.736447711344</v>
      </c>
      <c r="BD15" s="13">
        <f t="shared" si="52"/>
        <v>88566.331176665568</v>
      </c>
      <c r="BE15" s="13">
        <f t="shared" si="52"/>
        <v>90337.657800198882</v>
      </c>
      <c r="BF15" s="13">
        <f t="shared" si="52"/>
        <v>92144.410956202861</v>
      </c>
      <c r="BG15" s="13">
        <f t="shared" si="52"/>
        <v>93987.299175326916</v>
      </c>
      <c r="BH15" s="13">
        <f t="shared" si="52"/>
        <v>95867.045158833454</v>
      </c>
      <c r="BI15" s="13">
        <f t="shared" si="52"/>
        <v>97784.386062010119</v>
      </c>
      <c r="BJ15" s="13">
        <f t="shared" si="52"/>
        <v>99740.073783250322</v>
      </c>
      <c r="BK15" s="13">
        <f t="shared" si="52"/>
        <v>101734.87525891533</v>
      </c>
      <c r="BL15" s="13">
        <f t="shared" si="52"/>
        <v>103769.57276409364</v>
      </c>
      <c r="BM15" s="13">
        <f t="shared" si="52"/>
        <v>105844.96421937551</v>
      </c>
      <c r="BN15" s="13">
        <f t="shared" si="52"/>
        <v>107961.86350376303</v>
      </c>
      <c r="BO15" s="13">
        <f t="shared" si="52"/>
        <v>110121.10077383829</v>
      </c>
      <c r="BP15" s="13">
        <f t="shared" si="52"/>
        <v>112323.52278931506</v>
      </c>
      <c r="BQ15" s="13">
        <f t="shared" si="52"/>
        <v>114569.99324510136</v>
      </c>
      <c r="BR15" s="13">
        <f t="shared" si="52"/>
        <v>116861.3931100034</v>
      </c>
      <c r="BS15" s="13">
        <f t="shared" si="52"/>
        <v>119198.62097220347</v>
      </c>
      <c r="BT15" s="13">
        <f t="shared" ref="BT15:CL15" si="53">BT5</f>
        <v>121582.59339164755</v>
      </c>
      <c r="BU15" s="13">
        <f t="shared" si="53"/>
        <v>124014.24525948051</v>
      </c>
      <c r="BV15" s="13">
        <f t="shared" si="53"/>
        <v>126494.53016467013</v>
      </c>
      <c r="BW15" s="13">
        <f t="shared" si="53"/>
        <v>129024.42076796353</v>
      </c>
      <c r="BX15" s="13">
        <f t="shared" si="53"/>
        <v>131604.9091833228</v>
      </c>
      <c r="BY15" s="13">
        <f t="shared" si="53"/>
        <v>134237.00736698927</v>
      </c>
      <c r="BZ15" s="13">
        <f t="shared" si="53"/>
        <v>136921.74751432906</v>
      </c>
      <c r="CA15" s="13">
        <f t="shared" si="53"/>
        <v>139660.18246461565</v>
      </c>
      <c r="CB15" s="13">
        <f t="shared" si="53"/>
        <v>142453.38611390797</v>
      </c>
      <c r="CC15" s="13">
        <f t="shared" si="53"/>
        <v>145302.45383618612</v>
      </c>
      <c r="CD15" s="13">
        <f t="shared" si="53"/>
        <v>148208.50291290984</v>
      </c>
      <c r="CE15" s="13">
        <f t="shared" si="53"/>
        <v>151172.67297116804</v>
      </c>
      <c r="CF15" s="13">
        <f t="shared" si="53"/>
        <v>154196.12643059139</v>
      </c>
      <c r="CG15" s="13">
        <f t="shared" si="53"/>
        <v>157280.04895920321</v>
      </c>
      <c r="CH15" s="13">
        <f t="shared" si="53"/>
        <v>160425.64993838727</v>
      </c>
      <c r="CI15" s="13">
        <f t="shared" si="53"/>
        <v>163634.16293715502</v>
      </c>
      <c r="CJ15" s="13">
        <f t="shared" si="53"/>
        <v>166906.84619589814</v>
      </c>
      <c r="CK15" s="13">
        <f t="shared" si="53"/>
        <v>170244.98311981611</v>
      </c>
      <c r="CL15" s="13">
        <f t="shared" si="53"/>
        <v>173649.88278221243</v>
      </c>
      <c r="CM15" s="13"/>
      <c r="CN15" s="13"/>
      <c r="CO15" s="13"/>
      <c r="CP15" s="13"/>
    </row>
    <row r="16" spans="1:94">
      <c r="B16" s="1" t="s">
        <v>12</v>
      </c>
      <c r="C16" s="1">
        <f t="shared" ref="C16:R16" si="54">C13</f>
        <v>1555</v>
      </c>
      <c r="D16" s="1">
        <f t="shared" si="54"/>
        <v>1613</v>
      </c>
      <c r="E16" s="1">
        <f t="shared" si="54"/>
        <v>1844</v>
      </c>
      <c r="F16" s="1">
        <f t="shared" si="54"/>
        <v>2014</v>
      </c>
      <c r="G16" s="1">
        <f t="shared" si="54"/>
        <v>2045</v>
      </c>
      <c r="H16" s="1">
        <f t="shared" si="54"/>
        <v>2127</v>
      </c>
      <c r="I16" s="1">
        <f t="shared" si="54"/>
        <v>2088</v>
      </c>
      <c r="J16" s="1">
        <f t="shared" si="54"/>
        <v>2100</v>
      </c>
      <c r="K16" s="1">
        <f t="shared" si="54"/>
        <v>2125</v>
      </c>
      <c r="L16" s="1">
        <f t="shared" si="54"/>
        <v>2113</v>
      </c>
      <c r="M16" s="1">
        <f t="shared" si="54"/>
        <v>2155</v>
      </c>
      <c r="N16" s="1">
        <f t="shared" si="54"/>
        <v>2148</v>
      </c>
      <c r="O16" s="1">
        <f t="shared" si="54"/>
        <v>2162</v>
      </c>
      <c r="P16" s="1">
        <f t="shared" si="54"/>
        <v>2159</v>
      </c>
      <c r="Q16" s="1">
        <f t="shared" si="54"/>
        <v>2105</v>
      </c>
      <c r="R16" s="1">
        <f t="shared" si="54"/>
        <v>2217</v>
      </c>
      <c r="AJ16" s="1">
        <f t="shared" si="48"/>
        <v>7026</v>
      </c>
      <c r="AK16" s="1">
        <f t="shared" si="49"/>
        <v>8360</v>
      </c>
      <c r="AL16" s="1">
        <f t="shared" si="50"/>
        <v>8541</v>
      </c>
      <c r="AM16" s="1">
        <f t="shared" si="51"/>
        <v>8643</v>
      </c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</row>
    <row r="17" spans="1:94">
      <c r="B17" s="1" t="s">
        <v>35</v>
      </c>
      <c r="C17" s="1">
        <f t="shared" ref="C17:O17" si="55">C15-C16</f>
        <v>4408</v>
      </c>
      <c r="D17" s="1">
        <f t="shared" si="55"/>
        <v>4727</v>
      </c>
      <c r="E17" s="1">
        <f t="shared" si="55"/>
        <v>5019</v>
      </c>
      <c r="F17" s="1">
        <f t="shared" si="55"/>
        <v>5312</v>
      </c>
      <c r="G17" s="1">
        <f t="shared" si="55"/>
        <v>5366</v>
      </c>
      <c r="H17" s="1">
        <f t="shared" si="55"/>
        <v>5593</v>
      </c>
      <c r="I17" s="1">
        <f t="shared" si="55"/>
        <v>5749</v>
      </c>
      <c r="J17" s="1">
        <f t="shared" si="55"/>
        <v>6287</v>
      </c>
      <c r="K17" s="1">
        <f t="shared" si="55"/>
        <v>6122</v>
      </c>
      <c r="L17" s="1">
        <f>L15-L16</f>
        <v>6490</v>
      </c>
      <c r="M17" s="1">
        <f t="shared" si="55"/>
        <v>6565</v>
      </c>
      <c r="N17" s="1">
        <f t="shared" si="55"/>
        <v>7139</v>
      </c>
      <c r="O17" s="1">
        <f t="shared" si="55"/>
        <v>6971</v>
      </c>
      <c r="P17" s="1">
        <f>P15-P16</f>
        <v>7166</v>
      </c>
      <c r="Q17" s="1">
        <f>Q15-Q16</f>
        <v>7339</v>
      </c>
      <c r="R17" s="1">
        <f>R15-R16</f>
        <v>7776</v>
      </c>
      <c r="AJ17" s="1">
        <f t="shared" si="48"/>
        <v>19466</v>
      </c>
      <c r="AK17" s="1">
        <f t="shared" si="49"/>
        <v>22995</v>
      </c>
      <c r="AL17" s="1">
        <f t="shared" si="50"/>
        <v>26316</v>
      </c>
      <c r="AM17" s="1">
        <f t="shared" si="51"/>
        <v>29252</v>
      </c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</row>
    <row r="18" spans="1:94">
      <c r="B18" s="1" t="s">
        <v>36</v>
      </c>
      <c r="C18" s="1">
        <v>951</v>
      </c>
      <c r="D18" s="1">
        <v>1020</v>
      </c>
      <c r="E18" s="1">
        <v>1203</v>
      </c>
      <c r="F18" s="1">
        <f>4465-SUM(C18:E18)</f>
        <v>1291</v>
      </c>
      <c r="G18" s="1">
        <v>1318</v>
      </c>
      <c r="H18" s="1">
        <v>1329</v>
      </c>
      <c r="I18" s="1">
        <v>1280</v>
      </c>
      <c r="J18" s="1">
        <f>5059-G18-H18-I18</f>
        <v>1132</v>
      </c>
      <c r="K18" s="1">
        <v>1207</v>
      </c>
      <c r="L18" s="1">
        <v>1220</v>
      </c>
      <c r="M18" s="1">
        <v>1204</v>
      </c>
      <c r="N18" s="1">
        <f>4906-SUM(K18:M18)</f>
        <v>1275</v>
      </c>
      <c r="O18" s="1">
        <v>1368</v>
      </c>
      <c r="P18" s="1">
        <v>1349</v>
      </c>
      <c r="Q18" s="1">
        <v>1356</v>
      </c>
      <c r="R18" s="1">
        <f>5493-SUM(O18:Q18)</f>
        <v>1420</v>
      </c>
      <c r="AJ18" s="1">
        <f t="shared" si="48"/>
        <v>4465</v>
      </c>
      <c r="AK18" s="1">
        <f t="shared" si="49"/>
        <v>5059</v>
      </c>
      <c r="AL18" s="1">
        <f t="shared" si="50"/>
        <v>4906</v>
      </c>
      <c r="AM18" s="1">
        <f t="shared" si="51"/>
        <v>5493</v>
      </c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</row>
    <row r="19" spans="1:94">
      <c r="B19" s="1" t="s">
        <v>37</v>
      </c>
      <c r="C19" s="1">
        <v>2544</v>
      </c>
      <c r="D19" s="1">
        <v>2736</v>
      </c>
      <c r="E19" s="1">
        <v>3111</v>
      </c>
      <c r="F19" s="1">
        <f>11855-SUM(C19:E19)</f>
        <v>3464</v>
      </c>
      <c r="G19" s="1">
        <v>3372</v>
      </c>
      <c r="H19" s="1">
        <v>3424</v>
      </c>
      <c r="I19" s="1">
        <v>3345</v>
      </c>
      <c r="J19" s="1">
        <f>13526-G19-H19-I19</f>
        <v>3385</v>
      </c>
      <c r="K19" s="1">
        <v>3154</v>
      </c>
      <c r="L19" s="1">
        <v>3113</v>
      </c>
      <c r="M19" s="1">
        <v>3173</v>
      </c>
      <c r="N19" s="1">
        <f>12877-SUM(K19:M19)</f>
        <v>3437</v>
      </c>
      <c r="O19" s="1">
        <v>3239</v>
      </c>
      <c r="P19" s="1">
        <v>3224</v>
      </c>
      <c r="Q19" s="1">
        <v>3323</v>
      </c>
      <c r="R19" s="1">
        <f>13257-SUM(O19:Q19)</f>
        <v>3471</v>
      </c>
      <c r="AJ19" s="1">
        <f t="shared" si="48"/>
        <v>11855</v>
      </c>
      <c r="AK19" s="1">
        <f t="shared" si="49"/>
        <v>13526</v>
      </c>
      <c r="AL19" s="1">
        <f t="shared" si="50"/>
        <v>12877</v>
      </c>
      <c r="AM19" s="1">
        <f t="shared" si="51"/>
        <v>13257</v>
      </c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</row>
    <row r="20" spans="1:94">
      <c r="B20" s="1" t="s">
        <v>38</v>
      </c>
      <c r="C20" s="1">
        <v>559</v>
      </c>
      <c r="D20" s="1">
        <v>639</v>
      </c>
      <c r="E20" s="1">
        <v>667</v>
      </c>
      <c r="F20" s="1">
        <f>2598-SUM(C20:E20)</f>
        <v>733</v>
      </c>
      <c r="G20" s="1">
        <v>656</v>
      </c>
      <c r="H20" s="1">
        <v>647</v>
      </c>
      <c r="I20" s="1">
        <v>664</v>
      </c>
      <c r="J20" s="1">
        <f>2553-G20-H20-I20</f>
        <v>586</v>
      </c>
      <c r="K20" s="1">
        <v>638</v>
      </c>
      <c r="L20" s="1">
        <v>632</v>
      </c>
      <c r="M20" s="1">
        <v>632</v>
      </c>
      <c r="N20" s="1">
        <f>2534-SUM(K20:M20)</f>
        <v>632</v>
      </c>
      <c r="O20" s="1">
        <v>647</v>
      </c>
      <c r="P20" s="1">
        <v>711</v>
      </c>
      <c r="Q20" s="1">
        <v>711</v>
      </c>
      <c r="R20" s="1">
        <f>2836-SUM(O20:Q20)</f>
        <v>767</v>
      </c>
      <c r="AJ20" s="1">
        <f t="shared" si="48"/>
        <v>2598</v>
      </c>
      <c r="AK20" s="1">
        <f t="shared" si="49"/>
        <v>2553</v>
      </c>
      <c r="AL20" s="1">
        <f t="shared" si="50"/>
        <v>2534</v>
      </c>
      <c r="AM20" s="1">
        <f t="shared" si="51"/>
        <v>2836</v>
      </c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</row>
    <row r="21" spans="1:94">
      <c r="B21" s="1" t="s">
        <v>39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828</v>
      </c>
      <c r="K21" s="1">
        <v>711</v>
      </c>
      <c r="L21" s="1">
        <v>49</v>
      </c>
      <c r="M21" s="1">
        <v>55</v>
      </c>
      <c r="N21" s="1">
        <f>988-SUM(K21:M21)</f>
        <v>173</v>
      </c>
      <c r="O21" s="1">
        <v>8</v>
      </c>
      <c r="P21" s="1">
        <v>99</v>
      </c>
      <c r="Q21" s="1">
        <v>56</v>
      </c>
      <c r="R21" s="1">
        <f>461-SUM(O21:Q21)</f>
        <v>298</v>
      </c>
      <c r="AJ21" s="1">
        <f t="shared" si="48"/>
        <v>0</v>
      </c>
      <c r="AK21" s="1">
        <f t="shared" si="49"/>
        <v>828</v>
      </c>
      <c r="AL21" s="1">
        <f t="shared" si="50"/>
        <v>988</v>
      </c>
      <c r="AM21" s="1">
        <f t="shared" si="51"/>
        <v>461</v>
      </c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</row>
    <row r="22" spans="1:94">
      <c r="B22" s="1" t="s">
        <v>93</v>
      </c>
      <c r="C22" s="1">
        <f t="shared" ref="C22:O22" si="56">C17-SUM(C18:C21)</f>
        <v>354</v>
      </c>
      <c r="D22" s="1">
        <f t="shared" si="56"/>
        <v>332</v>
      </c>
      <c r="E22" s="1">
        <f t="shared" si="56"/>
        <v>38</v>
      </c>
      <c r="F22" s="1">
        <f t="shared" si="56"/>
        <v>-176</v>
      </c>
      <c r="G22" s="1">
        <f t="shared" si="56"/>
        <v>20</v>
      </c>
      <c r="H22" s="1">
        <f t="shared" si="56"/>
        <v>193</v>
      </c>
      <c r="I22" s="1">
        <f t="shared" si="56"/>
        <v>460</v>
      </c>
      <c r="J22" s="1">
        <f t="shared" si="56"/>
        <v>356</v>
      </c>
      <c r="K22" s="1">
        <f t="shared" si="56"/>
        <v>412</v>
      </c>
      <c r="L22" s="1">
        <f>L17-SUM(L18:L21)</f>
        <v>1476</v>
      </c>
      <c r="M22" s="1">
        <f t="shared" si="56"/>
        <v>1501</v>
      </c>
      <c r="N22" s="1">
        <f t="shared" si="56"/>
        <v>1622</v>
      </c>
      <c r="O22" s="1">
        <f t="shared" si="56"/>
        <v>1709</v>
      </c>
      <c r="P22" s="1">
        <f>P17-SUM(P18:P21)</f>
        <v>1783</v>
      </c>
      <c r="Q22" s="1">
        <f>Q17-SUM(Q18:Q21)</f>
        <v>1893</v>
      </c>
      <c r="R22" s="1">
        <f>R17-SUM(R18:R21)</f>
        <v>1820</v>
      </c>
      <c r="AJ22" s="1">
        <f t="shared" si="48"/>
        <v>548</v>
      </c>
      <c r="AK22" s="1">
        <f t="shared" si="49"/>
        <v>1029</v>
      </c>
      <c r="AL22" s="1">
        <f t="shared" si="50"/>
        <v>5011</v>
      </c>
      <c r="AM22" s="1">
        <f t="shared" si="51"/>
        <v>7205</v>
      </c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</row>
    <row r="23" spans="1:94">
      <c r="B23" s="1" t="s">
        <v>69</v>
      </c>
      <c r="C23" s="1">
        <v>288</v>
      </c>
      <c r="D23" s="1">
        <v>526</v>
      </c>
      <c r="E23" s="1">
        <v>363</v>
      </c>
      <c r="F23" s="1">
        <f>1211-SUM(C23:E23)</f>
        <v>34</v>
      </c>
      <c r="G23" s="1">
        <v>7</v>
      </c>
      <c r="H23" s="1">
        <v>45</v>
      </c>
      <c r="I23" s="1">
        <v>23</v>
      </c>
      <c r="J23" s="1">
        <f>-239-SUM(G23:I23)</f>
        <v>-314</v>
      </c>
      <c r="K23" s="1">
        <v>-141</v>
      </c>
      <c r="L23" s="1">
        <v>-29</v>
      </c>
      <c r="M23" s="1">
        <v>-72</v>
      </c>
      <c r="N23" s="1">
        <f>-277-SUM(K23:M23)</f>
        <v>-35</v>
      </c>
      <c r="O23" s="1">
        <v>37</v>
      </c>
      <c r="P23" s="1">
        <v>-37</v>
      </c>
      <c r="Q23" s="1">
        <v>-217</v>
      </c>
      <c r="R23" s="1">
        <f>-121-SUM(O23:Q23)</f>
        <v>96</v>
      </c>
      <c r="AJ23" s="1">
        <f t="shared" si="48"/>
        <v>1211</v>
      </c>
      <c r="AK23" s="1">
        <f t="shared" si="49"/>
        <v>-239</v>
      </c>
      <c r="AL23" s="1">
        <f t="shared" si="50"/>
        <v>-277</v>
      </c>
      <c r="AM23" s="1">
        <f t="shared" si="51"/>
        <v>-121</v>
      </c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</row>
    <row r="24" spans="1:94">
      <c r="B24" s="1" t="s">
        <v>40</v>
      </c>
      <c r="C24" s="1">
        <v>-38</v>
      </c>
      <c r="D24" s="1">
        <v>-32</v>
      </c>
      <c r="E24" s="1">
        <v>-102</v>
      </c>
      <c r="F24" s="1">
        <f>-227-SUM(C24:E24)</f>
        <v>-55</v>
      </c>
      <c r="G24" s="1">
        <v>-56</v>
      </c>
      <c r="H24" s="1">
        <v>-57</v>
      </c>
      <c r="I24" s="1">
        <v>-8</v>
      </c>
      <c r="J24" s="1">
        <f>-131-SUM(G24:I24)</f>
        <v>-10</v>
      </c>
      <c r="K24" s="1">
        <v>55</v>
      </c>
      <c r="L24" s="1">
        <v>45</v>
      </c>
      <c r="M24" s="1">
        <v>58</v>
      </c>
      <c r="N24" s="1">
        <f>216-SUM(K24:M24)</f>
        <v>58</v>
      </c>
      <c r="O24" s="1">
        <v>121</v>
      </c>
      <c r="P24" s="1">
        <v>91</v>
      </c>
      <c r="Q24" s="1">
        <v>70</v>
      </c>
      <c r="R24" s="1">
        <f>354-SUM(O24:Q24)</f>
        <v>72</v>
      </c>
      <c r="AJ24" s="1">
        <f t="shared" si="48"/>
        <v>-227</v>
      </c>
      <c r="AK24" s="1">
        <f t="shared" si="49"/>
        <v>-131</v>
      </c>
      <c r="AL24" s="1">
        <f t="shared" si="50"/>
        <v>216</v>
      </c>
      <c r="AM24" s="1">
        <f t="shared" si="51"/>
        <v>354</v>
      </c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</row>
    <row r="25" spans="1:94">
      <c r="B25" s="1" t="s">
        <v>41</v>
      </c>
      <c r="C25" s="1">
        <f t="shared" ref="C25:O25" si="57">C22+SUM(C23:C24)</f>
        <v>604</v>
      </c>
      <c r="D25" s="1">
        <f t="shared" si="57"/>
        <v>826</v>
      </c>
      <c r="E25" s="1">
        <f t="shared" si="57"/>
        <v>299</v>
      </c>
      <c r="F25" s="1">
        <f t="shared" si="57"/>
        <v>-197</v>
      </c>
      <c r="G25" s="1">
        <f t="shared" si="57"/>
        <v>-29</v>
      </c>
      <c r="H25" s="1">
        <f t="shared" si="57"/>
        <v>181</v>
      </c>
      <c r="I25" s="1">
        <f t="shared" si="57"/>
        <v>475</v>
      </c>
      <c r="J25" s="1">
        <f t="shared" si="57"/>
        <v>32</v>
      </c>
      <c r="K25" s="1">
        <f t="shared" si="57"/>
        <v>326</v>
      </c>
      <c r="L25" s="1">
        <f>L22+SUM(L23:L24)</f>
        <v>1492</v>
      </c>
      <c r="M25" s="1">
        <f t="shared" si="57"/>
        <v>1487</v>
      </c>
      <c r="N25" s="1">
        <f t="shared" si="57"/>
        <v>1645</v>
      </c>
      <c r="O25" s="1">
        <f t="shared" si="57"/>
        <v>1867</v>
      </c>
      <c r="P25" s="1">
        <f>P22+SUM(P23:P24)</f>
        <v>1837</v>
      </c>
      <c r="Q25" s="1">
        <f>Q22+SUM(Q23:Q24)</f>
        <v>1746</v>
      </c>
      <c r="R25" s="1">
        <f t="shared" ref="R25" si="58">R22+SUM(R23:R24)</f>
        <v>1988</v>
      </c>
      <c r="AJ25" s="1">
        <f t="shared" si="48"/>
        <v>1532</v>
      </c>
      <c r="AK25" s="1">
        <f t="shared" si="49"/>
        <v>659</v>
      </c>
      <c r="AL25" s="1">
        <f t="shared" si="50"/>
        <v>4950</v>
      </c>
      <c r="AM25" s="1">
        <f t="shared" si="51"/>
        <v>7438</v>
      </c>
      <c r="AN25" s="13"/>
      <c r="AO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</row>
    <row r="26" spans="1:94">
      <c r="B26" s="1" t="s">
        <v>42</v>
      </c>
      <c r="C26" s="1">
        <v>-135</v>
      </c>
      <c r="D26" s="1">
        <v>-291</v>
      </c>
      <c r="E26" s="1">
        <v>169</v>
      </c>
      <c r="F26" s="1">
        <f>-88-SUM(C26:E26)</f>
        <v>169</v>
      </c>
      <c r="G26" s="1">
        <v>57</v>
      </c>
      <c r="H26" s="1">
        <v>-113</v>
      </c>
      <c r="I26" s="1">
        <v>-265</v>
      </c>
      <c r="J26" s="1">
        <f>-452-SUM(G26:I26)</f>
        <v>-131</v>
      </c>
      <c r="K26" s="1">
        <v>-127</v>
      </c>
      <c r="L26" s="1">
        <v>-225</v>
      </c>
      <c r="M26" s="1">
        <v>-263</v>
      </c>
      <c r="N26" s="1">
        <f>-814-SUM(K26:M26)</f>
        <v>-199</v>
      </c>
      <c r="O26" s="1">
        <v>-334</v>
      </c>
      <c r="P26" s="1">
        <v>-408</v>
      </c>
      <c r="Q26" s="1">
        <v>-219</v>
      </c>
      <c r="R26" s="1">
        <f>-1241-SUM(O26:Q26)</f>
        <v>-280</v>
      </c>
      <c r="AJ26" s="1">
        <f t="shared" si="48"/>
        <v>-88</v>
      </c>
      <c r="AK26" s="1">
        <f t="shared" si="49"/>
        <v>-452</v>
      </c>
      <c r="AL26" s="1">
        <f t="shared" si="50"/>
        <v>-814</v>
      </c>
      <c r="AM26" s="1">
        <f t="shared" si="51"/>
        <v>-1241</v>
      </c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</row>
    <row r="27" spans="1:94" ht="15">
      <c r="A27" s="3" t="s">
        <v>43</v>
      </c>
      <c r="C27" s="1">
        <f t="shared" ref="C27:O27" si="59">C25+C26</f>
        <v>469</v>
      </c>
      <c r="D27" s="1">
        <f t="shared" si="59"/>
        <v>535</v>
      </c>
      <c r="E27" s="1">
        <f t="shared" si="59"/>
        <v>468</v>
      </c>
      <c r="F27" s="1">
        <f t="shared" si="59"/>
        <v>-28</v>
      </c>
      <c r="G27" s="1">
        <f t="shared" si="59"/>
        <v>28</v>
      </c>
      <c r="H27" s="1">
        <f t="shared" si="59"/>
        <v>68</v>
      </c>
      <c r="I27" s="1">
        <f t="shared" si="59"/>
        <v>210</v>
      </c>
      <c r="J27" s="1">
        <f t="shared" si="59"/>
        <v>-99</v>
      </c>
      <c r="K27" s="1">
        <f t="shared" si="59"/>
        <v>199</v>
      </c>
      <c r="L27" s="1">
        <f>L25+L26</f>
        <v>1267</v>
      </c>
      <c r="M27" s="1">
        <f t="shared" si="59"/>
        <v>1224</v>
      </c>
      <c r="N27" s="1">
        <f t="shared" si="59"/>
        <v>1446</v>
      </c>
      <c r="O27" s="1">
        <f t="shared" si="59"/>
        <v>1533</v>
      </c>
      <c r="P27" s="1">
        <f>P25+P26</f>
        <v>1429</v>
      </c>
      <c r="Q27" s="1">
        <f>Q25+Q26</f>
        <v>1527</v>
      </c>
      <c r="R27" s="1">
        <f t="shared" ref="R27" si="60">R25+R26</f>
        <v>1708</v>
      </c>
      <c r="AJ27" s="1">
        <f t="shared" si="48"/>
        <v>1444</v>
      </c>
      <c r="AK27" s="1">
        <f t="shared" si="49"/>
        <v>207</v>
      </c>
      <c r="AL27" s="1">
        <f t="shared" si="50"/>
        <v>4136</v>
      </c>
      <c r="AM27" s="1">
        <f t="shared" si="51"/>
        <v>6197</v>
      </c>
      <c r="AN27" s="13">
        <f>AN15*AN36</f>
        <v>7818.3698499999991</v>
      </c>
      <c r="AO27" s="13">
        <f>AO15*AO36</f>
        <v>8444.3548896000011</v>
      </c>
      <c r="AP27" s="13">
        <f>AP15*AP36</f>
        <v>9611.7257720609996</v>
      </c>
      <c r="AQ27" s="13">
        <f t="shared" ref="AQ27:CB27" si="61">AQ15*AQ36</f>
        <v>10885.193817682273</v>
      </c>
      <c r="AR27" s="13">
        <f t="shared" si="61"/>
        <v>12146.319991087819</v>
      </c>
      <c r="AS27" s="13">
        <f t="shared" si="61"/>
        <v>13250.530899368532</v>
      </c>
      <c r="AT27" s="13">
        <f t="shared" si="61"/>
        <v>14424.729083238992</v>
      </c>
      <c r="AU27" s="13">
        <f t="shared" si="61"/>
        <v>15562.75223813031</v>
      </c>
      <c r="AV27" s="13">
        <f t="shared" si="61"/>
        <v>15874.007282892915</v>
      </c>
      <c r="AW27" s="13">
        <f t="shared" si="61"/>
        <v>16191.487428550774</v>
      </c>
      <c r="AX27" s="13">
        <f t="shared" si="61"/>
        <v>16515.317177121789</v>
      </c>
      <c r="AY27" s="13">
        <f t="shared" si="61"/>
        <v>16845.623520664227</v>
      </c>
      <c r="AZ27" s="13">
        <f t="shared" si="61"/>
        <v>17182.535991077508</v>
      </c>
      <c r="BA27" s="13">
        <f t="shared" si="61"/>
        <v>17526.186710899059</v>
      </c>
      <c r="BB27" s="13">
        <f t="shared" si="61"/>
        <v>17876.710445117042</v>
      </c>
      <c r="BC27" s="13">
        <f t="shared" si="61"/>
        <v>18234.244654019381</v>
      </c>
      <c r="BD27" s="13">
        <f t="shared" si="61"/>
        <v>18598.929547099768</v>
      </c>
      <c r="BE27" s="13">
        <f t="shared" si="61"/>
        <v>18970.908138041763</v>
      </c>
      <c r="BF27" s="13">
        <f t="shared" si="61"/>
        <v>19350.326300802601</v>
      </c>
      <c r="BG27" s="13">
        <f t="shared" si="61"/>
        <v>19737.332826818652</v>
      </c>
      <c r="BH27" s="13">
        <f t="shared" si="61"/>
        <v>20132.079483355024</v>
      </c>
      <c r="BI27" s="13">
        <f t="shared" si="61"/>
        <v>20534.721073022123</v>
      </c>
      <c r="BJ27" s="13">
        <f t="shared" si="61"/>
        <v>20945.415494482568</v>
      </c>
      <c r="BK27" s="13">
        <f t="shared" si="61"/>
        <v>21364.323804372219</v>
      </c>
      <c r="BL27" s="13">
        <f t="shared" si="61"/>
        <v>21791.610280459663</v>
      </c>
      <c r="BM27" s="13">
        <f t="shared" si="61"/>
        <v>22227.442486068856</v>
      </c>
      <c r="BN27" s="13">
        <f t="shared" si="61"/>
        <v>22671.991335790237</v>
      </c>
      <c r="BO27" s="13">
        <f t="shared" si="61"/>
        <v>23125.43116250604</v>
      </c>
      <c r="BP27" s="13">
        <f t="shared" si="61"/>
        <v>23587.93978575616</v>
      </c>
      <c r="BQ27" s="13">
        <f t="shared" si="61"/>
        <v>24059.698581471286</v>
      </c>
      <c r="BR27" s="13">
        <f t="shared" si="61"/>
        <v>24540.892553100712</v>
      </c>
      <c r="BS27" s="13">
        <f t="shared" si="61"/>
        <v>25031.710404162728</v>
      </c>
      <c r="BT27" s="13">
        <f t="shared" si="61"/>
        <v>25532.344612245983</v>
      </c>
      <c r="BU27" s="13">
        <f t="shared" si="61"/>
        <v>26042.991504490907</v>
      </c>
      <c r="BV27" s="13">
        <f t="shared" si="61"/>
        <v>26563.851334580726</v>
      </c>
      <c r="BW27" s="13">
        <f t="shared" si="61"/>
        <v>27095.128361272342</v>
      </c>
      <c r="BX27" s="13">
        <f t="shared" si="61"/>
        <v>27637.030928497788</v>
      </c>
      <c r="BY27" s="13">
        <f t="shared" si="61"/>
        <v>28189.771547067747</v>
      </c>
      <c r="BZ27" s="13">
        <f t="shared" si="61"/>
        <v>28753.566978009101</v>
      </c>
      <c r="CA27" s="13">
        <f t="shared" si="61"/>
        <v>29328.638317569286</v>
      </c>
      <c r="CB27" s="13">
        <f t="shared" si="61"/>
        <v>29915.211083920673</v>
      </c>
      <c r="CC27" s="13">
        <f t="shared" ref="CC27:CL27" si="62">CC15*CC36</f>
        <v>30513.515305599085</v>
      </c>
      <c r="CD27" s="13">
        <f t="shared" si="62"/>
        <v>31123.785611711064</v>
      </c>
      <c r="CE27" s="13">
        <f t="shared" si="62"/>
        <v>31746.261323945288</v>
      </c>
      <c r="CF27" s="13">
        <f t="shared" si="62"/>
        <v>32381.186550424191</v>
      </c>
      <c r="CG27" s="13">
        <f t="shared" si="62"/>
        <v>33028.81028143267</v>
      </c>
      <c r="CH27" s="13">
        <f t="shared" si="62"/>
        <v>33689.386487061325</v>
      </c>
      <c r="CI27" s="13">
        <f t="shared" si="62"/>
        <v>34363.174216802552</v>
      </c>
      <c r="CJ27" s="13">
        <f t="shared" si="62"/>
        <v>35050.43770113861</v>
      </c>
      <c r="CK27" s="13">
        <f t="shared" si="62"/>
        <v>35751.446455161386</v>
      </c>
      <c r="CL27" s="13">
        <f t="shared" si="62"/>
        <v>36466.47538426461</v>
      </c>
      <c r="CM27" s="13"/>
      <c r="CN27" s="13"/>
      <c r="CO27" s="13"/>
      <c r="CP27" s="13"/>
    </row>
    <row r="28" spans="1:94">
      <c r="B28" s="1" t="s">
        <v>44</v>
      </c>
      <c r="C28" s="1">
        <v>926</v>
      </c>
      <c r="D28" s="1">
        <v>979</v>
      </c>
      <c r="E28" s="1">
        <v>985</v>
      </c>
      <c r="F28" s="1">
        <v>990</v>
      </c>
      <c r="G28" s="1">
        <v>995</v>
      </c>
      <c r="H28" s="1">
        <v>1000</v>
      </c>
      <c r="I28" s="1">
        <v>1000</v>
      </c>
      <c r="J28" s="1">
        <v>970</v>
      </c>
      <c r="K28" s="1">
        <v>974</v>
      </c>
      <c r="L28" s="1">
        <v>973</v>
      </c>
      <c r="M28" s="1">
        <v>968</v>
      </c>
      <c r="N28" s="1">
        <v>970</v>
      </c>
      <c r="O28" s="1">
        <v>969</v>
      </c>
      <c r="P28" s="1">
        <v>956</v>
      </c>
      <c r="Q28" s="1">
        <v>957</v>
      </c>
      <c r="R28" s="1">
        <v>961</v>
      </c>
      <c r="AJ28" s="1">
        <f>F28</f>
        <v>990</v>
      </c>
      <c r="AK28" s="1">
        <f>F28</f>
        <v>990</v>
      </c>
      <c r="AL28" s="1">
        <f>N28</f>
        <v>970</v>
      </c>
      <c r="AM28" s="1">
        <f>R28</f>
        <v>961</v>
      </c>
      <c r="AN28" s="13">
        <f>AM28*0.985</f>
        <v>946.58500000000004</v>
      </c>
      <c r="AO28" s="13">
        <f t="shared" ref="AO28:CB28" si="63">AN28*0.985</f>
        <v>932.38622499999997</v>
      </c>
      <c r="AP28" s="13">
        <f t="shared" si="63"/>
        <v>918.40043162500001</v>
      </c>
      <c r="AQ28" s="13">
        <f t="shared" si="63"/>
        <v>904.62442515062503</v>
      </c>
      <c r="AR28" s="13">
        <f t="shared" si="63"/>
        <v>891.05505877336566</v>
      </c>
      <c r="AS28" s="13">
        <f t="shared" si="63"/>
        <v>877.68923289176519</v>
      </c>
      <c r="AT28" s="13">
        <f t="shared" si="63"/>
        <v>864.52389439838873</v>
      </c>
      <c r="AU28" s="13">
        <f t="shared" si="63"/>
        <v>851.55603598241294</v>
      </c>
      <c r="AV28" s="13">
        <f t="shared" si="63"/>
        <v>838.78269544267675</v>
      </c>
      <c r="AW28" s="13">
        <f t="shared" si="63"/>
        <v>826.20095501103663</v>
      </c>
      <c r="AX28" s="13">
        <f t="shared" si="63"/>
        <v>813.80794068587102</v>
      </c>
      <c r="AY28" s="13">
        <f t="shared" si="63"/>
        <v>801.60082157558293</v>
      </c>
      <c r="AZ28" s="13">
        <f t="shared" si="63"/>
        <v>789.57680925194916</v>
      </c>
      <c r="BA28" s="13">
        <f t="shared" si="63"/>
        <v>777.73315711316991</v>
      </c>
      <c r="BB28" s="13">
        <f t="shared" si="63"/>
        <v>766.06715975647239</v>
      </c>
      <c r="BC28" s="13">
        <f t="shared" si="63"/>
        <v>754.57615236012532</v>
      </c>
      <c r="BD28" s="13">
        <f t="shared" si="63"/>
        <v>743.25751007472343</v>
      </c>
      <c r="BE28" s="13">
        <f t="shared" si="63"/>
        <v>732.10864742360252</v>
      </c>
      <c r="BF28" s="13">
        <f t="shared" si="63"/>
        <v>721.12701771224852</v>
      </c>
      <c r="BG28" s="13">
        <f t="shared" si="63"/>
        <v>710.31011244656474</v>
      </c>
      <c r="BH28" s="13">
        <f t="shared" si="63"/>
        <v>699.65546075986629</v>
      </c>
      <c r="BI28" s="13">
        <f t="shared" si="63"/>
        <v>689.16062884846826</v>
      </c>
      <c r="BJ28" s="13">
        <f t="shared" si="63"/>
        <v>678.82321941574128</v>
      </c>
      <c r="BK28" s="13">
        <f t="shared" si="63"/>
        <v>668.64087112450511</v>
      </c>
      <c r="BL28" s="13">
        <f t="shared" si="63"/>
        <v>658.61125805763754</v>
      </c>
      <c r="BM28" s="13">
        <f t="shared" si="63"/>
        <v>648.73208918677301</v>
      </c>
      <c r="BN28" s="13">
        <f t="shared" si="63"/>
        <v>639.0011078489714</v>
      </c>
      <c r="BO28" s="13">
        <f t="shared" si="63"/>
        <v>629.41609123123681</v>
      </c>
      <c r="BP28" s="13">
        <f t="shared" si="63"/>
        <v>619.97484986276822</v>
      </c>
      <c r="BQ28" s="13">
        <f t="shared" si="63"/>
        <v>610.67522711482673</v>
      </c>
      <c r="BR28" s="13">
        <f t="shared" si="63"/>
        <v>601.51509870810435</v>
      </c>
      <c r="BS28" s="13">
        <f t="shared" si="63"/>
        <v>592.49237222748275</v>
      </c>
      <c r="BT28" s="13">
        <f t="shared" si="63"/>
        <v>583.60498664407055</v>
      </c>
      <c r="BU28" s="13">
        <f t="shared" si="63"/>
        <v>574.85091184440944</v>
      </c>
      <c r="BV28" s="13">
        <f t="shared" si="63"/>
        <v>566.22814816674327</v>
      </c>
      <c r="BW28" s="13">
        <f t="shared" si="63"/>
        <v>557.73472594424209</v>
      </c>
      <c r="BX28" s="13">
        <f t="shared" si="63"/>
        <v>549.36870505507841</v>
      </c>
      <c r="BY28" s="13">
        <f t="shared" si="63"/>
        <v>541.12817447925227</v>
      </c>
      <c r="BZ28" s="13">
        <f t="shared" si="63"/>
        <v>533.01125186206343</v>
      </c>
      <c r="CA28" s="13">
        <f t="shared" si="63"/>
        <v>525.01608308413245</v>
      </c>
      <c r="CB28" s="13">
        <f t="shared" si="63"/>
        <v>517.14084183787043</v>
      </c>
      <c r="CC28" s="13">
        <f t="shared" ref="CC28:CL28" si="64">CB28*0.985</f>
        <v>509.38372921030236</v>
      </c>
      <c r="CD28" s="13">
        <f t="shared" si="64"/>
        <v>501.74297327214782</v>
      </c>
      <c r="CE28" s="13">
        <f t="shared" si="64"/>
        <v>494.21682867306561</v>
      </c>
      <c r="CF28" s="13">
        <f t="shared" si="64"/>
        <v>486.8035762429696</v>
      </c>
      <c r="CG28" s="13">
        <f t="shared" si="64"/>
        <v>479.50152259932503</v>
      </c>
      <c r="CH28" s="13">
        <f t="shared" si="64"/>
        <v>472.30899976033515</v>
      </c>
      <c r="CI28" s="13">
        <f t="shared" si="64"/>
        <v>465.22436476393011</v>
      </c>
      <c r="CJ28" s="13">
        <f t="shared" si="64"/>
        <v>458.24599929247114</v>
      </c>
      <c r="CK28" s="13">
        <f t="shared" si="64"/>
        <v>451.37230930308408</v>
      </c>
      <c r="CL28" s="13">
        <f t="shared" si="64"/>
        <v>444.60172466353782</v>
      </c>
      <c r="CM28" s="13"/>
      <c r="CN28" s="13"/>
      <c r="CO28" s="13"/>
      <c r="CP28" s="13"/>
    </row>
    <row r="29" spans="1:94">
      <c r="B29" s="1" t="s">
        <v>45</v>
      </c>
      <c r="C29" s="2">
        <f t="shared" ref="C29:O29" si="65">C27/C28</f>
        <v>0.50647948164146872</v>
      </c>
      <c r="D29" s="2">
        <f t="shared" si="65"/>
        <v>0.54647599591419815</v>
      </c>
      <c r="E29" s="2">
        <f t="shared" ref="E29" si="66">E27/E28</f>
        <v>0.47512690355329951</v>
      </c>
      <c r="F29" s="2">
        <f t="shared" ref="F29" si="67">F27/F28</f>
        <v>-2.8282828282828285E-2</v>
      </c>
      <c r="G29" s="2">
        <f t="shared" ref="G29" si="68">G27/G28</f>
        <v>2.8140703517587941E-2</v>
      </c>
      <c r="H29" s="2">
        <f t="shared" si="65"/>
        <v>6.8000000000000005E-2</v>
      </c>
      <c r="I29" s="2">
        <f t="shared" si="65"/>
        <v>0.21</v>
      </c>
      <c r="J29" s="2">
        <f t="shared" si="65"/>
        <v>-0.10206185567010309</v>
      </c>
      <c r="K29" s="2">
        <f t="shared" si="65"/>
        <v>0.20431211498973306</v>
      </c>
      <c r="L29" s="2">
        <f>L27/L28</f>
        <v>1.3021582733812949</v>
      </c>
      <c r="M29" s="2">
        <f t="shared" si="65"/>
        <v>1.2644628099173554</v>
      </c>
      <c r="N29" s="2">
        <f>N27/N28</f>
        <v>1.4907216494845361</v>
      </c>
      <c r="O29" s="2">
        <f t="shared" si="65"/>
        <v>1.5820433436532508</v>
      </c>
      <c r="P29" s="2">
        <f>P27/P28</f>
        <v>1.4947698744769875</v>
      </c>
      <c r="Q29" s="2">
        <f>Q27/Q28</f>
        <v>1.5956112852664577</v>
      </c>
      <c r="R29" s="2">
        <f>R27/R28</f>
        <v>1.777315296566077</v>
      </c>
      <c r="AJ29" s="2">
        <f t="shared" si="48"/>
        <v>1.4997995528261381</v>
      </c>
      <c r="AK29" s="2">
        <f t="shared" si="49"/>
        <v>0.20407884784748484</v>
      </c>
      <c r="AL29" s="2">
        <f>SUM(K29:N29)</f>
        <v>4.2616548477729195</v>
      </c>
      <c r="AM29" s="2">
        <f>SUM(O29:R29)</f>
        <v>6.4497397999627735</v>
      </c>
      <c r="AN29" s="20">
        <f>AN27/AN28</f>
        <v>8.2595539227855905</v>
      </c>
      <c r="AO29" s="20">
        <f t="shared" ref="AO29:CL29" si="69">AO27/AO28</f>
        <v>9.0567134768641626</v>
      </c>
      <c r="AP29" s="20">
        <f t="shared" si="69"/>
        <v>10.465724362796953</v>
      </c>
      <c r="AQ29" s="20">
        <f t="shared" si="69"/>
        <v>12.032832095894191</v>
      </c>
      <c r="AR29" s="20">
        <f t="shared" si="69"/>
        <v>13.631391092497193</v>
      </c>
      <c r="AS29" s="20">
        <f t="shared" si="69"/>
        <v>15.097064431007507</v>
      </c>
      <c r="AT29" s="20">
        <f t="shared" si="69"/>
        <v>16.685171082838583</v>
      </c>
      <c r="AU29" s="20">
        <f t="shared" si="69"/>
        <v>18.275664290461005</v>
      </c>
      <c r="AV29" s="20">
        <f t="shared" si="69"/>
        <v>18.925053376924083</v>
      </c>
      <c r="AW29" s="20">
        <f t="shared" si="69"/>
        <v>19.597517202500068</v>
      </c>
      <c r="AX29" s="20">
        <f t="shared" si="69"/>
        <v>20.293875681776719</v>
      </c>
      <c r="AY29" s="20">
        <f t="shared" si="69"/>
        <v>21.014977863362699</v>
      </c>
      <c r="AZ29" s="20">
        <f t="shared" si="69"/>
        <v>21.761702965106547</v>
      </c>
      <c r="BA29" s="20">
        <f t="shared" si="69"/>
        <v>22.53496144610018</v>
      </c>
      <c r="BB29" s="20">
        <f t="shared" si="69"/>
        <v>23.335696116773793</v>
      </c>
      <c r="BC29" s="20">
        <f t="shared" si="69"/>
        <v>24.164883288435803</v>
      </c>
      <c r="BD29" s="20">
        <f t="shared" si="69"/>
        <v>25.023533963659411</v>
      </c>
      <c r="BE29" s="20">
        <f t="shared" si="69"/>
        <v>25.912695068967107</v>
      </c>
      <c r="BF29" s="20">
        <f t="shared" si="69"/>
        <v>26.833450731316194</v>
      </c>
      <c r="BG29" s="20">
        <f t="shared" si="69"/>
        <v>27.786923599941645</v>
      </c>
      <c r="BH29" s="20">
        <f t="shared" si="69"/>
        <v>28.774276215167994</v>
      </c>
      <c r="BI29" s="20">
        <f t="shared" si="69"/>
        <v>29.796712425859241</v>
      </c>
      <c r="BJ29" s="20">
        <f t="shared" si="69"/>
        <v>30.855478857234953</v>
      </c>
      <c r="BK29" s="20">
        <f t="shared" si="69"/>
        <v>31.951866430842287</v>
      </c>
      <c r="BL29" s="20">
        <f t="shared" si="69"/>
        <v>33.087211938537187</v>
      </c>
      <c r="BM29" s="20">
        <f t="shared" si="69"/>
        <v>34.262899672393843</v>
      </c>
      <c r="BN29" s="20">
        <f t="shared" si="69"/>
        <v>35.480363112529666</v>
      </c>
      <c r="BO29" s="20">
        <f t="shared" si="69"/>
        <v>36.741086674903819</v>
      </c>
      <c r="BP29" s="20">
        <f t="shared" si="69"/>
        <v>38.046607521220196</v>
      </c>
      <c r="BQ29" s="20">
        <f t="shared" si="69"/>
        <v>39.398517433141727</v>
      </c>
      <c r="BR29" s="20">
        <f t="shared" si="69"/>
        <v>40.798464753101079</v>
      </c>
      <c r="BS29" s="20">
        <f t="shared" si="69"/>
        <v>42.248156394074222</v>
      </c>
      <c r="BT29" s="20">
        <f t="shared" si="69"/>
        <v>43.749359920767212</v>
      </c>
      <c r="BU29" s="20">
        <f t="shared" si="69"/>
        <v>45.303905704753873</v>
      </c>
      <c r="BV29" s="20">
        <f t="shared" si="69"/>
        <v>46.913689156191836</v>
      </c>
      <c r="BW29" s="20">
        <f t="shared" si="69"/>
        <v>48.580673034838249</v>
      </c>
      <c r="BX29" s="20">
        <f t="shared" si="69"/>
        <v>50.306889843182759</v>
      </c>
      <c r="BY29" s="20">
        <f t="shared" si="69"/>
        <v>52.094444304615649</v>
      </c>
      <c r="BZ29" s="20">
        <f t="shared" si="69"/>
        <v>53.945515929652757</v>
      </c>
      <c r="CA29" s="20">
        <f t="shared" si="69"/>
        <v>55.862361673346015</v>
      </c>
      <c r="CB29" s="20">
        <f t="shared" si="69"/>
        <v>57.847318687119731</v>
      </c>
      <c r="CC29" s="20">
        <f t="shared" si="69"/>
        <v>59.902807168387945</v>
      </c>
      <c r="CD29" s="20">
        <f t="shared" si="69"/>
        <v>62.031333311427105</v>
      </c>
      <c r="CE29" s="20">
        <f t="shared" si="69"/>
        <v>64.235492363102182</v>
      </c>
      <c r="CF29" s="20">
        <f t="shared" si="69"/>
        <v>66.517971787171803</v>
      </c>
      <c r="CG29" s="20">
        <f t="shared" si="69"/>
        <v>68.881554541030695</v>
      </c>
      <c r="CH29" s="20">
        <f t="shared" si="69"/>
        <v>71.329122468884577</v>
      </c>
      <c r="CI29" s="20">
        <f t="shared" si="69"/>
        <v>73.8636598154947</v>
      </c>
      <c r="CJ29" s="20">
        <f t="shared" si="69"/>
        <v>76.488256864776247</v>
      </c>
      <c r="CK29" s="20">
        <f t="shared" si="69"/>
        <v>79.206113707687095</v>
      </c>
      <c r="CL29" s="20">
        <f t="shared" si="69"/>
        <v>82.020544144000837</v>
      </c>
      <c r="CM29" s="10"/>
      <c r="CN29" s="10"/>
      <c r="CO29" s="10"/>
      <c r="CP29" s="10"/>
    </row>
    <row r="30" spans="1:9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AK30" s="2"/>
      <c r="AL30" s="2"/>
      <c r="AM30" s="2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</row>
    <row r="31" spans="1:94">
      <c r="B31" s="1" t="s">
        <v>31</v>
      </c>
      <c r="C31" s="6">
        <f t="shared" ref="C31:R31" si="70">(C3-C11)/C3</f>
        <v>0.79732658959537572</v>
      </c>
      <c r="D31" s="6">
        <f t="shared" si="70"/>
        <v>0.80622252282718976</v>
      </c>
      <c r="E31" s="6">
        <f t="shared" si="70"/>
        <v>0.79071954851857662</v>
      </c>
      <c r="F31" s="6">
        <f t="shared" si="70"/>
        <v>0.78676039835969536</v>
      </c>
      <c r="G31" s="6">
        <f t="shared" si="70"/>
        <v>0.78996499416569432</v>
      </c>
      <c r="H31" s="6">
        <f t="shared" si="70"/>
        <v>0.79140417191656165</v>
      </c>
      <c r="I31" s="6">
        <f t="shared" si="70"/>
        <v>0.79939167703580816</v>
      </c>
      <c r="J31" s="6">
        <f t="shared" si="70"/>
        <v>0.8151950718685832</v>
      </c>
      <c r="K31" s="6">
        <f t="shared" si="70"/>
        <v>0.80240774666317716</v>
      </c>
      <c r="L31" s="6">
        <f t="shared" si="70"/>
        <v>0.81076692480639523</v>
      </c>
      <c r="M31" s="6">
        <f t="shared" si="70"/>
        <v>0.80702616386193338</v>
      </c>
      <c r="N31" s="6">
        <f t="shared" si="70"/>
        <v>0.81927297668038412</v>
      </c>
      <c r="O31" s="6">
        <f t="shared" si="70"/>
        <v>0.81828771112405363</v>
      </c>
      <c r="P31" s="6">
        <f t="shared" si="70"/>
        <v>0.82245549977179366</v>
      </c>
      <c r="Q31" s="6">
        <f t="shared" si="70"/>
        <v>0.83094943124225706</v>
      </c>
      <c r="R31" s="6">
        <f t="shared" si="70"/>
        <v>0.83271611469685747</v>
      </c>
      <c r="AK31" s="6">
        <f>AVERAGE(G31:J31)</f>
        <v>0.79898897874666186</v>
      </c>
      <c r="AL31" s="6">
        <f>AVERAGE(K31:N31)</f>
        <v>0.8098684530029725</v>
      </c>
      <c r="AM31" s="6">
        <f>AVERAGE(O31:R31)</f>
        <v>0.82610218920874046</v>
      </c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</row>
    <row r="32" spans="1:94">
      <c r="B32" s="1" t="s">
        <v>34</v>
      </c>
      <c r="C32" s="6">
        <f t="shared" ref="C32:R32" si="71">(C4-C12)/C4</f>
        <v>-1.405152224824356E-2</v>
      </c>
      <c r="D32" s="6">
        <f t="shared" si="71"/>
        <v>-9.6244131455399062E-2</v>
      </c>
      <c r="E32" s="6">
        <f t="shared" si="71"/>
        <v>-5.1652892561983473E-2</v>
      </c>
      <c r="F32" s="6">
        <f t="shared" si="71"/>
        <v>-0.12048192771084337</v>
      </c>
      <c r="G32" s="6">
        <f t="shared" si="71"/>
        <v>-9.0090090090090086E-2</v>
      </c>
      <c r="H32" s="6">
        <f t="shared" si="71"/>
        <v>-0.10398613518197573</v>
      </c>
      <c r="I32" s="6">
        <f t="shared" si="71"/>
        <v>-5.4635761589403975E-2</v>
      </c>
      <c r="J32" s="6">
        <f t="shared" si="71"/>
        <v>-0.1092436974789916</v>
      </c>
      <c r="K32" s="6">
        <f t="shared" si="71"/>
        <v>-1.6528925619834711E-2</v>
      </c>
      <c r="L32" s="6">
        <f t="shared" si="71"/>
        <v>-1.6750418760469012E-3</v>
      </c>
      <c r="M32" s="6">
        <f t="shared" si="71"/>
        <v>-8.6355785837651123E-3</v>
      </c>
      <c r="N32" s="6">
        <f t="shared" si="71"/>
        <v>-5.1948051948051951E-2</v>
      </c>
      <c r="O32" s="6">
        <f t="shared" si="71"/>
        <v>-9.8540145985401464E-2</v>
      </c>
      <c r="P32" s="6">
        <f t="shared" si="71"/>
        <v>-7.4866310160427801E-2</v>
      </c>
      <c r="Q32" s="6">
        <f t="shared" si="71"/>
        <v>-6.9026548672566371E-2</v>
      </c>
      <c r="R32" s="6">
        <f t="shared" si="71"/>
        <v>-0.17343173431734318</v>
      </c>
      <c r="AK32" s="6">
        <f>AVERAGE(G32:J32)</f>
        <v>-8.9488921085115344E-2</v>
      </c>
      <c r="AL32" s="6">
        <f>AVERAGE(K32:N32)</f>
        <v>-1.9696899506924669E-2</v>
      </c>
      <c r="AM32" s="6">
        <f>AVERAGE(O32:R32)</f>
        <v>-0.10396618478393471</v>
      </c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</row>
    <row r="33" spans="2:94">
      <c r="B33" s="1" t="s">
        <v>30</v>
      </c>
      <c r="C33" s="6">
        <f t="shared" ref="C33:R33" si="72">(C5-C13)/C5</f>
        <v>0.73922522220358877</v>
      </c>
      <c r="D33" s="6">
        <f t="shared" si="72"/>
        <v>0.74558359621451109</v>
      </c>
      <c r="E33" s="6">
        <f t="shared" si="72"/>
        <v>0.73131283695177041</v>
      </c>
      <c r="F33" s="6">
        <f t="shared" si="72"/>
        <v>0.72508872508872513</v>
      </c>
      <c r="G33" s="6">
        <f t="shared" si="72"/>
        <v>0.72405883146673866</v>
      </c>
      <c r="H33" s="6">
        <f t="shared" si="72"/>
        <v>0.72448186528497405</v>
      </c>
      <c r="I33" s="6">
        <f t="shared" si="72"/>
        <v>0.73357151971417633</v>
      </c>
      <c r="J33" s="6">
        <f t="shared" si="72"/>
        <v>0.74961249552879461</v>
      </c>
      <c r="K33" s="6">
        <f t="shared" si="72"/>
        <v>0.74233054444040258</v>
      </c>
      <c r="L33" s="6">
        <f t="shared" si="72"/>
        <v>0.75438800418458674</v>
      </c>
      <c r="M33" s="6">
        <f t="shared" si="72"/>
        <v>0.75286697247706424</v>
      </c>
      <c r="N33" s="6">
        <f t="shared" si="72"/>
        <v>0.76870894799181655</v>
      </c>
      <c r="O33" s="6">
        <f t="shared" si="72"/>
        <v>0.7632760319719698</v>
      </c>
      <c r="P33" s="6">
        <f t="shared" si="72"/>
        <v>0.76847184986595174</v>
      </c>
      <c r="Q33" s="6">
        <f t="shared" si="72"/>
        <v>0.77710715798390517</v>
      </c>
      <c r="R33" s="6">
        <f t="shared" si="72"/>
        <v>0.77814470129090363</v>
      </c>
      <c r="AK33" s="6">
        <f>AVERAGE(G33:J33)</f>
        <v>0.73293117799867091</v>
      </c>
      <c r="AL33" s="6">
        <f>AVERAGE(K33:N33)</f>
        <v>0.75457361727346761</v>
      </c>
      <c r="AM33" s="6">
        <f>AVERAGE(O33:R33)</f>
        <v>0.77174993527818259</v>
      </c>
      <c r="AN33" s="12">
        <v>0.79</v>
      </c>
      <c r="AO33" s="12">
        <v>0.79500000000000004</v>
      </c>
      <c r="AP33" s="12">
        <v>0.8</v>
      </c>
      <c r="AQ33" s="12">
        <v>0.80500000000000005</v>
      </c>
      <c r="AR33" s="12">
        <v>0.81299999999999994</v>
      </c>
      <c r="AS33" s="12">
        <v>0.82</v>
      </c>
      <c r="AT33" s="12">
        <v>0.82</v>
      </c>
      <c r="AU33" s="12">
        <v>0.82</v>
      </c>
      <c r="AV33" s="12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</row>
    <row r="34" spans="2:94" s="16" customFormat="1">
      <c r="B34" s="16" t="s">
        <v>103</v>
      </c>
      <c r="C34" s="16">
        <f t="shared" ref="C34:F34" si="73">C22/C15</f>
        <v>5.9366090893845383E-2</v>
      </c>
      <c r="D34" s="16">
        <f t="shared" si="73"/>
        <v>5.2365930599369087E-2</v>
      </c>
      <c r="E34" s="16">
        <f t="shared" si="73"/>
        <v>5.5369371994754479E-3</v>
      </c>
      <c r="F34" s="16">
        <f t="shared" si="73"/>
        <v>-2.4024024024024024E-2</v>
      </c>
      <c r="G34" s="16">
        <f t="shared" ref="G34:Q34" si="74">G22/G15</f>
        <v>2.698691134799622E-3</v>
      </c>
      <c r="H34" s="16">
        <f t="shared" si="74"/>
        <v>2.5000000000000001E-2</v>
      </c>
      <c r="I34" s="16">
        <f t="shared" si="74"/>
        <v>5.8695929564884522E-2</v>
      </c>
      <c r="J34" s="16">
        <f t="shared" si="74"/>
        <v>4.2446643615118636E-2</v>
      </c>
      <c r="K34" s="16">
        <f t="shared" si="74"/>
        <v>4.9957560324966656E-2</v>
      </c>
      <c r="L34" s="16">
        <f t="shared" si="74"/>
        <v>0.17156805765430663</v>
      </c>
      <c r="M34" s="16">
        <f t="shared" si="74"/>
        <v>0.17213302752293577</v>
      </c>
      <c r="N34" s="16">
        <f t="shared" si="74"/>
        <v>0.17465274038979217</v>
      </c>
      <c r="O34" s="16">
        <f t="shared" si="74"/>
        <v>0.18712361765027921</v>
      </c>
      <c r="P34" s="16">
        <f t="shared" si="74"/>
        <v>0.1912064343163539</v>
      </c>
      <c r="Q34" s="16">
        <f t="shared" si="74"/>
        <v>0.20044472681067343</v>
      </c>
      <c r="R34" s="16">
        <f>R22/R15</f>
        <v>0.18212748924246974</v>
      </c>
      <c r="AJ34" s="16">
        <f t="shared" ref="AJ34:AL34" si="75">AJ22/AJ15</f>
        <v>2.0685489959232976E-2</v>
      </c>
      <c r="AK34" s="16">
        <f t="shared" si="75"/>
        <v>3.2817732419071918E-2</v>
      </c>
      <c r="AL34" s="16">
        <f t="shared" si="75"/>
        <v>0.14375878589666352</v>
      </c>
      <c r="AM34" s="16">
        <f>AM22/AM15</f>
        <v>0.19013062409288825</v>
      </c>
      <c r="AN34" s="17">
        <v>0.24</v>
      </c>
      <c r="AO34" s="17">
        <v>0.27</v>
      </c>
      <c r="AP34" s="17">
        <v>0.3</v>
      </c>
      <c r="AQ34" s="17">
        <v>0.3</v>
      </c>
      <c r="AR34" s="17">
        <v>0.31</v>
      </c>
      <c r="AS34" s="17">
        <v>0.33</v>
      </c>
      <c r="AT34" s="17">
        <v>0.35</v>
      </c>
      <c r="AU34" s="17">
        <v>0.35</v>
      </c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</row>
    <row r="35" spans="2:94" s="18" customFormat="1">
      <c r="B35" s="18" t="s">
        <v>104</v>
      </c>
      <c r="G35" s="18">
        <f t="shared" ref="G35:Q35" si="76">G22/C22-1</f>
        <v>-0.94350282485875703</v>
      </c>
      <c r="H35" s="18">
        <f t="shared" si="76"/>
        <v>-0.41867469879518071</v>
      </c>
      <c r="I35" s="18">
        <f t="shared" si="76"/>
        <v>11.105263157894736</v>
      </c>
      <c r="J35" s="18">
        <f t="shared" si="76"/>
        <v>-3.0227272727272729</v>
      </c>
      <c r="K35" s="18">
        <f t="shared" si="76"/>
        <v>19.600000000000001</v>
      </c>
      <c r="L35" s="18">
        <f t="shared" si="76"/>
        <v>6.6476683937823831</v>
      </c>
      <c r="M35" s="18">
        <f t="shared" si="76"/>
        <v>2.2630434782608697</v>
      </c>
      <c r="N35" s="18">
        <f t="shared" si="76"/>
        <v>3.5561797752808992</v>
      </c>
      <c r="O35" s="18">
        <f t="shared" si="76"/>
        <v>3.1480582524271847</v>
      </c>
      <c r="P35" s="18">
        <f t="shared" si="76"/>
        <v>0.2079945799457994</v>
      </c>
      <c r="Q35" s="18">
        <f t="shared" si="76"/>
        <v>0.26115922718187878</v>
      </c>
      <c r="R35" s="18">
        <f>R22/N22-1</f>
        <v>0.12207151664611593</v>
      </c>
      <c r="AK35" s="18">
        <f t="shared" ref="AK35:AL35" si="77">AK22/AJ22-1</f>
        <v>0.87773722627737216</v>
      </c>
      <c r="AL35" s="18">
        <f t="shared" si="77"/>
        <v>3.86977648202138</v>
      </c>
      <c r="AM35" s="18">
        <f>AM22/AL22-1</f>
        <v>0.43783675912991415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</row>
    <row r="36" spans="2:94" s="16" customFormat="1">
      <c r="B36" s="16" t="s">
        <v>105</v>
      </c>
      <c r="C36" s="16">
        <f t="shared" ref="C36:F36" si="78">C27/C15</f>
        <v>7.8651685393258425E-2</v>
      </c>
      <c r="D36" s="16">
        <f t="shared" si="78"/>
        <v>8.4384858044164041E-2</v>
      </c>
      <c r="E36" s="16">
        <f t="shared" si="78"/>
        <v>6.8191752877750256E-2</v>
      </c>
      <c r="F36" s="16">
        <f t="shared" si="78"/>
        <v>-3.8220038220038218E-3</v>
      </c>
      <c r="G36" s="16">
        <f t="shared" ref="G36:Q36" si="79">G27/G15</f>
        <v>3.778167588719471E-3</v>
      </c>
      <c r="H36" s="16">
        <f t="shared" si="79"/>
        <v>8.8082901554404139E-3</v>
      </c>
      <c r="I36" s="16">
        <f t="shared" si="79"/>
        <v>2.6795967844838585E-2</v>
      </c>
      <c r="J36" s="16">
        <f t="shared" si="79"/>
        <v>-1.1803982353642542E-2</v>
      </c>
      <c r="K36" s="16">
        <f t="shared" si="79"/>
        <v>2.4129986661816417E-2</v>
      </c>
      <c r="L36" s="16">
        <f t="shared" si="79"/>
        <v>0.14727420667209112</v>
      </c>
      <c r="M36" s="16">
        <f t="shared" si="79"/>
        <v>0.14036697247706423</v>
      </c>
      <c r="N36" s="16">
        <f t="shared" si="79"/>
        <v>0.15570151825131906</v>
      </c>
      <c r="O36" s="16">
        <f t="shared" si="79"/>
        <v>0.16785284134457462</v>
      </c>
      <c r="P36" s="16">
        <f t="shared" si="79"/>
        <v>0.15324396782841823</v>
      </c>
      <c r="Q36" s="16">
        <f t="shared" si="79"/>
        <v>0.16168996188055909</v>
      </c>
      <c r="R36" s="16">
        <f>R27/R15</f>
        <v>0.17091964375062543</v>
      </c>
      <c r="AJ36" s="16">
        <f t="shared" ref="AJ36:AL36" si="80">AJ27/AJ15</f>
        <v>5.4507020987467916E-2</v>
      </c>
      <c r="AK36" s="16">
        <f t="shared" si="80"/>
        <v>6.6018178918832724E-3</v>
      </c>
      <c r="AL36" s="16">
        <f t="shared" si="80"/>
        <v>0.11865622400091803</v>
      </c>
      <c r="AM36" s="16">
        <f>AM27/AM15</f>
        <v>0.16353080881382767</v>
      </c>
      <c r="AN36" s="17">
        <v>0.19</v>
      </c>
      <c r="AO36" s="17">
        <v>0.192</v>
      </c>
      <c r="AP36" s="17">
        <v>0.19400000000000001</v>
      </c>
      <c r="AQ36" s="17">
        <v>0.19500000000000001</v>
      </c>
      <c r="AR36" s="17">
        <v>0.19800000000000001</v>
      </c>
      <c r="AS36" s="17">
        <v>0.2</v>
      </c>
      <c r="AT36" s="17">
        <v>0.20499999999999999</v>
      </c>
      <c r="AU36" s="17">
        <v>0.21</v>
      </c>
      <c r="AV36" s="17">
        <v>0.21</v>
      </c>
      <c r="AW36" s="17">
        <v>0.21</v>
      </c>
      <c r="AX36" s="17">
        <v>0.21</v>
      </c>
      <c r="AY36" s="17">
        <v>0.21</v>
      </c>
      <c r="AZ36" s="17">
        <v>0.21</v>
      </c>
      <c r="BA36" s="17">
        <v>0.21</v>
      </c>
      <c r="BB36" s="17">
        <v>0.21</v>
      </c>
      <c r="BC36" s="17">
        <v>0.21</v>
      </c>
      <c r="BD36" s="17">
        <v>0.21</v>
      </c>
      <c r="BE36" s="17">
        <v>0.21</v>
      </c>
      <c r="BF36" s="17">
        <v>0.21</v>
      </c>
      <c r="BG36" s="17">
        <v>0.21</v>
      </c>
      <c r="BH36" s="17">
        <v>0.21</v>
      </c>
      <c r="BI36" s="17">
        <v>0.21</v>
      </c>
      <c r="BJ36" s="17">
        <v>0.21</v>
      </c>
      <c r="BK36" s="17">
        <v>0.21</v>
      </c>
      <c r="BL36" s="17">
        <v>0.21</v>
      </c>
      <c r="BM36" s="17">
        <v>0.21</v>
      </c>
      <c r="BN36" s="17">
        <v>0.21</v>
      </c>
      <c r="BO36" s="17">
        <v>0.21</v>
      </c>
      <c r="BP36" s="17">
        <v>0.21</v>
      </c>
      <c r="BQ36" s="17">
        <v>0.21</v>
      </c>
      <c r="BR36" s="17">
        <v>0.21</v>
      </c>
      <c r="BS36" s="17">
        <v>0.21</v>
      </c>
      <c r="BT36" s="17">
        <v>0.21</v>
      </c>
      <c r="BU36" s="17">
        <v>0.21</v>
      </c>
      <c r="BV36" s="17">
        <v>0.21</v>
      </c>
      <c r="BW36" s="17">
        <v>0.21</v>
      </c>
      <c r="BX36" s="17">
        <v>0.21</v>
      </c>
      <c r="BY36" s="17">
        <v>0.21</v>
      </c>
      <c r="BZ36" s="17">
        <v>0.21</v>
      </c>
      <c r="CA36" s="17">
        <v>0.21</v>
      </c>
      <c r="CB36" s="17">
        <v>0.21</v>
      </c>
      <c r="CC36" s="17">
        <v>0.21</v>
      </c>
      <c r="CD36" s="17">
        <v>0.21</v>
      </c>
      <c r="CE36" s="17">
        <v>0.21</v>
      </c>
      <c r="CF36" s="17">
        <v>0.21</v>
      </c>
      <c r="CG36" s="17">
        <v>0.21</v>
      </c>
      <c r="CH36" s="17">
        <v>0.21</v>
      </c>
      <c r="CI36" s="17">
        <v>0.21</v>
      </c>
      <c r="CJ36" s="17">
        <v>0.21</v>
      </c>
      <c r="CK36" s="17">
        <v>0.21</v>
      </c>
      <c r="CL36" s="17">
        <v>0.21</v>
      </c>
      <c r="CM36" s="17"/>
      <c r="CN36" s="17"/>
      <c r="CO36" s="17"/>
      <c r="CP36" s="17"/>
    </row>
    <row r="37" spans="2:94" s="18" customFormat="1">
      <c r="B37" s="18" t="s">
        <v>106</v>
      </c>
      <c r="G37" s="18">
        <f t="shared" ref="G37:Q37" si="81">G27/C27-1</f>
        <v>-0.94029850746268662</v>
      </c>
      <c r="H37" s="18">
        <f t="shared" si="81"/>
        <v>-0.87289719626168227</v>
      </c>
      <c r="I37" s="18">
        <f t="shared" si="81"/>
        <v>-0.55128205128205132</v>
      </c>
      <c r="J37" s="18">
        <f t="shared" si="81"/>
        <v>2.5357142857142856</v>
      </c>
      <c r="K37" s="18">
        <f t="shared" si="81"/>
        <v>6.1071428571428568</v>
      </c>
      <c r="L37" s="18">
        <f t="shared" si="81"/>
        <v>17.632352941176471</v>
      </c>
      <c r="M37" s="18">
        <f t="shared" si="81"/>
        <v>4.8285714285714283</v>
      </c>
      <c r="N37" s="18">
        <f t="shared" si="81"/>
        <v>-15.606060606060606</v>
      </c>
      <c r="O37" s="18">
        <f t="shared" si="81"/>
        <v>6.7035175879396984</v>
      </c>
      <c r="P37" s="18">
        <f t="shared" si="81"/>
        <v>0.12786108918705597</v>
      </c>
      <c r="Q37" s="18">
        <f t="shared" si="81"/>
        <v>0.24754901960784315</v>
      </c>
      <c r="R37" s="18">
        <f>R27/N27-1</f>
        <v>0.18118948824343017</v>
      </c>
      <c r="AK37" s="18">
        <f t="shared" ref="AK37:AL37" si="82">AK27/AJ27-1</f>
        <v>-0.85664819944598336</v>
      </c>
      <c r="AL37" s="18">
        <f t="shared" si="82"/>
        <v>18.980676328502415</v>
      </c>
      <c r="AM37" s="18">
        <f>AM27/AL27-1</f>
        <v>0.49830754352030948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</row>
    <row r="38" spans="2:94">
      <c r="N38" s="2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</row>
    <row r="39" spans="2:94">
      <c r="B39" s="1" t="s">
        <v>46</v>
      </c>
      <c r="C39" s="1">
        <v>8544</v>
      </c>
      <c r="D39" s="1">
        <v>6299</v>
      </c>
      <c r="E39" s="1">
        <v>4753</v>
      </c>
      <c r="F39" s="1">
        <v>5464</v>
      </c>
      <c r="G39" s="1">
        <v>6859</v>
      </c>
      <c r="H39" s="1">
        <v>6931</v>
      </c>
      <c r="I39" s="1">
        <v>6076</v>
      </c>
      <c r="J39" s="1">
        <v>7016</v>
      </c>
      <c r="K39" s="1">
        <v>9155</v>
      </c>
      <c r="L39" s="1">
        <v>6772</v>
      </c>
      <c r="M39" s="1">
        <v>6453</v>
      </c>
      <c r="N39" s="1">
        <v>8472</v>
      </c>
      <c r="O39" s="1">
        <v>9958</v>
      </c>
      <c r="P39" s="1">
        <v>7682</v>
      </c>
      <c r="Q39" s="1">
        <v>7997</v>
      </c>
      <c r="R39" s="1">
        <v>8848</v>
      </c>
      <c r="AJ39" s="1">
        <f t="shared" ref="AJ39:AJ51" si="83">SUM(C39:F39)</f>
        <v>25060</v>
      </c>
      <c r="AK39" s="1">
        <f t="shared" ref="AK39:AK51" si="84">SUM(G39:J39)</f>
        <v>26882</v>
      </c>
      <c r="AL39" s="1">
        <f t="shared" ref="AL39:AL51" si="85">SUM(K39:N39)</f>
        <v>30852</v>
      </c>
      <c r="AM39" s="1">
        <f t="shared" ref="AM39:AM51" si="86">SUM(O39:R39)</f>
        <v>34485</v>
      </c>
      <c r="AN39" s="10"/>
      <c r="AO39" s="10"/>
      <c r="AP39" s="10" t="s">
        <v>97</v>
      </c>
      <c r="AQ39" s="12">
        <v>7.2499999999999995E-2</v>
      </c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</row>
    <row r="40" spans="2:94">
      <c r="B40" s="1" t="s">
        <v>47</v>
      </c>
      <c r="C40" s="1">
        <v>6479</v>
      </c>
      <c r="D40" s="1">
        <v>3351</v>
      </c>
      <c r="E40" s="1">
        <v>4638</v>
      </c>
      <c r="F40" s="1">
        <v>5073</v>
      </c>
      <c r="G40" s="1">
        <v>6644</v>
      </c>
      <c r="H40" s="1">
        <v>6602</v>
      </c>
      <c r="I40" s="1">
        <v>5842</v>
      </c>
      <c r="J40" s="1">
        <v>5492</v>
      </c>
      <c r="K40" s="1">
        <v>4822</v>
      </c>
      <c r="L40" s="1">
        <v>5625</v>
      </c>
      <c r="M40" s="1">
        <v>5410</v>
      </c>
      <c r="N40" s="1">
        <v>5722</v>
      </c>
      <c r="O40" s="1">
        <v>7712</v>
      </c>
      <c r="P40" s="1">
        <v>4954</v>
      </c>
      <c r="Q40" s="1">
        <v>4760</v>
      </c>
      <c r="R40" s="1">
        <v>5184</v>
      </c>
      <c r="AJ40" s="1">
        <f t="shared" si="83"/>
        <v>19541</v>
      </c>
      <c r="AK40" s="1">
        <f t="shared" si="84"/>
        <v>24580</v>
      </c>
      <c r="AL40" s="1">
        <f t="shared" si="85"/>
        <v>21579</v>
      </c>
      <c r="AM40" s="1">
        <f t="shared" si="86"/>
        <v>22610</v>
      </c>
      <c r="AN40" s="10"/>
      <c r="AO40" s="10"/>
      <c r="AP40" s="10" t="s">
        <v>98</v>
      </c>
      <c r="AQ40" s="12">
        <v>0.02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</row>
    <row r="41" spans="2:94">
      <c r="B41" s="1" t="s">
        <v>48</v>
      </c>
      <c r="C41" s="1">
        <v>3174</v>
      </c>
      <c r="D41" s="1">
        <v>4074</v>
      </c>
      <c r="E41" s="1">
        <v>4019</v>
      </c>
      <c r="F41" s="1">
        <v>9739</v>
      </c>
      <c r="G41" s="1">
        <v>3952</v>
      </c>
      <c r="H41" s="1">
        <v>4745</v>
      </c>
      <c r="I41" s="1">
        <v>4275</v>
      </c>
      <c r="J41" s="1">
        <v>10755</v>
      </c>
      <c r="K41" s="1">
        <v>4632</v>
      </c>
      <c r="L41" s="1">
        <v>5400</v>
      </c>
      <c r="M41" s="1">
        <v>4850</v>
      </c>
      <c r="N41" s="1">
        <v>11414</v>
      </c>
      <c r="O41" s="1">
        <v>4273</v>
      </c>
      <c r="P41" s="1">
        <v>5391</v>
      </c>
      <c r="Q41" s="1">
        <v>4741</v>
      </c>
      <c r="R41" s="1">
        <v>11945</v>
      </c>
      <c r="AJ41" s="1">
        <f t="shared" si="83"/>
        <v>21006</v>
      </c>
      <c r="AK41" s="1">
        <f t="shared" si="84"/>
        <v>23727</v>
      </c>
      <c r="AL41" s="1">
        <f t="shared" si="85"/>
        <v>26296</v>
      </c>
      <c r="AM41" s="1">
        <f t="shared" si="86"/>
        <v>26350</v>
      </c>
      <c r="AN41" s="10"/>
      <c r="AO41" s="10"/>
      <c r="AP41" s="10" t="s">
        <v>99</v>
      </c>
      <c r="AQ41" s="13">
        <f>NPV(AQ39,AJ27:CH27)</f>
        <v>171285.08873874784</v>
      </c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</row>
    <row r="42" spans="2:94">
      <c r="B42" s="1" t="s">
        <v>49</v>
      </c>
      <c r="C42" s="1">
        <v>1166</v>
      </c>
      <c r="D42" s="1">
        <v>1211</v>
      </c>
      <c r="E42" s="1">
        <v>1242</v>
      </c>
      <c r="F42" s="1">
        <v>1454</v>
      </c>
      <c r="G42" s="1">
        <v>1478</v>
      </c>
      <c r="H42" s="1">
        <v>1531</v>
      </c>
      <c r="I42" s="1">
        <v>1549</v>
      </c>
      <c r="J42" s="1">
        <v>1776</v>
      </c>
      <c r="K42" s="1">
        <v>1772</v>
      </c>
      <c r="L42" s="1">
        <v>1781</v>
      </c>
      <c r="M42" s="1">
        <v>1757</v>
      </c>
      <c r="N42" s="1">
        <v>1905</v>
      </c>
      <c r="O42" s="1">
        <v>1865</v>
      </c>
      <c r="P42" s="1">
        <v>1851</v>
      </c>
      <c r="Q42" s="1">
        <v>1836</v>
      </c>
      <c r="R42" s="1">
        <v>1971</v>
      </c>
      <c r="AJ42" s="1">
        <f t="shared" si="83"/>
        <v>5073</v>
      </c>
      <c r="AK42" s="1">
        <f t="shared" si="84"/>
        <v>6334</v>
      </c>
      <c r="AL42" s="1">
        <f t="shared" si="85"/>
        <v>7215</v>
      </c>
      <c r="AM42" s="1">
        <f t="shared" si="86"/>
        <v>7523</v>
      </c>
      <c r="AN42" s="10"/>
      <c r="AO42" s="10"/>
      <c r="AP42" s="10" t="s">
        <v>100</v>
      </c>
      <c r="AQ42" s="13">
        <f>AM28</f>
        <v>961</v>
      </c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</row>
    <row r="43" spans="2:94">
      <c r="B43" s="1" t="s">
        <v>50</v>
      </c>
      <c r="C43" s="1">
        <v>1081</v>
      </c>
      <c r="D43" s="1">
        <v>1321</v>
      </c>
      <c r="E43" s="1">
        <v>1305</v>
      </c>
      <c r="F43" s="1">
        <v>1120</v>
      </c>
      <c r="G43" s="1">
        <v>1478</v>
      </c>
      <c r="H43" s="1">
        <v>1437</v>
      </c>
      <c r="I43" s="1">
        <v>1467</v>
      </c>
      <c r="J43" s="1">
        <v>1356</v>
      </c>
      <c r="K43" s="1">
        <v>1600</v>
      </c>
      <c r="L43" s="1">
        <v>1560</v>
      </c>
      <c r="M43" s="1">
        <v>1732</v>
      </c>
      <c r="N43" s="1">
        <v>1561</v>
      </c>
      <c r="O43" s="1">
        <v>1796</v>
      </c>
      <c r="P43" s="1">
        <v>1984</v>
      </c>
      <c r="Q43" s="1">
        <v>2091</v>
      </c>
      <c r="R43" s="1">
        <v>1779</v>
      </c>
      <c r="AJ43" s="1">
        <f t="shared" si="83"/>
        <v>4827</v>
      </c>
      <c r="AK43" s="1">
        <f t="shared" si="84"/>
        <v>5738</v>
      </c>
      <c r="AL43" s="1">
        <f t="shared" si="85"/>
        <v>6453</v>
      </c>
      <c r="AM43" s="1">
        <f t="shared" si="86"/>
        <v>7650</v>
      </c>
      <c r="AN43" s="10"/>
      <c r="AO43" s="10"/>
      <c r="AP43" s="10" t="s">
        <v>102</v>
      </c>
      <c r="AQ43" s="14">
        <f>AQ41/AQ42</f>
        <v>178.23630461888433</v>
      </c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</row>
    <row r="44" spans="2:94">
      <c r="B44" s="1" t="s">
        <v>51</v>
      </c>
      <c r="C44" s="1">
        <v>2490</v>
      </c>
      <c r="D44" s="1">
        <v>2711</v>
      </c>
      <c r="E44" s="1">
        <v>2768</v>
      </c>
      <c r="F44" s="1">
        <v>2815</v>
      </c>
      <c r="G44" s="1">
        <v>2868</v>
      </c>
      <c r="H44" s="1">
        <v>3375</v>
      </c>
      <c r="I44" s="1">
        <v>3514</v>
      </c>
      <c r="J44" s="1">
        <v>3702</v>
      </c>
      <c r="K44" s="1">
        <v>3695</v>
      </c>
      <c r="L44" s="1">
        <v>3876</v>
      </c>
      <c r="M44" s="1">
        <v>3807</v>
      </c>
      <c r="N44" s="1">
        <v>3689</v>
      </c>
      <c r="O44" s="1">
        <v>3506</v>
      </c>
      <c r="P44" s="1">
        <v>3580</v>
      </c>
      <c r="Q44" s="1">
        <v>3416</v>
      </c>
      <c r="R44" s="1">
        <v>3236</v>
      </c>
      <c r="AJ44" s="1">
        <f t="shared" si="83"/>
        <v>10784</v>
      </c>
      <c r="AK44" s="1">
        <f t="shared" si="84"/>
        <v>13459</v>
      </c>
      <c r="AL44" s="1">
        <f t="shared" si="85"/>
        <v>15067</v>
      </c>
      <c r="AM44" s="1">
        <f t="shared" si="86"/>
        <v>13738</v>
      </c>
      <c r="AN44" s="10"/>
      <c r="AO44" s="10"/>
      <c r="AP44" s="10" t="s">
        <v>101</v>
      </c>
      <c r="AQ44" s="14">
        <f>Main!C3</f>
        <v>275.02</v>
      </c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</row>
    <row r="45" spans="2:94">
      <c r="B45" s="1" t="s">
        <v>52</v>
      </c>
      <c r="C45" s="1">
        <v>3065</v>
      </c>
      <c r="D45" s="1">
        <v>3123</v>
      </c>
      <c r="E45" s="1">
        <v>2909</v>
      </c>
      <c r="F45" s="1">
        <v>2880</v>
      </c>
      <c r="G45" s="1">
        <v>2913</v>
      </c>
      <c r="H45" s="1">
        <v>2727</v>
      </c>
      <c r="I45" s="1">
        <v>2904</v>
      </c>
      <c r="J45" s="1">
        <v>2890</v>
      </c>
      <c r="K45" s="1">
        <v>2646</v>
      </c>
      <c r="L45" s="1">
        <v>2575</v>
      </c>
      <c r="M45" s="1">
        <v>2518</v>
      </c>
      <c r="N45" s="1">
        <v>2366</v>
      </c>
      <c r="O45" s="1">
        <v>2255</v>
      </c>
      <c r="P45" s="1">
        <v>2130</v>
      </c>
      <c r="Q45" s="1">
        <v>2167</v>
      </c>
      <c r="R45" s="1">
        <v>2157</v>
      </c>
      <c r="AJ45" s="1">
        <f t="shared" si="83"/>
        <v>11977</v>
      </c>
      <c r="AK45" s="1">
        <f t="shared" si="84"/>
        <v>11434</v>
      </c>
      <c r="AL45" s="1">
        <f t="shared" si="85"/>
        <v>10105</v>
      </c>
      <c r="AM45" s="1">
        <f t="shared" si="86"/>
        <v>8709</v>
      </c>
      <c r="AN45" s="10"/>
      <c r="AO45" s="10"/>
      <c r="AP45" s="10"/>
      <c r="AQ45" s="12">
        <f>AQ43/AQ44-1</f>
        <v>-0.35191511665011876</v>
      </c>
      <c r="AR45" s="10" t="str">
        <f>IF(AQ45&gt;0,"Upside","Downside")</f>
        <v>Downside</v>
      </c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</row>
    <row r="46" spans="2:94">
      <c r="B46" s="1" t="s">
        <v>63</v>
      </c>
      <c r="C46" s="1">
        <v>1736</v>
      </c>
      <c r="D46" s="1">
        <v>1820</v>
      </c>
      <c r="E46" s="1">
        <v>1850</v>
      </c>
      <c r="F46" s="1">
        <v>2342</v>
      </c>
      <c r="G46" s="1">
        <v>2323</v>
      </c>
      <c r="H46" s="1">
        <v>2367</v>
      </c>
      <c r="I46" s="1">
        <v>2301</v>
      </c>
      <c r="J46" s="1">
        <v>2697</v>
      </c>
      <c r="K46" s="1">
        <v>2506</v>
      </c>
      <c r="L46" s="1">
        <v>2352</v>
      </c>
      <c r="M46" s="1">
        <v>2194</v>
      </c>
      <c r="N46" s="1">
        <v>2515</v>
      </c>
      <c r="O46" s="1">
        <v>2286</v>
      </c>
      <c r="P46" s="1">
        <v>2201</v>
      </c>
      <c r="Q46" s="1">
        <v>2121</v>
      </c>
      <c r="R46" s="1">
        <v>2475</v>
      </c>
      <c r="AJ46" s="1">
        <f t="shared" si="83"/>
        <v>7748</v>
      </c>
      <c r="AK46" s="1">
        <f t="shared" si="84"/>
        <v>9688</v>
      </c>
      <c r="AL46" s="1">
        <f t="shared" si="85"/>
        <v>9567</v>
      </c>
      <c r="AM46" s="1">
        <f t="shared" si="86"/>
        <v>9083</v>
      </c>
    </row>
    <row r="47" spans="2:94">
      <c r="B47" s="1" t="s">
        <v>53</v>
      </c>
      <c r="C47" s="1">
        <v>3944</v>
      </c>
      <c r="D47" s="1">
        <v>4105</v>
      </c>
      <c r="E47" s="1">
        <v>4004</v>
      </c>
      <c r="F47" s="1">
        <v>4784</v>
      </c>
      <c r="G47" s="1">
        <v>4936</v>
      </c>
      <c r="H47" s="1">
        <v>5124</v>
      </c>
      <c r="I47" s="1">
        <v>5124</v>
      </c>
      <c r="J47" s="1">
        <v>4672</v>
      </c>
      <c r="K47" s="1">
        <v>4633</v>
      </c>
      <c r="L47" s="1">
        <v>4778</v>
      </c>
      <c r="M47" s="1">
        <v>4774</v>
      </c>
      <c r="N47" s="1">
        <v>4848</v>
      </c>
      <c r="O47" s="1">
        <v>4978</v>
      </c>
      <c r="P47" s="1">
        <v>5017</v>
      </c>
      <c r="Q47" s="1">
        <v>4845</v>
      </c>
      <c r="R47" s="1">
        <v>4852</v>
      </c>
      <c r="AJ47" s="1">
        <f t="shared" si="83"/>
        <v>16837</v>
      </c>
      <c r="AK47" s="1">
        <f t="shared" si="84"/>
        <v>19856</v>
      </c>
      <c r="AL47" s="1">
        <f t="shared" si="85"/>
        <v>19033</v>
      </c>
      <c r="AM47" s="1">
        <f t="shared" si="86"/>
        <v>19692</v>
      </c>
    </row>
    <row r="48" spans="2:94">
      <c r="B48" s="1" t="s">
        <v>54</v>
      </c>
      <c r="C48" s="1">
        <v>26640</v>
      </c>
      <c r="D48" s="1">
        <v>48103</v>
      </c>
      <c r="E48" s="1">
        <v>47961</v>
      </c>
      <c r="F48" s="1">
        <v>47937</v>
      </c>
      <c r="G48" s="1">
        <v>48319</v>
      </c>
      <c r="H48" s="1">
        <v>48568</v>
      </c>
      <c r="I48" s="1">
        <v>48555</v>
      </c>
      <c r="J48" s="1">
        <v>48568</v>
      </c>
      <c r="K48" s="1">
        <v>48567</v>
      </c>
      <c r="L48" s="1">
        <v>48566</v>
      </c>
      <c r="M48" s="1">
        <v>48614</v>
      </c>
      <c r="N48" s="1">
        <v>48620</v>
      </c>
      <c r="O48" s="1">
        <v>48940</v>
      </c>
      <c r="P48" s="1">
        <v>48941</v>
      </c>
      <c r="Q48" s="1">
        <v>49093</v>
      </c>
      <c r="R48" s="1">
        <v>51283</v>
      </c>
      <c r="AJ48" s="1">
        <f t="shared" si="83"/>
        <v>170641</v>
      </c>
      <c r="AK48" s="1">
        <f t="shared" si="84"/>
        <v>194010</v>
      </c>
      <c r="AL48" s="1">
        <f t="shared" si="85"/>
        <v>194367</v>
      </c>
      <c r="AM48" s="1">
        <f t="shared" si="86"/>
        <v>198257</v>
      </c>
    </row>
    <row r="49" spans="2:39">
      <c r="B49" s="1" t="s">
        <v>55</v>
      </c>
      <c r="C49" s="1">
        <v>3925</v>
      </c>
      <c r="D49" s="1">
        <v>9746</v>
      </c>
      <c r="E49" s="1">
        <v>9472</v>
      </c>
      <c r="F49" s="1">
        <v>8978</v>
      </c>
      <c r="G49" s="1">
        <v>8559</v>
      </c>
      <c r="H49" s="1">
        <v>8072</v>
      </c>
      <c r="I49" s="1">
        <v>7598</v>
      </c>
      <c r="J49" s="1">
        <v>7125</v>
      </c>
      <c r="K49" s="1">
        <v>6654</v>
      </c>
      <c r="L49" s="1">
        <v>6182</v>
      </c>
      <c r="M49" s="1">
        <v>5737</v>
      </c>
      <c r="N49" s="1">
        <v>5278</v>
      </c>
      <c r="O49" s="1">
        <v>4869</v>
      </c>
      <c r="P49" s="1">
        <v>4415</v>
      </c>
      <c r="Q49" s="1">
        <v>4119</v>
      </c>
      <c r="R49" s="1">
        <v>4428</v>
      </c>
      <c r="AJ49" s="1">
        <f t="shared" si="83"/>
        <v>32121</v>
      </c>
      <c r="AK49" s="1">
        <f t="shared" si="84"/>
        <v>31354</v>
      </c>
      <c r="AL49" s="1">
        <f t="shared" si="85"/>
        <v>23851</v>
      </c>
      <c r="AM49" s="1">
        <f t="shared" si="86"/>
        <v>17831</v>
      </c>
    </row>
    <row r="50" spans="2:39">
      <c r="B50" s="1" t="s">
        <v>66</v>
      </c>
      <c r="C50" s="1">
        <v>2641</v>
      </c>
      <c r="D50" s="1">
        <v>2794</v>
      </c>
      <c r="E50" s="1">
        <v>2525</v>
      </c>
      <c r="F50" s="1">
        <v>2623</v>
      </c>
      <c r="G50" s="1">
        <v>2693</v>
      </c>
      <c r="H50" s="1">
        <v>2669</v>
      </c>
      <c r="I50" s="1">
        <v>2679</v>
      </c>
      <c r="J50" s="1">
        <v>2800</v>
      </c>
      <c r="K50" s="1">
        <v>2859</v>
      </c>
      <c r="L50" s="1">
        <v>2980</v>
      </c>
      <c r="M50" s="1">
        <v>3176</v>
      </c>
      <c r="N50" s="1">
        <v>3433</v>
      </c>
      <c r="O50" s="1">
        <v>3742</v>
      </c>
      <c r="P50" s="1">
        <v>4034</v>
      </c>
      <c r="Q50" s="1">
        <v>4209</v>
      </c>
      <c r="R50" s="1">
        <v>4770</v>
      </c>
      <c r="AJ50" s="1">
        <f t="shared" si="83"/>
        <v>10583</v>
      </c>
      <c r="AK50" s="1">
        <f t="shared" si="84"/>
        <v>10841</v>
      </c>
      <c r="AL50" s="1">
        <f t="shared" si="85"/>
        <v>12448</v>
      </c>
      <c r="AM50" s="1">
        <f t="shared" si="86"/>
        <v>16755</v>
      </c>
    </row>
    <row r="51" spans="2:39">
      <c r="B51" s="1" t="s">
        <v>67</v>
      </c>
      <c r="C51" s="1">
        <f t="shared" ref="C51:O51" si="87">SUM(C39:C50)</f>
        <v>64885</v>
      </c>
      <c r="D51" s="1">
        <f t="shared" si="87"/>
        <v>88658</v>
      </c>
      <c r="E51" s="1">
        <f t="shared" si="87"/>
        <v>87446</v>
      </c>
      <c r="F51" s="1">
        <f t="shared" si="87"/>
        <v>95209</v>
      </c>
      <c r="G51" s="1">
        <f t="shared" si="87"/>
        <v>93022</v>
      </c>
      <c r="H51" s="1">
        <f t="shared" si="87"/>
        <v>94148</v>
      </c>
      <c r="I51" s="1">
        <f t="shared" ref="I51" si="88">SUM(I39:I50)</f>
        <v>91884</v>
      </c>
      <c r="J51" s="1">
        <f t="shared" ref="J51" si="89">SUM(J39:J50)</f>
        <v>98849</v>
      </c>
      <c r="K51" s="1">
        <f t="shared" si="87"/>
        <v>93541</v>
      </c>
      <c r="L51" s="1">
        <f t="shared" si="87"/>
        <v>92447</v>
      </c>
      <c r="M51" s="1">
        <f t="shared" si="87"/>
        <v>91022</v>
      </c>
      <c r="N51" s="1">
        <f t="shared" si="87"/>
        <v>99823</v>
      </c>
      <c r="O51" s="1">
        <f t="shared" si="87"/>
        <v>96180</v>
      </c>
      <c r="P51" s="1">
        <f>SUM(P39:P50)</f>
        <v>92180</v>
      </c>
      <c r="Q51" s="1">
        <f>SUM(Q39:Q50)</f>
        <v>91395</v>
      </c>
      <c r="R51" s="1">
        <f t="shared" ref="R51" si="90">SUM(R39:R50)</f>
        <v>102928</v>
      </c>
      <c r="AJ51" s="1">
        <f t="shared" si="83"/>
        <v>336198</v>
      </c>
      <c r="AK51" s="1">
        <f t="shared" si="84"/>
        <v>377903</v>
      </c>
      <c r="AL51" s="1">
        <f t="shared" si="85"/>
        <v>376833</v>
      </c>
      <c r="AM51" s="1">
        <f t="shared" si="86"/>
        <v>382683</v>
      </c>
    </row>
    <row r="53" spans="2:39">
      <c r="B53" s="1" t="s">
        <v>56</v>
      </c>
      <c r="C53" s="1">
        <v>3439</v>
      </c>
      <c r="D53" s="1">
        <v>4274</v>
      </c>
      <c r="E53" s="1">
        <v>4231</v>
      </c>
      <c r="F53" s="1">
        <v>5470</v>
      </c>
      <c r="G53" s="1">
        <v>4603</v>
      </c>
      <c r="H53" s="1">
        <v>5446</v>
      </c>
      <c r="I53" s="1">
        <v>5285</v>
      </c>
      <c r="J53" s="1">
        <v>6743</v>
      </c>
      <c r="K53" s="1">
        <v>5733</v>
      </c>
      <c r="L53" s="1">
        <v>5308</v>
      </c>
      <c r="M53" s="1">
        <v>5308</v>
      </c>
      <c r="N53" s="1">
        <v>6111</v>
      </c>
      <c r="O53" s="1">
        <v>5520</v>
      </c>
      <c r="P53" s="1">
        <v>5220</v>
      </c>
      <c r="Q53" s="1">
        <v>5331</v>
      </c>
      <c r="R53" s="1">
        <v>6658</v>
      </c>
      <c r="AJ53" s="1">
        <f t="shared" ref="AJ53:AJ62" si="91">SUM(C53:F53)</f>
        <v>17414</v>
      </c>
      <c r="AK53" s="1">
        <f t="shared" ref="AK53:AK62" si="92">SUM(G53:J53)</f>
        <v>22077</v>
      </c>
      <c r="AL53" s="1">
        <f t="shared" ref="AL53:AL62" si="93">SUM(K53:N53)</f>
        <v>22460</v>
      </c>
      <c r="AM53" s="1">
        <f t="shared" ref="AM53:AM62" si="94">SUM(O53:R53)</f>
        <v>22729</v>
      </c>
    </row>
    <row r="54" spans="2:39">
      <c r="B54" s="1" t="s">
        <v>57</v>
      </c>
      <c r="C54" s="1">
        <v>726</v>
      </c>
      <c r="D54" s="1">
        <v>713</v>
      </c>
      <c r="E54" s="1">
        <v>688</v>
      </c>
      <c r="F54" s="1">
        <v>686</v>
      </c>
      <c r="G54" s="1">
        <v>658</v>
      </c>
      <c r="H54" s="1">
        <v>626</v>
      </c>
      <c r="I54" s="1">
        <v>567</v>
      </c>
      <c r="J54" s="1">
        <v>590</v>
      </c>
      <c r="K54" s="1">
        <v>591</v>
      </c>
      <c r="L54" s="1">
        <v>523</v>
      </c>
      <c r="M54" s="1">
        <v>523</v>
      </c>
      <c r="N54" s="1">
        <v>518</v>
      </c>
      <c r="O54" s="1">
        <v>568</v>
      </c>
      <c r="P54" s="1">
        <v>559</v>
      </c>
      <c r="Q54" s="1">
        <v>572</v>
      </c>
      <c r="R54" s="1">
        <v>579</v>
      </c>
      <c r="AJ54" s="1">
        <f t="shared" si="91"/>
        <v>2813</v>
      </c>
      <c r="AK54" s="1">
        <f t="shared" si="92"/>
        <v>2441</v>
      </c>
      <c r="AL54" s="1">
        <f t="shared" si="93"/>
        <v>2155</v>
      </c>
      <c r="AM54" s="1">
        <f t="shared" si="94"/>
        <v>2278</v>
      </c>
    </row>
    <row r="55" spans="2:39">
      <c r="B55" s="1" t="s">
        <v>58</v>
      </c>
      <c r="C55" s="1">
        <v>11158</v>
      </c>
      <c r="D55" s="1">
        <v>11067</v>
      </c>
      <c r="E55" s="1">
        <v>10116</v>
      </c>
      <c r="F55" s="1">
        <v>15628</v>
      </c>
      <c r="G55" s="1">
        <v>13636</v>
      </c>
      <c r="H55" s="1">
        <v>12825</v>
      </c>
      <c r="I55" s="1">
        <v>11193</v>
      </c>
      <c r="J55" s="1">
        <v>17376</v>
      </c>
      <c r="K55" s="1">
        <v>15121</v>
      </c>
      <c r="L55" s="1">
        <v>12564</v>
      </c>
      <c r="M55" s="1">
        <v>12564</v>
      </c>
      <c r="N55" s="1">
        <v>19003</v>
      </c>
      <c r="O55" s="1">
        <v>16061</v>
      </c>
      <c r="P55" s="1">
        <v>15222</v>
      </c>
      <c r="Q55" s="1">
        <v>13472</v>
      </c>
      <c r="R55" s="1">
        <v>20743</v>
      </c>
      <c r="AJ55" s="1">
        <f t="shared" si="91"/>
        <v>47969</v>
      </c>
      <c r="AK55" s="1">
        <f t="shared" si="92"/>
        <v>55030</v>
      </c>
      <c r="AL55" s="1">
        <f t="shared" si="93"/>
        <v>59252</v>
      </c>
      <c r="AM55" s="1">
        <f t="shared" si="94"/>
        <v>65498</v>
      </c>
    </row>
    <row r="56" spans="2:39">
      <c r="B56" s="1" t="s">
        <v>59</v>
      </c>
      <c r="C56" s="1">
        <v>0</v>
      </c>
      <c r="D56" s="1">
        <v>1339</v>
      </c>
      <c r="E56" s="1">
        <v>0</v>
      </c>
      <c r="F56" s="1">
        <v>4</v>
      </c>
      <c r="G56" s="1">
        <v>1002</v>
      </c>
      <c r="H56" s="1">
        <v>1183</v>
      </c>
      <c r="I56" s="1">
        <v>1182</v>
      </c>
      <c r="J56" s="1">
        <v>1182</v>
      </c>
      <c r="K56" s="1">
        <v>181</v>
      </c>
      <c r="L56" s="1">
        <v>999</v>
      </c>
      <c r="M56" s="1">
        <v>999</v>
      </c>
      <c r="N56" s="1">
        <v>999</v>
      </c>
      <c r="O56" s="1">
        <v>1000</v>
      </c>
      <c r="P56" s="1">
        <v>0</v>
      </c>
      <c r="Q56" s="1">
        <v>0</v>
      </c>
      <c r="R56" s="1">
        <v>0</v>
      </c>
      <c r="AJ56" s="1">
        <f t="shared" si="91"/>
        <v>1343</v>
      </c>
      <c r="AK56" s="1">
        <f t="shared" si="92"/>
        <v>4549</v>
      </c>
      <c r="AL56" s="1">
        <f t="shared" si="93"/>
        <v>3178</v>
      </c>
      <c r="AM56" s="1">
        <f t="shared" si="94"/>
        <v>1000</v>
      </c>
    </row>
    <row r="57" spans="2:39">
      <c r="B57" s="1" t="s">
        <v>61</v>
      </c>
      <c r="C57" s="1">
        <v>2672</v>
      </c>
      <c r="D57" s="1">
        <v>10589</v>
      </c>
      <c r="E57" s="1">
        <v>10591</v>
      </c>
      <c r="F57" s="1">
        <v>10592</v>
      </c>
      <c r="G57" s="1">
        <v>9595</v>
      </c>
      <c r="H57" s="1">
        <v>9416</v>
      </c>
      <c r="I57" s="1">
        <v>9418</v>
      </c>
      <c r="J57" s="1">
        <v>9419</v>
      </c>
      <c r="K57" s="1">
        <v>9421</v>
      </c>
      <c r="L57" s="1">
        <v>8426</v>
      </c>
      <c r="M57" s="1">
        <v>8426</v>
      </c>
      <c r="N57" s="1">
        <v>8427</v>
      </c>
      <c r="O57" s="1">
        <v>8429</v>
      </c>
      <c r="P57" s="1">
        <v>8430</v>
      </c>
      <c r="Q57" s="1">
        <v>8432</v>
      </c>
      <c r="R57" s="1">
        <v>8433</v>
      </c>
      <c r="AJ57" s="1">
        <f t="shared" si="91"/>
        <v>34444</v>
      </c>
      <c r="AK57" s="1">
        <f t="shared" si="92"/>
        <v>37848</v>
      </c>
      <c r="AL57" s="1">
        <f t="shared" si="93"/>
        <v>34700</v>
      </c>
      <c r="AM57" s="1">
        <f t="shared" si="94"/>
        <v>33724</v>
      </c>
    </row>
    <row r="58" spans="2:39">
      <c r="B58" s="1" t="s">
        <v>60</v>
      </c>
      <c r="C58" s="1">
        <v>2734</v>
      </c>
      <c r="D58" s="1">
        <v>2878</v>
      </c>
      <c r="E58" s="1">
        <v>2722</v>
      </c>
      <c r="F58" s="1">
        <v>2703</v>
      </c>
      <c r="G58" s="1">
        <v>2730</v>
      </c>
      <c r="H58" s="1">
        <v>2580</v>
      </c>
      <c r="I58" s="1">
        <v>2831</v>
      </c>
      <c r="J58" s="1">
        <v>2897</v>
      </c>
      <c r="K58" s="1">
        <v>2880</v>
      </c>
      <c r="L58" s="1">
        <v>2764</v>
      </c>
      <c r="M58" s="1">
        <v>2764</v>
      </c>
      <c r="N58" s="1">
        <v>2644</v>
      </c>
      <c r="O58" s="1">
        <v>2519</v>
      </c>
      <c r="P58" s="1">
        <v>2404</v>
      </c>
      <c r="Q58" s="1">
        <v>2420</v>
      </c>
      <c r="R58" s="1">
        <v>2380</v>
      </c>
      <c r="AJ58" s="1">
        <f t="shared" si="91"/>
        <v>11037</v>
      </c>
      <c r="AK58" s="1">
        <f t="shared" si="92"/>
        <v>11038</v>
      </c>
      <c r="AL58" s="1">
        <f t="shared" si="93"/>
        <v>11052</v>
      </c>
      <c r="AM58" s="1">
        <f t="shared" si="94"/>
        <v>9723</v>
      </c>
    </row>
    <row r="59" spans="2:39">
      <c r="B59" s="1" t="s">
        <v>62</v>
      </c>
      <c r="C59" s="1">
        <v>1589</v>
      </c>
      <c r="D59" s="1">
        <v>2278</v>
      </c>
      <c r="E59" s="1">
        <v>2034</v>
      </c>
      <c r="F59" s="1">
        <v>1995</v>
      </c>
      <c r="G59" s="1">
        <v>1922</v>
      </c>
      <c r="H59" s="1">
        <v>1974</v>
      </c>
      <c r="I59" s="1">
        <v>2057</v>
      </c>
      <c r="J59" s="1">
        <v>2283</v>
      </c>
      <c r="K59" s="1">
        <v>2202</v>
      </c>
      <c r="L59" s="1">
        <v>2348</v>
      </c>
      <c r="M59" s="1">
        <v>2348</v>
      </c>
      <c r="N59" s="1">
        <v>2475</v>
      </c>
      <c r="O59" s="1">
        <v>2400</v>
      </c>
      <c r="P59" s="1">
        <v>2712</v>
      </c>
      <c r="Q59" s="1">
        <v>2643</v>
      </c>
      <c r="R59" s="1">
        <v>2962</v>
      </c>
      <c r="AJ59" s="1">
        <f t="shared" si="91"/>
        <v>7896</v>
      </c>
      <c r="AK59" s="1">
        <f t="shared" si="92"/>
        <v>8236</v>
      </c>
      <c r="AL59" s="1">
        <f t="shared" si="93"/>
        <v>9373</v>
      </c>
      <c r="AM59" s="1">
        <f t="shared" si="94"/>
        <v>10717</v>
      </c>
    </row>
    <row r="60" spans="2:39">
      <c r="B60" s="1" t="s">
        <v>68</v>
      </c>
      <c r="C60" s="1">
        <f>SUM(C53:C59)</f>
        <v>22318</v>
      </c>
      <c r="D60" s="1">
        <f t="shared" ref="D60:O60" si="95">SUM(D53:D59)</f>
        <v>33138</v>
      </c>
      <c r="E60" s="1">
        <f>SUM(E53:E59)</f>
        <v>30382</v>
      </c>
      <c r="F60" s="1">
        <f t="shared" si="95"/>
        <v>37078</v>
      </c>
      <c r="G60" s="1">
        <f>SUM(G53:G59)</f>
        <v>34146</v>
      </c>
      <c r="H60" s="1">
        <f t="shared" si="95"/>
        <v>34050</v>
      </c>
      <c r="I60" s="1">
        <f t="shared" ref="I60" si="96">SUM(I53:I59)</f>
        <v>32533</v>
      </c>
      <c r="J60" s="1">
        <f t="shared" ref="J60" si="97">SUM(J53:J59)</f>
        <v>40490</v>
      </c>
      <c r="K60" s="1">
        <f t="shared" ref="K60" si="98">SUM(K53:K59)</f>
        <v>36129</v>
      </c>
      <c r="L60" s="1">
        <f t="shared" si="95"/>
        <v>32932</v>
      </c>
      <c r="M60" s="1">
        <f t="shared" si="95"/>
        <v>32932</v>
      </c>
      <c r="N60" s="1">
        <f t="shared" si="95"/>
        <v>40177</v>
      </c>
      <c r="O60" s="1">
        <f t="shared" si="95"/>
        <v>36497</v>
      </c>
      <c r="P60" s="1">
        <f>SUM(P53:P59)</f>
        <v>34547</v>
      </c>
      <c r="Q60" s="1">
        <f>SUM(Q53:Q59)</f>
        <v>32870</v>
      </c>
      <c r="R60" s="1">
        <f t="shared" ref="R60" si="99">SUM(R53:R59)</f>
        <v>41755</v>
      </c>
      <c r="AJ60" s="1">
        <f t="shared" si="91"/>
        <v>122916</v>
      </c>
      <c r="AK60" s="1">
        <f t="shared" si="92"/>
        <v>141219</v>
      </c>
      <c r="AL60" s="1">
        <f t="shared" si="93"/>
        <v>142170</v>
      </c>
      <c r="AM60" s="1">
        <f t="shared" si="94"/>
        <v>145669</v>
      </c>
    </row>
    <row r="61" spans="2:39">
      <c r="B61" s="1" t="s">
        <v>64</v>
      </c>
      <c r="C61" s="1">
        <v>42567</v>
      </c>
      <c r="D61" s="1">
        <v>55520</v>
      </c>
      <c r="E61" s="1">
        <v>57436</v>
      </c>
      <c r="F61" s="1">
        <v>58131</v>
      </c>
      <c r="G61" s="1">
        <v>58876</v>
      </c>
      <c r="H61" s="1">
        <v>60098</v>
      </c>
      <c r="I61" s="1">
        <v>59351</v>
      </c>
      <c r="J61" s="1">
        <v>58359</v>
      </c>
      <c r="K61" s="1">
        <v>57412</v>
      </c>
      <c r="L61" s="1">
        <v>58090</v>
      </c>
      <c r="M61" s="1">
        <v>58090</v>
      </c>
      <c r="N61" s="1">
        <v>59646</v>
      </c>
      <c r="O61" s="1">
        <v>59683</v>
      </c>
      <c r="P61" s="1">
        <v>57633</v>
      </c>
      <c r="Q61" s="1">
        <v>58525</v>
      </c>
      <c r="R61" s="1">
        <v>61173</v>
      </c>
      <c r="AJ61" s="1">
        <f t="shared" si="91"/>
        <v>213654</v>
      </c>
      <c r="AK61" s="1">
        <f t="shared" si="92"/>
        <v>236684</v>
      </c>
      <c r="AL61" s="1">
        <f t="shared" si="93"/>
        <v>233238</v>
      </c>
      <c r="AM61" s="1">
        <f t="shared" si="94"/>
        <v>237014</v>
      </c>
    </row>
    <row r="62" spans="2:39">
      <c r="B62" s="1" t="s">
        <v>65</v>
      </c>
      <c r="C62" s="1">
        <f t="shared" ref="C62:O62" si="100">C60+C61</f>
        <v>64885</v>
      </c>
      <c r="D62" s="1">
        <f t="shared" si="100"/>
        <v>88658</v>
      </c>
      <c r="E62" s="1">
        <f t="shared" si="100"/>
        <v>87818</v>
      </c>
      <c r="F62" s="1">
        <f t="shared" si="100"/>
        <v>95209</v>
      </c>
      <c r="G62" s="1">
        <f>G60+G61</f>
        <v>93022</v>
      </c>
      <c r="H62" s="1">
        <f t="shared" si="100"/>
        <v>94148</v>
      </c>
      <c r="I62" s="1">
        <f>I60+I61</f>
        <v>91884</v>
      </c>
      <c r="J62" s="1">
        <f>J60+J61</f>
        <v>98849</v>
      </c>
      <c r="K62" s="1">
        <f t="shared" ref="K62" si="101">K60+K61</f>
        <v>93541</v>
      </c>
      <c r="L62" s="1">
        <f t="shared" si="100"/>
        <v>91022</v>
      </c>
      <c r="M62" s="1">
        <f t="shared" si="100"/>
        <v>91022</v>
      </c>
      <c r="N62" s="1">
        <f t="shared" si="100"/>
        <v>99823</v>
      </c>
      <c r="O62" s="1">
        <f t="shared" si="100"/>
        <v>96180</v>
      </c>
      <c r="P62" s="1">
        <f>P60+P61</f>
        <v>92180</v>
      </c>
      <c r="Q62" s="1">
        <f>Q60+Q61</f>
        <v>91395</v>
      </c>
      <c r="R62" s="1">
        <f t="shared" ref="R62" si="102">R60+R61</f>
        <v>102928</v>
      </c>
      <c r="AJ62" s="1">
        <f t="shared" si="91"/>
        <v>336570</v>
      </c>
      <c r="AK62" s="1">
        <f t="shared" si="92"/>
        <v>377903</v>
      </c>
      <c r="AL62" s="1">
        <f t="shared" si="93"/>
        <v>375408</v>
      </c>
      <c r="AM62" s="1">
        <f t="shared" si="94"/>
        <v>382683</v>
      </c>
    </row>
    <row r="64" spans="2:39">
      <c r="B64" s="1" t="s">
        <v>70</v>
      </c>
      <c r="C64" s="1">
        <f>C27</f>
        <v>469</v>
      </c>
      <c r="D64" s="1">
        <f t="shared" ref="D64:Q64" si="103">D27</f>
        <v>535</v>
      </c>
      <c r="E64" s="1">
        <f t="shared" si="103"/>
        <v>468</v>
      </c>
      <c r="F64" s="1">
        <f t="shared" si="103"/>
        <v>-28</v>
      </c>
      <c r="G64" s="1">
        <f t="shared" si="103"/>
        <v>28</v>
      </c>
      <c r="H64" s="1">
        <f t="shared" si="103"/>
        <v>68</v>
      </c>
      <c r="I64" s="1">
        <f t="shared" si="103"/>
        <v>210</v>
      </c>
      <c r="J64" s="1">
        <f t="shared" si="103"/>
        <v>-99</v>
      </c>
      <c r="K64" s="1">
        <f t="shared" si="103"/>
        <v>199</v>
      </c>
      <c r="L64" s="1">
        <f t="shared" si="103"/>
        <v>1267</v>
      </c>
      <c r="M64" s="1">
        <f t="shared" si="103"/>
        <v>1224</v>
      </c>
      <c r="N64" s="1">
        <f t="shared" si="103"/>
        <v>1446</v>
      </c>
      <c r="O64" s="1">
        <f t="shared" si="103"/>
        <v>1533</v>
      </c>
      <c r="P64" s="1">
        <f t="shared" si="103"/>
        <v>1429</v>
      </c>
      <c r="Q64" s="1">
        <f t="shared" si="103"/>
        <v>1527</v>
      </c>
      <c r="R64" s="1">
        <f t="shared" ref="R64" si="104">R27</f>
        <v>1708</v>
      </c>
      <c r="AJ64" s="1">
        <f t="shared" ref="AJ64:AJ70" si="105">SUM(C64:F64)</f>
        <v>1444</v>
      </c>
      <c r="AK64" s="1">
        <f t="shared" ref="AK64:AK70" si="106">SUM(G64:J64)</f>
        <v>207</v>
      </c>
      <c r="AL64" s="1">
        <f t="shared" ref="AL64:AL70" si="107">SUM(K64:N64)</f>
        <v>4136</v>
      </c>
      <c r="AM64" s="1">
        <f t="shared" ref="AM64:AM70" si="108">SUM(O64:R64)</f>
        <v>6197</v>
      </c>
    </row>
    <row r="65" spans="1:39">
      <c r="B65" s="1" t="s">
        <v>71</v>
      </c>
      <c r="K65" s="1">
        <v>1254</v>
      </c>
      <c r="L65" s="1">
        <v>890</v>
      </c>
      <c r="M65" s="1">
        <v>862</v>
      </c>
      <c r="N65" s="1">
        <f>3959-SUM(K65:M65)</f>
        <v>953</v>
      </c>
      <c r="O65" s="1">
        <v>879</v>
      </c>
      <c r="P65" s="1">
        <v>907</v>
      </c>
      <c r="Q65" s="1">
        <v>814</v>
      </c>
      <c r="R65" s="1">
        <f>3477-SUM(O65:Q65)</f>
        <v>877</v>
      </c>
      <c r="AJ65" s="1">
        <f t="shared" si="105"/>
        <v>0</v>
      </c>
      <c r="AK65" s="1">
        <f t="shared" si="106"/>
        <v>0</v>
      </c>
      <c r="AL65" s="1">
        <f t="shared" si="107"/>
        <v>3959</v>
      </c>
      <c r="AM65" s="1">
        <f t="shared" si="108"/>
        <v>3477</v>
      </c>
    </row>
    <row r="66" spans="1:39">
      <c r="B66" s="1" t="s">
        <v>72</v>
      </c>
      <c r="K66" s="1">
        <v>470</v>
      </c>
      <c r="L66" s="1">
        <v>476</v>
      </c>
      <c r="M66" s="1">
        <v>482</v>
      </c>
      <c r="N66" s="1">
        <f>1925-SUM(K66:M66)</f>
        <v>497</v>
      </c>
      <c r="O66" s="1">
        <v>517</v>
      </c>
      <c r="P66" s="1">
        <v>526</v>
      </c>
      <c r="Q66" s="1">
        <v>525</v>
      </c>
      <c r="R66" s="1">
        <f>2095-SUM(O66:Q66)</f>
        <v>527</v>
      </c>
      <c r="AJ66" s="1">
        <f t="shared" si="105"/>
        <v>0</v>
      </c>
      <c r="AK66" s="1">
        <f t="shared" si="106"/>
        <v>0</v>
      </c>
      <c r="AL66" s="1">
        <f t="shared" si="107"/>
        <v>1925</v>
      </c>
      <c r="AM66" s="1">
        <f t="shared" si="108"/>
        <v>2095</v>
      </c>
    </row>
    <row r="67" spans="1:39">
      <c r="A67" s="7" t="s">
        <v>80</v>
      </c>
      <c r="B67" s="1" t="s">
        <v>73</v>
      </c>
      <c r="K67" s="1">
        <v>696</v>
      </c>
      <c r="L67" s="1">
        <v>724</v>
      </c>
      <c r="M67" s="1">
        <v>693</v>
      </c>
      <c r="N67" s="1">
        <f>2787-SUM(K67:M67)</f>
        <v>674</v>
      </c>
      <c r="O67" s="1">
        <v>750</v>
      </c>
      <c r="P67" s="1">
        <v>810</v>
      </c>
      <c r="Q67" s="1">
        <v>820</v>
      </c>
      <c r="R67" s="1">
        <f>3183-SUM(O67:Q67)</f>
        <v>803</v>
      </c>
      <c r="AJ67" s="1">
        <f t="shared" si="105"/>
        <v>0</v>
      </c>
      <c r="AK67" s="1">
        <f t="shared" si="106"/>
        <v>0</v>
      </c>
      <c r="AL67" s="1">
        <f t="shared" si="107"/>
        <v>2787</v>
      </c>
      <c r="AM67" s="1">
        <f t="shared" si="108"/>
        <v>3183</v>
      </c>
    </row>
    <row r="68" spans="1:39">
      <c r="B68" s="1" t="s">
        <v>74</v>
      </c>
      <c r="K68" s="1">
        <v>141</v>
      </c>
      <c r="L68" s="1">
        <v>29</v>
      </c>
      <c r="M68" s="1">
        <v>72</v>
      </c>
      <c r="N68" s="1">
        <f>277-SUM(K68:M68)</f>
        <v>35</v>
      </c>
      <c r="O68" s="1">
        <v>-37</v>
      </c>
      <c r="P68" s="1">
        <v>37</v>
      </c>
      <c r="Q68" s="1">
        <v>217</v>
      </c>
      <c r="R68" s="1">
        <f>121-SUM(O68:Q68)</f>
        <v>-96</v>
      </c>
      <c r="AJ68" s="1">
        <f t="shared" si="105"/>
        <v>0</v>
      </c>
      <c r="AK68" s="1">
        <f t="shared" si="106"/>
        <v>0</v>
      </c>
      <c r="AL68" s="1">
        <f t="shared" si="107"/>
        <v>277</v>
      </c>
      <c r="AM68" s="1">
        <f t="shared" si="108"/>
        <v>121</v>
      </c>
    </row>
    <row r="69" spans="1:39">
      <c r="B69" s="1" t="s">
        <v>75</v>
      </c>
      <c r="K69" s="1">
        <f>6123-275-291-1403-168-2255</f>
        <v>1731</v>
      </c>
      <c r="L69" s="1">
        <f>-768-331-52-376-167-884</f>
        <v>-2578</v>
      </c>
      <c r="M69" s="1">
        <f>550-300-407+172-139-1677</f>
        <v>-1801</v>
      </c>
      <c r="N69" s="1">
        <f>-659-1872-843-478-621+1623-SUM(K69:M69)</f>
        <v>-202</v>
      </c>
      <c r="O69" s="1">
        <f>7162-248-514-755-85-2955</f>
        <v>2605</v>
      </c>
      <c r="P69" s="1">
        <f>-1136-427-477+220-158-839</f>
        <v>-2817</v>
      </c>
      <c r="Q69" s="1">
        <f>655-430-272+32-144-1761</f>
        <v>-1920</v>
      </c>
      <c r="R69" s="1">
        <f>-490-2121-1495+1089-548+1584-SUM(O69:Q69)</f>
        <v>151</v>
      </c>
      <c r="AJ69" s="1">
        <f t="shared" si="105"/>
        <v>0</v>
      </c>
      <c r="AK69" s="1">
        <f t="shared" si="106"/>
        <v>0</v>
      </c>
      <c r="AL69" s="1">
        <f t="shared" si="107"/>
        <v>-2850</v>
      </c>
      <c r="AM69" s="1">
        <f t="shared" si="108"/>
        <v>-1981</v>
      </c>
    </row>
    <row r="70" spans="1:39">
      <c r="B70" s="1" t="s">
        <v>76</v>
      </c>
      <c r="C70" s="1">
        <f t="shared" ref="C70:P70" si="109">SUM(C64:C69)</f>
        <v>469</v>
      </c>
      <c r="D70" s="1">
        <f t="shared" si="109"/>
        <v>535</v>
      </c>
      <c r="E70" s="1">
        <f t="shared" si="109"/>
        <v>468</v>
      </c>
      <c r="F70" s="1">
        <f t="shared" si="109"/>
        <v>-28</v>
      </c>
      <c r="G70" s="1">
        <f t="shared" si="109"/>
        <v>28</v>
      </c>
      <c r="H70" s="1">
        <f t="shared" si="109"/>
        <v>68</v>
      </c>
      <c r="I70" s="1">
        <f t="shared" si="109"/>
        <v>210</v>
      </c>
      <c r="J70" s="1">
        <f t="shared" si="109"/>
        <v>-99</v>
      </c>
      <c r="K70" s="1">
        <f t="shared" si="109"/>
        <v>4491</v>
      </c>
      <c r="L70" s="1">
        <f t="shared" si="109"/>
        <v>808</v>
      </c>
      <c r="M70" s="1">
        <f t="shared" si="109"/>
        <v>1532</v>
      </c>
      <c r="N70" s="1">
        <f>SUM(N64:N69)</f>
        <v>3403</v>
      </c>
      <c r="O70" s="1">
        <f t="shared" si="109"/>
        <v>6247</v>
      </c>
      <c r="P70" s="1">
        <f t="shared" si="109"/>
        <v>892</v>
      </c>
      <c r="Q70" s="1">
        <f>SUM(Q64:Q69)</f>
        <v>1983</v>
      </c>
      <c r="R70" s="1">
        <f t="shared" ref="R70" si="110">SUM(R64:R69)</f>
        <v>3970</v>
      </c>
      <c r="AJ70" s="1">
        <f t="shared" si="105"/>
        <v>1444</v>
      </c>
      <c r="AK70" s="1">
        <f t="shared" si="106"/>
        <v>207</v>
      </c>
      <c r="AL70" s="1">
        <f t="shared" si="107"/>
        <v>10234</v>
      </c>
      <c r="AM70" s="1">
        <f t="shared" si="108"/>
        <v>13092</v>
      </c>
    </row>
    <row r="72" spans="1:39">
      <c r="B72" s="1" t="s">
        <v>76</v>
      </c>
      <c r="C72" s="1">
        <f t="shared" ref="C72:P72" si="111">C70</f>
        <v>469</v>
      </c>
      <c r="D72" s="1">
        <f t="shared" si="111"/>
        <v>535</v>
      </c>
      <c r="E72" s="1">
        <f t="shared" si="111"/>
        <v>468</v>
      </c>
      <c r="F72" s="1">
        <f t="shared" si="111"/>
        <v>-28</v>
      </c>
      <c r="G72" s="1">
        <f t="shared" si="111"/>
        <v>28</v>
      </c>
      <c r="H72" s="1">
        <f t="shared" si="111"/>
        <v>68</v>
      </c>
      <c r="I72" s="1">
        <f t="shared" si="111"/>
        <v>210</v>
      </c>
      <c r="J72" s="1">
        <f t="shared" si="111"/>
        <v>-99</v>
      </c>
      <c r="K72" s="1">
        <f t="shared" si="111"/>
        <v>4491</v>
      </c>
      <c r="L72" s="1">
        <f t="shared" si="111"/>
        <v>808</v>
      </c>
      <c r="M72" s="1">
        <f t="shared" si="111"/>
        <v>1532</v>
      </c>
      <c r="N72" s="1">
        <f t="shared" si="111"/>
        <v>3403</v>
      </c>
      <c r="O72" s="1">
        <f t="shared" si="111"/>
        <v>6247</v>
      </c>
      <c r="P72" s="1">
        <f t="shared" si="111"/>
        <v>892</v>
      </c>
      <c r="Q72" s="1">
        <f>Q70</f>
        <v>1983</v>
      </c>
      <c r="R72" s="1">
        <f t="shared" ref="R72" si="112">R70</f>
        <v>3970</v>
      </c>
      <c r="AJ72" s="1">
        <f>SUM(C72:F72)</f>
        <v>1444</v>
      </c>
      <c r="AK72" s="1">
        <f>SUM(G72:J72)</f>
        <v>207</v>
      </c>
      <c r="AL72" s="1">
        <f>SUM(K72:N72)</f>
        <v>10234</v>
      </c>
      <c r="AM72" s="1">
        <f>SUM(O72:R72)</f>
        <v>13092</v>
      </c>
    </row>
    <row r="73" spans="1:39">
      <c r="B73" s="1" t="s">
        <v>77</v>
      </c>
      <c r="K73" s="1">
        <v>-243</v>
      </c>
      <c r="L73" s="1">
        <v>-180</v>
      </c>
      <c r="M73" s="1">
        <v>-166</v>
      </c>
      <c r="N73" s="1">
        <f>-658-SUM(K73:M73)</f>
        <v>-69</v>
      </c>
      <c r="O73" s="1">
        <v>-163</v>
      </c>
      <c r="P73" s="1">
        <v>-137</v>
      </c>
      <c r="Q73" s="1">
        <v>-204</v>
      </c>
      <c r="R73" s="1">
        <f>-658-SUM(O73:Q73)</f>
        <v>-154</v>
      </c>
      <c r="AJ73" s="1">
        <f>SUM(C73:F73)</f>
        <v>0</v>
      </c>
      <c r="AK73" s="1">
        <f>SUM(G73:J73)</f>
        <v>0</v>
      </c>
      <c r="AL73" s="1">
        <f>SUM(K73:N73)</f>
        <v>-658</v>
      </c>
      <c r="AM73" s="1">
        <f>SUM(O73:R73)</f>
        <v>-658</v>
      </c>
    </row>
    <row r="74" spans="1:39">
      <c r="B74" s="1" t="s">
        <v>78</v>
      </c>
      <c r="C74" s="1">
        <f t="shared" ref="C74:Q74" si="113">C72-SUM(C73:C73)</f>
        <v>469</v>
      </c>
      <c r="D74" s="1">
        <f t="shared" si="113"/>
        <v>535</v>
      </c>
      <c r="E74" s="1">
        <f t="shared" si="113"/>
        <v>468</v>
      </c>
      <c r="F74" s="1">
        <f t="shared" si="113"/>
        <v>-28</v>
      </c>
      <c r="G74" s="1">
        <f t="shared" si="113"/>
        <v>28</v>
      </c>
      <c r="H74" s="1">
        <f t="shared" si="113"/>
        <v>68</v>
      </c>
      <c r="I74" s="1">
        <f t="shared" si="113"/>
        <v>210</v>
      </c>
      <c r="J74" s="1">
        <f t="shared" si="113"/>
        <v>-99</v>
      </c>
      <c r="K74" s="1">
        <f t="shared" si="113"/>
        <v>4734</v>
      </c>
      <c r="L74" s="1">
        <f t="shared" si="113"/>
        <v>988</v>
      </c>
      <c r="M74" s="1">
        <f t="shared" si="113"/>
        <v>1698</v>
      </c>
      <c r="N74" s="1">
        <f t="shared" si="113"/>
        <v>3472</v>
      </c>
      <c r="O74" s="1">
        <f t="shared" si="113"/>
        <v>6410</v>
      </c>
      <c r="P74" s="1">
        <f t="shared" si="113"/>
        <v>1029</v>
      </c>
      <c r="Q74" s="1">
        <f t="shared" si="113"/>
        <v>2187</v>
      </c>
      <c r="R74" s="1">
        <f>R72-SUM(R73:R73)</f>
        <v>4124</v>
      </c>
      <c r="AJ74" s="1">
        <f>SUM(C74:F74)</f>
        <v>1444</v>
      </c>
      <c r="AK74" s="1">
        <f>SUM(G74:J74)</f>
        <v>207</v>
      </c>
      <c r="AL74" s="1">
        <f>SUM(K74:N74)</f>
        <v>10892</v>
      </c>
      <c r="AM74" s="1">
        <f>SUM(O74:R74)</f>
        <v>13750</v>
      </c>
    </row>
    <row r="75" spans="1:39">
      <c r="B75" s="1" t="s">
        <v>44</v>
      </c>
      <c r="C75" s="1">
        <f t="shared" ref="C75:Q75" si="114">C28</f>
        <v>926</v>
      </c>
      <c r="D75" s="1">
        <f t="shared" si="114"/>
        <v>979</v>
      </c>
      <c r="E75" s="1">
        <f t="shared" si="114"/>
        <v>985</v>
      </c>
      <c r="F75" s="1">
        <f t="shared" si="114"/>
        <v>990</v>
      </c>
      <c r="G75" s="1">
        <f t="shared" si="114"/>
        <v>995</v>
      </c>
      <c r="H75" s="1">
        <f t="shared" si="114"/>
        <v>1000</v>
      </c>
      <c r="I75" s="1">
        <f t="shared" si="114"/>
        <v>1000</v>
      </c>
      <c r="J75" s="1">
        <f t="shared" si="114"/>
        <v>970</v>
      </c>
      <c r="K75" s="1">
        <f t="shared" si="114"/>
        <v>974</v>
      </c>
      <c r="L75" s="1">
        <f t="shared" si="114"/>
        <v>973</v>
      </c>
      <c r="M75" s="1">
        <f t="shared" si="114"/>
        <v>968</v>
      </c>
      <c r="N75" s="1">
        <f t="shared" si="114"/>
        <v>970</v>
      </c>
      <c r="O75" s="1">
        <f t="shared" si="114"/>
        <v>969</v>
      </c>
      <c r="P75" s="1">
        <f t="shared" si="114"/>
        <v>956</v>
      </c>
      <c r="Q75" s="1">
        <f t="shared" si="114"/>
        <v>957</v>
      </c>
      <c r="R75" s="1">
        <f t="shared" ref="R75" si="115">R28</f>
        <v>961</v>
      </c>
      <c r="AJ75" s="1">
        <f>SUM(C75:F75)</f>
        <v>3880</v>
      </c>
      <c r="AK75" s="1">
        <f>SUM(G75:J75)</f>
        <v>3965</v>
      </c>
      <c r="AL75" s="1">
        <f>SUM(K75:N75)</f>
        <v>3885</v>
      </c>
      <c r="AM75" s="1">
        <f>SUM(O75:R75)</f>
        <v>3843</v>
      </c>
    </row>
    <row r="76" spans="1:39">
      <c r="B76" s="1" t="s">
        <v>79</v>
      </c>
      <c r="C76" s="2">
        <f t="shared" ref="C76:P76" si="116">C74/C75</f>
        <v>0.50647948164146872</v>
      </c>
      <c r="D76" s="2">
        <f t="shared" si="116"/>
        <v>0.54647599591419815</v>
      </c>
      <c r="E76" s="2">
        <f t="shared" si="116"/>
        <v>0.47512690355329951</v>
      </c>
      <c r="F76" s="2">
        <f t="shared" si="116"/>
        <v>-2.8282828282828285E-2</v>
      </c>
      <c r="G76" s="2">
        <f t="shared" si="116"/>
        <v>2.8140703517587941E-2</v>
      </c>
      <c r="H76" s="2">
        <f t="shared" si="116"/>
        <v>6.8000000000000005E-2</v>
      </c>
      <c r="I76" s="2">
        <f t="shared" si="116"/>
        <v>0.21</v>
      </c>
      <c r="J76" s="2">
        <f t="shared" si="116"/>
        <v>-0.10206185567010309</v>
      </c>
      <c r="K76" s="2">
        <f t="shared" si="116"/>
        <v>4.8603696098562628</v>
      </c>
      <c r="L76" s="2">
        <f t="shared" si="116"/>
        <v>1.0154162384378211</v>
      </c>
      <c r="M76" s="2">
        <f t="shared" si="116"/>
        <v>1.7541322314049588</v>
      </c>
      <c r="N76" s="2">
        <f t="shared" si="116"/>
        <v>3.5793814432989692</v>
      </c>
      <c r="O76" s="2">
        <f t="shared" si="116"/>
        <v>6.6150670794633646</v>
      </c>
      <c r="P76" s="2">
        <f t="shared" si="116"/>
        <v>1.0763598326359833</v>
      </c>
      <c r="Q76" s="2">
        <f>Q74/Q75</f>
        <v>2.2852664576802506</v>
      </c>
      <c r="R76" s="2">
        <f t="shared" ref="R76" si="117">R74/R75</f>
        <v>4.2913631633714884</v>
      </c>
      <c r="AJ76" s="2">
        <f>SUM(C76:F76)</f>
        <v>1.4997995528261381</v>
      </c>
      <c r="AK76" s="2">
        <f>SUM(G76:J76)</f>
        <v>0.20407884784748484</v>
      </c>
      <c r="AL76" s="2">
        <f>SUM(K76:N76)</f>
        <v>11.209299522998013</v>
      </c>
      <c r="AM76" s="2">
        <f>SUM(O76:R76)</f>
        <v>14.268056533151086</v>
      </c>
    </row>
  </sheetData>
  <pageMargins left="0.7" right="0.7" top="0.75" bottom="0.75" header="0.3" footer="0.3"/>
  <ignoredErrors>
    <ignoredError sqref="N3:N4 N21 AJ38:AM76 AJ21:AM27 AJ29:AL29" formulaRange="1"/>
    <ignoredError sqref="AJ28:AM2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2025-05-24T04:01:56Z</dcterms:modified>
</cp:coreProperties>
</file>