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51EB43F3-B501-4266-8340-80FF2867E646}" xr6:coauthVersionLast="47" xr6:coauthVersionMax="47" xr10:uidLastSave="{00000000-0000-0000-0000-000000000000}"/>
  <bookViews>
    <workbookView xWindow="28702" yWindow="-98" windowWidth="28995" windowHeight="15675" activeTab="2"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90" i="2" l="1"/>
  <c r="AR90" i="2"/>
  <c r="AT8" i="6" l="1"/>
  <c r="AT9" i="6"/>
  <c r="AT10" i="6"/>
  <c r="AT11" i="6"/>
  <c r="AT12" i="6"/>
  <c r="AT13" i="6"/>
  <c r="AT14" i="6"/>
  <c r="AT15" i="6"/>
  <c r="AT16" i="6"/>
  <c r="AT17" i="6"/>
  <c r="AT18" i="6"/>
  <c r="AT19" i="6"/>
  <c r="AT20" i="6"/>
  <c r="AT21" i="6"/>
  <c r="AT22" i="6"/>
  <c r="AT23" i="6"/>
  <c r="AT24" i="6"/>
  <c r="AT25" i="6"/>
  <c r="AT26" i="6"/>
  <c r="AT27" i="6"/>
  <c r="AT28" i="6"/>
  <c r="AT29" i="6"/>
  <c r="AT30" i="6"/>
  <c r="AT31" i="6"/>
  <c r="AT32" i="6"/>
  <c r="AT33" i="6"/>
  <c r="AT34" i="6"/>
  <c r="AT35" i="6"/>
  <c r="AT36" i="6"/>
  <c r="AT37" i="6"/>
  <c r="AT38" i="6"/>
  <c r="AT39" i="6"/>
  <c r="AT40" i="6"/>
  <c r="AT41" i="6"/>
  <c r="AT42" i="6"/>
  <c r="AT43" i="6"/>
  <c r="AT44" i="6"/>
  <c r="AT45" i="6"/>
  <c r="AT46" i="6"/>
  <c r="AT47" i="6"/>
  <c r="AT48" i="6"/>
  <c r="AT49" i="6"/>
  <c r="AT50" i="6"/>
  <c r="AT51" i="6"/>
  <c r="AT52" i="6"/>
  <c r="AT53" i="6"/>
  <c r="AT54" i="6"/>
  <c r="AT55" i="6"/>
  <c r="AT56" i="6"/>
  <c r="AT57" i="6"/>
  <c r="AT58" i="6"/>
  <c r="AT59" i="6"/>
  <c r="AT60" i="6"/>
  <c r="AT61" i="6"/>
  <c r="AT62" i="6"/>
  <c r="AT63" i="6"/>
  <c r="AT64" i="6"/>
  <c r="AT65" i="6"/>
  <c r="AT66" i="6"/>
  <c r="AT67" i="6"/>
  <c r="AT68" i="6"/>
  <c r="AT69" i="6"/>
  <c r="AT70" i="6"/>
  <c r="AT71" i="6"/>
  <c r="AT72" i="6"/>
  <c r="AT73" i="6"/>
  <c r="AT74" i="6"/>
  <c r="AT75" i="6"/>
  <c r="AT76" i="6"/>
  <c r="AT77" i="6"/>
  <c r="AT78" i="6"/>
  <c r="AT79" i="6"/>
  <c r="AT80" i="6"/>
  <c r="AT81" i="6"/>
  <c r="AT82" i="6"/>
  <c r="AT83" i="6"/>
  <c r="AT84" i="6"/>
  <c r="AT85" i="6"/>
  <c r="AT86" i="6"/>
  <c r="AT87" i="6"/>
  <c r="AT88" i="6"/>
  <c r="AT89" i="6"/>
  <c r="AT90" i="6"/>
  <c r="AT91" i="6"/>
  <c r="AT92" i="6"/>
  <c r="AT93" i="6"/>
  <c r="AT94" i="6"/>
  <c r="AT95" i="6"/>
  <c r="AT96" i="6"/>
  <c r="AT97" i="6"/>
  <c r="AT98" i="6"/>
  <c r="AT99" i="6"/>
  <c r="AT100" i="6"/>
  <c r="AT101" i="6"/>
  <c r="AT102" i="6"/>
  <c r="AT103" i="6"/>
  <c r="AT104" i="6"/>
  <c r="AT105" i="6"/>
  <c r="AT106" i="6"/>
  <c r="AT107" i="6"/>
  <c r="AT108" i="6"/>
  <c r="AT109" i="6"/>
  <c r="AT110" i="6"/>
  <c r="AT111" i="6"/>
  <c r="AT112" i="6"/>
  <c r="AT113" i="6"/>
  <c r="AT114" i="6"/>
  <c r="AT115" i="6"/>
  <c r="AT116" i="6"/>
  <c r="AT117" i="6"/>
  <c r="AT118" i="6"/>
  <c r="AT119" i="6"/>
  <c r="AT120" i="6"/>
  <c r="AT121" i="6"/>
  <c r="AT122" i="6"/>
  <c r="AT123" i="6"/>
  <c r="AT124" i="6"/>
  <c r="AT125" i="6"/>
  <c r="AT126" i="6"/>
  <c r="AT127" i="6"/>
  <c r="AT128" i="6"/>
  <c r="AT129" i="6"/>
  <c r="AT130" i="6"/>
  <c r="AT131" i="6"/>
  <c r="AT132" i="6"/>
  <c r="AT133" i="6"/>
  <c r="AT134" i="6"/>
  <c r="AT135" i="6"/>
  <c r="AT136" i="6"/>
  <c r="AT137" i="6"/>
  <c r="AT138" i="6"/>
  <c r="AT139" i="6"/>
  <c r="AT140" i="6"/>
  <c r="AT141" i="6"/>
  <c r="AT142" i="6"/>
  <c r="AT143" i="6"/>
  <c r="AT144" i="6"/>
  <c r="AT145" i="6"/>
  <c r="AT146" i="6"/>
  <c r="AT147" i="6"/>
  <c r="AT148" i="6"/>
  <c r="AT149" i="6"/>
  <c r="AT150" i="6"/>
  <c r="AT151" i="6"/>
  <c r="AT152" i="6"/>
  <c r="AT153" i="6"/>
  <c r="AT154" i="6"/>
  <c r="AT155" i="6"/>
  <c r="AT156" i="6"/>
  <c r="AT157" i="6"/>
  <c r="AT158" i="6"/>
  <c r="AT159" i="6"/>
  <c r="AT160" i="6"/>
  <c r="AT161" i="6"/>
  <c r="AT162" i="6"/>
  <c r="AT163" i="6"/>
  <c r="AT164" i="6"/>
  <c r="AT165" i="6"/>
  <c r="AT166" i="6"/>
  <c r="AT167" i="6"/>
  <c r="AT168" i="6"/>
  <c r="AT169" i="6"/>
  <c r="AT170" i="6"/>
  <c r="AT171" i="6"/>
  <c r="AT172" i="6"/>
  <c r="AT173" i="6"/>
  <c r="AT174" i="6"/>
  <c r="AT175" i="6"/>
  <c r="AT176" i="6"/>
  <c r="AT177" i="6"/>
  <c r="AT178" i="6"/>
  <c r="AT179" i="6"/>
  <c r="AT180" i="6"/>
  <c r="AT181" i="6"/>
  <c r="AT182" i="6"/>
  <c r="AT183" i="6"/>
  <c r="AT184" i="6"/>
  <c r="AT185" i="6"/>
  <c r="AT186" i="6"/>
  <c r="AT187" i="6"/>
  <c r="AT188" i="6"/>
  <c r="AT189" i="6"/>
  <c r="AT190" i="6"/>
  <c r="AT191" i="6"/>
  <c r="AT192" i="6"/>
  <c r="AT193" i="6"/>
  <c r="AT194" i="6"/>
  <c r="AT195" i="6"/>
  <c r="AT196" i="6"/>
  <c r="AT197" i="6"/>
  <c r="AT198" i="6"/>
  <c r="AT199" i="6"/>
  <c r="AT200" i="6"/>
  <c r="AT201" i="6"/>
  <c r="AT202" i="6"/>
  <c r="AT203" i="6"/>
  <c r="AT204" i="6"/>
  <c r="AT205" i="6"/>
  <c r="AT206" i="6"/>
  <c r="AT207" i="6"/>
  <c r="AT208" i="6"/>
  <c r="AT209" i="6"/>
  <c r="AT210" i="6"/>
  <c r="AT211" i="6"/>
  <c r="AT212" i="6"/>
  <c r="AT213" i="6"/>
  <c r="AT214" i="6"/>
  <c r="AT215" i="6"/>
  <c r="AT216" i="6"/>
  <c r="AT217" i="6"/>
  <c r="AT218" i="6"/>
  <c r="AT219" i="6"/>
  <c r="AT220" i="6"/>
  <c r="AT221" i="6"/>
  <c r="AT222" i="6"/>
  <c r="AT223" i="6"/>
  <c r="AT224" i="6"/>
  <c r="AT225" i="6"/>
  <c r="AT226" i="6"/>
  <c r="AT227" i="6"/>
  <c r="AT228" i="6"/>
  <c r="AT229" i="6"/>
  <c r="AT230" i="6"/>
  <c r="AT231" i="6"/>
  <c r="AT232" i="6"/>
  <c r="AT233" i="6"/>
  <c r="AT234" i="6"/>
  <c r="AT235" i="6"/>
  <c r="AT236" i="6"/>
  <c r="AT237" i="6"/>
  <c r="AT238" i="6"/>
  <c r="AT239" i="6"/>
  <c r="AT240" i="6"/>
  <c r="AT241" i="6"/>
  <c r="AT242" i="6"/>
  <c r="AT243" i="6"/>
  <c r="AT244" i="6"/>
  <c r="AT245" i="6"/>
  <c r="AT246" i="6"/>
  <c r="AT247" i="6"/>
  <c r="AT248" i="6"/>
  <c r="AT249" i="6"/>
  <c r="AT250" i="6"/>
  <c r="AT251" i="6"/>
  <c r="AT252" i="6"/>
  <c r="AT253" i="6"/>
  <c r="AT254" i="6"/>
  <c r="AT255" i="6"/>
  <c r="AT256" i="6"/>
  <c r="AT257" i="6"/>
  <c r="G22" i="2"/>
  <c r="AT5" i="6" l="1"/>
  <c r="AT4" i="6" s="1"/>
  <c r="AX2" i="6" s="1"/>
  <c r="AT2" i="6"/>
  <c r="AT3"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Y12" i="2" l="1"/>
  <c r="AZ12" i="2" s="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4" i="2" l="1"/>
  <c r="AN83" i="2"/>
  <c r="AN81" i="2"/>
  <c r="AN80" i="2"/>
  <c r="AN79" i="2"/>
  <c r="AO84" i="2"/>
  <c r="AO83" i="2"/>
  <c r="AO81" i="2"/>
  <c r="AO80" i="2"/>
  <c r="AO79" i="2"/>
  <c r="AP84" i="2"/>
  <c r="AP83" i="2"/>
  <c r="AP81" i="2"/>
  <c r="AP79" i="2"/>
  <c r="AQ79" i="2"/>
  <c r="AR79" i="2"/>
  <c r="K89" i="2"/>
  <c r="L89" i="2" s="1"/>
  <c r="M89" i="2" s="1"/>
  <c r="O89" i="2"/>
  <c r="H89" i="2"/>
  <c r="I89" i="2" s="1"/>
  <c r="H82" i="2"/>
  <c r="H78" i="2"/>
  <c r="I78" i="2" s="1"/>
  <c r="H77" i="2"/>
  <c r="I77" i="2" s="1"/>
  <c r="H76" i="2"/>
  <c r="I76" i="2" s="1"/>
  <c r="H75" i="2"/>
  <c r="H74" i="2"/>
  <c r="I74" i="2" s="1"/>
  <c r="G85" i="2"/>
  <c r="C89" i="2"/>
  <c r="D82" i="2"/>
  <c r="D78" i="2"/>
  <c r="E78" i="2" s="1"/>
  <c r="F78" i="2" s="1"/>
  <c r="D77" i="2"/>
  <c r="E77" i="2" s="1"/>
  <c r="D76" i="2"/>
  <c r="E76" i="2" s="1"/>
  <c r="D75" i="2"/>
  <c r="E75" i="2" s="1"/>
  <c r="D74" i="2"/>
  <c r="C85" i="2"/>
  <c r="N80" i="2"/>
  <c r="AP80" i="2" s="1"/>
  <c r="L82" i="2"/>
  <c r="M82" i="2" s="1"/>
  <c r="N82" i="2" s="1"/>
  <c r="L78" i="2"/>
  <c r="L77" i="2"/>
  <c r="L76" i="2"/>
  <c r="L75" i="2"/>
  <c r="M75" i="2" s="1"/>
  <c r="L74" i="2"/>
  <c r="M74" i="2" s="1"/>
  <c r="L91" i="2"/>
  <c r="M91" i="2"/>
  <c r="N91" i="2"/>
  <c r="K85" i="2"/>
  <c r="P84" i="2"/>
  <c r="Q84" i="2" s="1"/>
  <c r="P83" i="2"/>
  <c r="P82" i="2"/>
  <c r="Q82" i="2" s="1"/>
  <c r="P81" i="2"/>
  <c r="Q81" i="2" s="1"/>
  <c r="P80" i="2"/>
  <c r="Q80" i="2" s="1"/>
  <c r="P78" i="2"/>
  <c r="Q78" i="2" s="1"/>
  <c r="P77" i="2"/>
  <c r="P76" i="2"/>
  <c r="P75" i="2"/>
  <c r="Q75" i="2" s="1"/>
  <c r="P74" i="2"/>
  <c r="Q74" i="2" s="1"/>
  <c r="O85" i="2"/>
  <c r="T89" i="2"/>
  <c r="R91" i="2"/>
  <c r="Q91" i="2"/>
  <c r="P91" i="2"/>
  <c r="O91" i="2"/>
  <c r="K91" i="2"/>
  <c r="J91" i="2"/>
  <c r="I91" i="2"/>
  <c r="H91" i="2"/>
  <c r="G91" i="2"/>
  <c r="F91" i="2"/>
  <c r="E91" i="2"/>
  <c r="D91" i="2"/>
  <c r="C91" i="2"/>
  <c r="V91" i="2"/>
  <c r="U91" i="2"/>
  <c r="T91" i="2"/>
  <c r="T84" i="2"/>
  <c r="U84" i="2" s="1"/>
  <c r="T83" i="2"/>
  <c r="U83" i="2" s="1"/>
  <c r="T82" i="2"/>
  <c r="U82" i="2" s="1"/>
  <c r="T81" i="2"/>
  <c r="U81" i="2" s="1"/>
  <c r="T80" i="2"/>
  <c r="U80" i="2" s="1"/>
  <c r="T78" i="2"/>
  <c r="U78" i="2" s="1"/>
  <c r="T77" i="2"/>
  <c r="U77" i="2" s="1"/>
  <c r="T76" i="2"/>
  <c r="T75" i="2"/>
  <c r="U75" i="2" s="1"/>
  <c r="T74" i="2"/>
  <c r="U74" i="2" s="1"/>
  <c r="S91" i="2"/>
  <c r="S85" i="2"/>
  <c r="T85" i="2" s="1"/>
  <c r="AO66" i="2"/>
  <c r="AO69" i="2" s="1"/>
  <c r="AO71" i="2" s="1"/>
  <c r="AO62" i="2"/>
  <c r="AP66" i="2"/>
  <c r="AP69" i="2" s="1"/>
  <c r="AP71" i="2" s="1"/>
  <c r="AP62" i="2"/>
  <c r="AQ69" i="2"/>
  <c r="AQ71" i="2" s="1"/>
  <c r="AQ62" i="2"/>
  <c r="AR69" i="2"/>
  <c r="AR71" i="2" s="1"/>
  <c r="AR62" i="2"/>
  <c r="AR42" i="2"/>
  <c r="AS42" i="2" s="1"/>
  <c r="AT42" i="2" s="1"/>
  <c r="AU42" i="2" s="1"/>
  <c r="AV42" i="2" s="1"/>
  <c r="AW42" i="2" s="1"/>
  <c r="AX42" i="2" s="1"/>
  <c r="AY42" i="2" s="1"/>
  <c r="AZ42" i="2" s="1"/>
  <c r="BA42" i="2" s="1"/>
  <c r="BB42" i="2" s="1"/>
  <c r="BC42" i="2" s="1"/>
  <c r="BD42" i="2" s="1"/>
  <c r="BE42" i="2" s="1"/>
  <c r="BF42" i="2" s="1"/>
  <c r="BG42" i="2" s="1"/>
  <c r="BH42" i="2" s="1"/>
  <c r="BI42" i="2" s="1"/>
  <c r="BJ42" i="2" s="1"/>
  <c r="BK42" i="2" s="1"/>
  <c r="BL42" i="2" s="1"/>
  <c r="BM42" i="2" s="1"/>
  <c r="BN42" i="2" s="1"/>
  <c r="BO42" i="2" s="1"/>
  <c r="BP42" i="2" s="1"/>
  <c r="BQ42" i="2" s="1"/>
  <c r="BR42" i="2" s="1"/>
  <c r="BS42" i="2" s="1"/>
  <c r="BT42" i="2" s="1"/>
  <c r="BU42" i="2" s="1"/>
  <c r="BV42" i="2" s="1"/>
  <c r="BW42" i="2" s="1"/>
  <c r="BX42" i="2" s="1"/>
  <c r="BY42" i="2" s="1"/>
  <c r="BZ42" i="2" s="1"/>
  <c r="CA42" i="2" s="1"/>
  <c r="CB42" i="2" s="1"/>
  <c r="CC42" i="2" s="1"/>
  <c r="CD42" i="2" s="1"/>
  <c r="CE42" i="2" s="1"/>
  <c r="CF42" i="2" s="1"/>
  <c r="CG42" i="2" s="1"/>
  <c r="CH42" i="2" s="1"/>
  <c r="CI42" i="2" s="1"/>
  <c r="CJ42" i="2" s="1"/>
  <c r="CK42" i="2" s="1"/>
  <c r="CL42" i="2" s="1"/>
  <c r="CM42" i="2" s="1"/>
  <c r="CN42" i="2" s="1"/>
  <c r="CO42" i="2" s="1"/>
  <c r="CP42" i="2" s="1"/>
  <c r="CQ42" i="2" s="1"/>
  <c r="AO91" i="2" l="1"/>
  <c r="N74" i="2"/>
  <c r="AP74" i="2" s="1"/>
  <c r="AQ91" i="2"/>
  <c r="R80" i="2"/>
  <c r="AQ80" i="2" s="1"/>
  <c r="AR91" i="2"/>
  <c r="F76" i="2"/>
  <c r="AN76" i="2" s="1"/>
  <c r="E82" i="2"/>
  <c r="F82" i="2" s="1"/>
  <c r="V81" i="2"/>
  <c r="AR81" i="2" s="1"/>
  <c r="AP82" i="2"/>
  <c r="AN91" i="2"/>
  <c r="AP91" i="2"/>
  <c r="N75" i="2"/>
  <c r="AP75" i="2" s="1"/>
  <c r="J89" i="2"/>
  <c r="AO89" i="2" s="1"/>
  <c r="R74" i="2"/>
  <c r="AQ74" i="2" s="1"/>
  <c r="R75" i="2"/>
  <c r="AQ75" i="2" s="1"/>
  <c r="L85" i="2"/>
  <c r="M85" i="2" s="1"/>
  <c r="N89" i="2"/>
  <c r="AP89" i="2" s="1"/>
  <c r="P85" i="2"/>
  <c r="Q85" i="2" s="1"/>
  <c r="R85" i="2" s="1"/>
  <c r="M76" i="2"/>
  <c r="N76" i="2" s="1"/>
  <c r="H85" i="2"/>
  <c r="I85" i="2" s="1"/>
  <c r="AN78" i="2"/>
  <c r="F77" i="2"/>
  <c r="AN77" i="2" s="1"/>
  <c r="P89" i="2"/>
  <c r="R84" i="2"/>
  <c r="AQ84" i="2" s="1"/>
  <c r="I82" i="2"/>
  <c r="J82" i="2" s="1"/>
  <c r="V74" i="2"/>
  <c r="AR74" i="2" s="1"/>
  <c r="V83" i="2"/>
  <c r="AR83" i="2" s="1"/>
  <c r="Q83" i="2"/>
  <c r="M77" i="2"/>
  <c r="N77" i="2" s="1"/>
  <c r="AP77" i="2" s="1"/>
  <c r="F75" i="2"/>
  <c r="AN75" i="2" s="1"/>
  <c r="J78" i="2"/>
  <c r="AO78" i="2" s="1"/>
  <c r="D89" i="2"/>
  <c r="I75" i="2"/>
  <c r="J75" i="2" s="1"/>
  <c r="AO75" i="2" s="1"/>
  <c r="R81" i="2"/>
  <c r="AQ81" i="2" s="1"/>
  <c r="U76" i="2"/>
  <c r="V76" i="2" s="1"/>
  <c r="AR76" i="2" s="1"/>
  <c r="R82" i="2"/>
  <c r="AQ82" i="2" s="1"/>
  <c r="D85" i="2"/>
  <c r="E85" i="2" s="1"/>
  <c r="V75" i="2"/>
  <c r="AR75" i="2" s="1"/>
  <c r="V84" i="2"/>
  <c r="AR84" i="2" s="1"/>
  <c r="M78" i="2"/>
  <c r="N78" i="2" s="1"/>
  <c r="AP78" i="2" s="1"/>
  <c r="J77" i="2"/>
  <c r="AO77" i="2" s="1"/>
  <c r="J74" i="2"/>
  <c r="AO74" i="2" s="1"/>
  <c r="J76" i="2"/>
  <c r="AO76" i="2" s="1"/>
  <c r="E74" i="2"/>
  <c r="F74" i="2" s="1"/>
  <c r="U85" i="2"/>
  <c r="V85" i="2" s="1"/>
  <c r="V77" i="2"/>
  <c r="AR77" i="2" s="1"/>
  <c r="V78" i="2"/>
  <c r="AR78" i="2" s="1"/>
  <c r="U89" i="2"/>
  <c r="V89" i="2" s="1"/>
  <c r="V80" i="2"/>
  <c r="AR80" i="2" s="1"/>
  <c r="Q76" i="2"/>
  <c r="R76" i="2" s="1"/>
  <c r="Q77" i="2"/>
  <c r="R78" i="2"/>
  <c r="AQ78" i="2" s="1"/>
  <c r="V82" i="2"/>
  <c r="AR82" i="2" s="1"/>
  <c r="AR89" i="2" l="1"/>
  <c r="AN82" i="2"/>
  <c r="N85" i="2"/>
  <c r="AP85" i="2" s="1"/>
  <c r="AR85" i="2"/>
  <c r="AQ85" i="2"/>
  <c r="AP76" i="2"/>
  <c r="Q89" i="2"/>
  <c r="R89" i="2" s="1"/>
  <c r="AQ89" i="2" s="1"/>
  <c r="AQ76" i="2"/>
  <c r="F85" i="2"/>
  <c r="AN85" i="2" s="1"/>
  <c r="R77" i="2"/>
  <c r="AQ77" i="2"/>
  <c r="E89" i="2"/>
  <c r="F89" i="2" s="1"/>
  <c r="AN74" i="2"/>
  <c r="AO82" i="2"/>
  <c r="J85" i="2"/>
  <c r="AO85" i="2" s="1"/>
  <c r="R83" i="2"/>
  <c r="AQ83" i="2" s="1"/>
  <c r="AN89" i="2" l="1"/>
  <c r="J40" i="2" l="1"/>
  <c r="F40" i="2"/>
  <c r="F38" i="2"/>
  <c r="J38" i="2"/>
  <c r="F36" i="2"/>
  <c r="F35" i="2"/>
  <c r="F34" i="2"/>
  <c r="F33" i="2"/>
  <c r="F32" i="2"/>
  <c r="F31" i="2"/>
  <c r="F30" i="2"/>
  <c r="AQ42" i="2"/>
  <c r="AP42" i="2"/>
  <c r="AO42" i="2"/>
  <c r="AN42" i="2"/>
  <c r="AN26" i="2"/>
  <c r="AP26" i="2"/>
  <c r="AO26" i="2"/>
  <c r="K66" i="2"/>
  <c r="K69" i="2" s="1"/>
  <c r="L66" i="2"/>
  <c r="L69" i="2" s="1"/>
  <c r="J66" i="2"/>
  <c r="J69" i="2" s="1"/>
  <c r="J71" i="2" s="1"/>
  <c r="M66" i="2"/>
  <c r="M69" i="2" s="1"/>
  <c r="O66" i="2"/>
  <c r="O69" i="2" s="1"/>
  <c r="P66" i="2"/>
  <c r="P69" i="2" s="1"/>
  <c r="N66" i="2"/>
  <c r="N69" i="2" s="1"/>
  <c r="Q66" i="2"/>
  <c r="Q69" i="2" s="1"/>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11" i="2" s="1"/>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T24" i="2" l="1"/>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K37" i="2" s="1"/>
  <c r="I29" i="2"/>
  <c r="I37" i="2" s="1"/>
  <c r="M29" i="2"/>
  <c r="M37" i="2" s="1"/>
  <c r="U29" i="2"/>
  <c r="U37" i="2" s="1"/>
  <c r="J16" i="2"/>
  <c r="G29" i="2"/>
  <c r="G37" i="2" s="1"/>
  <c r="O29" i="2"/>
  <c r="H29" i="2"/>
  <c r="H37" i="2" s="1"/>
  <c r="P29" i="2"/>
  <c r="Q29" i="2"/>
  <c r="E20" i="2"/>
  <c r="F16" i="2"/>
  <c r="S29" i="2"/>
  <c r="C29" i="2"/>
  <c r="C37" i="2" s="1"/>
  <c r="D29" i="2"/>
  <c r="D37" i="2" s="1"/>
  <c r="L29" i="2"/>
  <c r="L37" i="2" s="1"/>
  <c r="L46" i="2" s="1"/>
  <c r="T29" i="2"/>
  <c r="T37" i="2" s="1"/>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F73" i="2" s="1"/>
  <c r="F86" i="2" s="1"/>
  <c r="F88" i="2" s="1"/>
  <c r="F90" i="2" s="1"/>
  <c r="J5" i="2"/>
  <c r="V5" i="2"/>
  <c r="AR5" i="2" s="1"/>
  <c r="N17" i="2"/>
  <c r="R17" i="2"/>
  <c r="V17" i="2"/>
  <c r="N5" i="2"/>
  <c r="R5" i="2"/>
  <c r="AS3" i="2" l="1"/>
  <c r="AR10" i="2"/>
  <c r="AR8" i="2"/>
  <c r="AS4" i="2"/>
  <c r="AQ11" i="2"/>
  <c r="I20" i="2"/>
  <c r="G19" i="2"/>
  <c r="H46" i="2"/>
  <c r="K24" i="2"/>
  <c r="G20" i="2"/>
  <c r="AQ10" i="2"/>
  <c r="R12" i="2"/>
  <c r="J12" i="2"/>
  <c r="AQ22" i="2"/>
  <c r="AR11" i="2"/>
  <c r="V24" i="2"/>
  <c r="AP10" i="2"/>
  <c r="AR23" i="2"/>
  <c r="AR22" i="2"/>
  <c r="G46" i="2"/>
  <c r="AO16" i="2"/>
  <c r="AP23" i="2" s="1"/>
  <c r="J23" i="2"/>
  <c r="H20" i="2"/>
  <c r="M24" i="2"/>
  <c r="N12" i="2"/>
  <c r="R24" i="2"/>
  <c r="M46" i="2"/>
  <c r="AQ23" i="2"/>
  <c r="I19" i="2"/>
  <c r="N23" i="2"/>
  <c r="L24" i="2"/>
  <c r="I46" i="2"/>
  <c r="V12" i="2"/>
  <c r="H19" i="2"/>
  <c r="K46" i="2"/>
  <c r="F92" i="2"/>
  <c r="F94" i="2"/>
  <c r="F43" i="2"/>
  <c r="F47" i="2"/>
  <c r="Q37" i="2"/>
  <c r="Q46" i="2" s="1"/>
  <c r="P37" i="2"/>
  <c r="P46" i="2" s="1"/>
  <c r="AO11" i="2"/>
  <c r="O37" i="2"/>
  <c r="O46" i="2" s="1"/>
  <c r="S37" i="2"/>
  <c r="V8" i="2"/>
  <c r="J29" i="2"/>
  <c r="J37" i="2" s="1"/>
  <c r="J46" i="2" s="1"/>
  <c r="F45" i="2"/>
  <c r="R29" i="2"/>
  <c r="AO22" i="2"/>
  <c r="AP22" i="2"/>
  <c r="N29" i="2"/>
  <c r="N37" i="2" s="1"/>
  <c r="AO10" i="2"/>
  <c r="AP11" i="2"/>
  <c r="AN5" i="2"/>
  <c r="AN7" i="2" s="1"/>
  <c r="AN16" i="2"/>
  <c r="AO5" i="2"/>
  <c r="AO7" i="2" s="1"/>
  <c r="M39" i="2"/>
  <c r="M41" i="2" s="1"/>
  <c r="M45" i="2"/>
  <c r="I39" i="2"/>
  <c r="I41" i="2" s="1"/>
  <c r="I45" i="2"/>
  <c r="L39" i="2"/>
  <c r="L41" i="2" s="1"/>
  <c r="L45" i="2"/>
  <c r="E39" i="2"/>
  <c r="E41" i="2" s="1"/>
  <c r="E45" i="2"/>
  <c r="K39" i="2"/>
  <c r="K41" i="2" s="1"/>
  <c r="K45" i="2"/>
  <c r="T39" i="2"/>
  <c r="T41" i="2" s="1"/>
  <c r="T45" i="2"/>
  <c r="D39" i="2"/>
  <c r="D41" i="2" s="1"/>
  <c r="D45" i="2"/>
  <c r="U39" i="2"/>
  <c r="U41" i="2" s="1"/>
  <c r="U45" i="2"/>
  <c r="H39" i="2"/>
  <c r="H41" i="2" s="1"/>
  <c r="H45" i="2"/>
  <c r="C39" i="2"/>
  <c r="C41" i="2" s="1"/>
  <c r="C45" i="2"/>
  <c r="G39" i="2"/>
  <c r="G41" i="2" s="1"/>
  <c r="G45" i="2"/>
  <c r="V29" i="2"/>
  <c r="J8" i="2"/>
  <c r="F8" i="2"/>
  <c r="AQ5" i="2"/>
  <c r="AP5" i="2"/>
  <c r="AR17" i="2"/>
  <c r="V20" i="2"/>
  <c r="V19" i="2"/>
  <c r="AQ17" i="2"/>
  <c r="R20" i="2"/>
  <c r="N8" i="2"/>
  <c r="R19" i="2"/>
  <c r="J17" i="2"/>
  <c r="N24" i="2" s="1"/>
  <c r="AP17" i="2"/>
  <c r="N20" i="2"/>
  <c r="N19" i="2"/>
  <c r="F17" i="2"/>
  <c r="J7" i="2"/>
  <c r="N7" i="2"/>
  <c r="V7" i="2"/>
  <c r="R8" i="2"/>
  <c r="R7" i="2"/>
  <c r="F7" i="2"/>
  <c r="AT4" i="2" l="1"/>
  <c r="AT3" i="2"/>
  <c r="AS5" i="2"/>
  <c r="AR24" i="2"/>
  <c r="AQ24" i="2"/>
  <c r="S46" i="2"/>
  <c r="J24" i="2"/>
  <c r="N46" i="2"/>
  <c r="T73" i="2"/>
  <c r="T86" i="2" s="1"/>
  <c r="T88" i="2" s="1"/>
  <c r="T90" i="2" s="1"/>
  <c r="T94" i="2" s="1"/>
  <c r="I73" i="2"/>
  <c r="I86" i="2" s="1"/>
  <c r="I88" i="2" s="1"/>
  <c r="I90" i="2" s="1"/>
  <c r="I94" i="2" s="1"/>
  <c r="I48" i="2"/>
  <c r="K73" i="2"/>
  <c r="K86" i="2" s="1"/>
  <c r="K48" i="2"/>
  <c r="M73" i="2"/>
  <c r="M86" i="2" s="1"/>
  <c r="M88" i="2" s="1"/>
  <c r="M90" i="2" s="1"/>
  <c r="M94" i="2" s="1"/>
  <c r="M48" i="2"/>
  <c r="T46" i="2"/>
  <c r="H73" i="2"/>
  <c r="H86" i="2" s="1"/>
  <c r="H88" i="2" s="1"/>
  <c r="H90" i="2" s="1"/>
  <c r="H94" i="2" s="1"/>
  <c r="H48" i="2"/>
  <c r="U73" i="2"/>
  <c r="U86" i="2" s="1"/>
  <c r="U88" i="2" s="1"/>
  <c r="U90" i="2" s="1"/>
  <c r="U46" i="2"/>
  <c r="G73" i="2"/>
  <c r="G86" i="2" s="1"/>
  <c r="G48" i="2"/>
  <c r="L73" i="2"/>
  <c r="L86" i="2" s="1"/>
  <c r="L88" i="2" s="1"/>
  <c r="L90" i="2" s="1"/>
  <c r="L92" i="2" s="1"/>
  <c r="L48" i="2"/>
  <c r="AR29" i="2"/>
  <c r="D47" i="2"/>
  <c r="D73" i="2"/>
  <c r="D86" i="2" s="1"/>
  <c r="D88" i="2" s="1"/>
  <c r="D90" i="2" s="1"/>
  <c r="C47" i="2"/>
  <c r="C73" i="2"/>
  <c r="E47" i="2"/>
  <c r="E73" i="2"/>
  <c r="E86" i="2" s="1"/>
  <c r="E88" i="2" s="1"/>
  <c r="E90" i="2" s="1"/>
  <c r="M47" i="2"/>
  <c r="P45" i="2"/>
  <c r="U47" i="2"/>
  <c r="Q39" i="2"/>
  <c r="Q41" i="2" s="1"/>
  <c r="J39" i="2"/>
  <c r="J41" i="2" s="1"/>
  <c r="J48" i="2" s="1"/>
  <c r="K47" i="2"/>
  <c r="G47" i="2"/>
  <c r="L47" i="2"/>
  <c r="P39" i="2"/>
  <c r="P41" i="2" s="1"/>
  <c r="T47" i="2"/>
  <c r="H47" i="2"/>
  <c r="I47" i="2"/>
  <c r="O45" i="2"/>
  <c r="O39" i="2"/>
  <c r="O41" i="2" s="1"/>
  <c r="S39" i="2"/>
  <c r="S41" i="2" s="1"/>
  <c r="S45" i="2"/>
  <c r="Q45" i="2"/>
  <c r="AN8" i="2"/>
  <c r="AQ7" i="2"/>
  <c r="AQ8" i="2"/>
  <c r="R37" i="2"/>
  <c r="R46" i="2" s="1"/>
  <c r="AQ29" i="2"/>
  <c r="AO8" i="2"/>
  <c r="AP12" i="2"/>
  <c r="AP8" i="2"/>
  <c r="AP7" i="2"/>
  <c r="AO29" i="2"/>
  <c r="AR12" i="2"/>
  <c r="AR7" i="2"/>
  <c r="AP29" i="2"/>
  <c r="AN29" i="2"/>
  <c r="N45" i="2"/>
  <c r="AO12" i="2"/>
  <c r="AQ12" i="2"/>
  <c r="AQ20" i="2"/>
  <c r="AQ19" i="2"/>
  <c r="N39" i="2"/>
  <c r="N41" i="2" s="1"/>
  <c r="J45" i="2"/>
  <c r="AO23" i="2"/>
  <c r="AP19" i="2"/>
  <c r="AP20" i="2"/>
  <c r="AR20" i="2"/>
  <c r="AR19" i="2"/>
  <c r="J19" i="2"/>
  <c r="AO17" i="2"/>
  <c r="F19" i="2"/>
  <c r="AN17" i="2"/>
  <c r="AN19" i="2" s="1"/>
  <c r="V37" i="2"/>
  <c r="L43" i="2"/>
  <c r="G43" i="2"/>
  <c r="U43" i="2"/>
  <c r="T43" i="2"/>
  <c r="C43" i="2"/>
  <c r="K43" i="2"/>
  <c r="M43" i="2"/>
  <c r="H43" i="2"/>
  <c r="D43" i="2"/>
  <c r="E43" i="2"/>
  <c r="I43" i="2"/>
  <c r="F20" i="2"/>
  <c r="J20" i="2"/>
  <c r="AS29" i="2" l="1"/>
  <c r="AS37" i="2" s="1"/>
  <c r="AS12" i="2"/>
  <c r="AS8" i="2"/>
  <c r="AS7" i="2"/>
  <c r="M92" i="2"/>
  <c r="AU3" i="2"/>
  <c r="AT5" i="2"/>
  <c r="AU4" i="2"/>
  <c r="I92" i="2"/>
  <c r="H92" i="2"/>
  <c r="T92" i="2"/>
  <c r="AO24" i="2"/>
  <c r="L94" i="2"/>
  <c r="V46" i="2"/>
  <c r="V45" i="2"/>
  <c r="P73" i="2"/>
  <c r="P86" i="2" s="1"/>
  <c r="P88" i="2" s="1"/>
  <c r="P90" i="2" s="1"/>
  <c r="P94" i="2" s="1"/>
  <c r="P48" i="2"/>
  <c r="S73" i="2"/>
  <c r="S86" i="2" s="1"/>
  <c r="S48" i="2"/>
  <c r="N73" i="2"/>
  <c r="N86" i="2" s="1"/>
  <c r="N88" i="2" s="1"/>
  <c r="N90" i="2" s="1"/>
  <c r="N94" i="2" s="1"/>
  <c r="N48" i="2"/>
  <c r="O73" i="2"/>
  <c r="O86" i="2" s="1"/>
  <c r="O48" i="2"/>
  <c r="T48" i="2"/>
  <c r="AP24" i="2"/>
  <c r="Q73" i="2"/>
  <c r="Q86" i="2" s="1"/>
  <c r="Q88" i="2" s="1"/>
  <c r="Q90" i="2" s="1"/>
  <c r="Q48" i="2"/>
  <c r="U48" i="2"/>
  <c r="U92" i="2"/>
  <c r="U94" i="2"/>
  <c r="C86" i="2"/>
  <c r="AN73" i="2"/>
  <c r="D92" i="2"/>
  <c r="D94" i="2"/>
  <c r="G88" i="2"/>
  <c r="E92" i="2"/>
  <c r="E94" i="2"/>
  <c r="K88" i="2"/>
  <c r="J73" i="2"/>
  <c r="J43" i="2"/>
  <c r="AO43" i="2" s="1"/>
  <c r="O47" i="2"/>
  <c r="S47" i="2"/>
  <c r="J47" i="2"/>
  <c r="P47" i="2"/>
  <c r="Q47" i="2"/>
  <c r="AP37" i="2"/>
  <c r="AP45" i="2" s="1"/>
  <c r="S43" i="2"/>
  <c r="P43" i="2"/>
  <c r="Q43" i="2"/>
  <c r="N47" i="2"/>
  <c r="AQ37" i="2"/>
  <c r="R39" i="2"/>
  <c r="R45" i="2"/>
  <c r="AO37" i="2"/>
  <c r="AR37" i="2"/>
  <c r="AN43" i="2"/>
  <c r="O43" i="2"/>
  <c r="AN37" i="2"/>
  <c r="AN45" i="2" s="1"/>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U62" i="2"/>
  <c r="T62" i="2"/>
  <c r="S62" i="2"/>
  <c r="R62" i="2"/>
  <c r="Q62" i="2"/>
  <c r="P62" i="2"/>
  <c r="O62" i="2"/>
  <c r="N62" i="2"/>
  <c r="M62" i="2"/>
  <c r="L62" i="2"/>
  <c r="K62" i="2"/>
  <c r="AT29" i="2" l="1"/>
  <c r="AT37" i="2" s="1"/>
  <c r="AT12" i="2"/>
  <c r="AT8" i="2"/>
  <c r="AT7" i="2"/>
  <c r="AV4" i="2"/>
  <c r="AU5" i="2"/>
  <c r="AV3" i="2"/>
  <c r="P92" i="2"/>
  <c r="N92" i="2"/>
  <c r="AP86" i="2"/>
  <c r="AS40" i="2"/>
  <c r="AS41" i="2" s="1"/>
  <c r="AP73" i="2"/>
  <c r="Q92" i="2"/>
  <c r="Q94" i="2"/>
  <c r="C88" i="2"/>
  <c r="AN86" i="2"/>
  <c r="S88" i="2"/>
  <c r="K90" i="2"/>
  <c r="AP88" i="2"/>
  <c r="G90" i="2"/>
  <c r="J86" i="2"/>
  <c r="AO73" i="2"/>
  <c r="O88" i="2"/>
  <c r="AP46" i="2"/>
  <c r="AQ46" i="2"/>
  <c r="AQ45" i="2"/>
  <c r="AR45" i="2"/>
  <c r="AR46" i="2"/>
  <c r="AO46" i="2"/>
  <c r="AO45" i="2"/>
  <c r="R41" i="2"/>
  <c r="AQ39" i="2"/>
  <c r="AN39" i="2"/>
  <c r="AO39" i="2"/>
  <c r="AP39" i="2"/>
  <c r="V41" i="2"/>
  <c r="AR39" i="2"/>
  <c r="C7" i="1"/>
  <c r="C6" i="1"/>
  <c r="C5" i="1"/>
  <c r="AU29" i="2" l="1"/>
  <c r="AU37" i="2" s="1"/>
  <c r="AU12" i="2"/>
  <c r="AU8" i="2"/>
  <c r="AV5" i="2"/>
  <c r="AW3" i="2"/>
  <c r="AU7" i="2"/>
  <c r="AW4" i="2"/>
  <c r="AS43" i="2"/>
  <c r="V73" i="2"/>
  <c r="V86" i="2" s="1"/>
  <c r="V48" i="2"/>
  <c r="R73" i="2"/>
  <c r="R86" i="2" s="1"/>
  <c r="R48" i="2"/>
  <c r="AT40" i="2"/>
  <c r="AT41" i="2" s="1"/>
  <c r="AT43" i="2" s="1"/>
  <c r="K92" i="2"/>
  <c r="AP92" i="2" s="1"/>
  <c r="AP90" i="2"/>
  <c r="K94" i="2"/>
  <c r="AQ73" i="2"/>
  <c r="S90" i="2"/>
  <c r="J88" i="2"/>
  <c r="AO86" i="2"/>
  <c r="C90" i="2"/>
  <c r="AN88" i="2"/>
  <c r="O90" i="2"/>
  <c r="G92" i="2"/>
  <c r="G94" i="2"/>
  <c r="V47" i="2"/>
  <c r="R47" i="2"/>
  <c r="V43" i="2"/>
  <c r="AR43" i="2" s="1"/>
  <c r="AR41" i="2"/>
  <c r="AQ41" i="2"/>
  <c r="R43" i="2"/>
  <c r="AQ43" i="2" s="1"/>
  <c r="AN41" i="2"/>
  <c r="AN47" i="2" s="1"/>
  <c r="AP41" i="2"/>
  <c r="AO41" i="2"/>
  <c r="C8" i="1"/>
  <c r="AV29" i="2" l="1"/>
  <c r="AV37" i="2" s="1"/>
  <c r="AV40" i="2" s="1"/>
  <c r="AV41" i="2" s="1"/>
  <c r="AV43" i="2" s="1"/>
  <c r="AV12" i="2"/>
  <c r="AV8" i="2"/>
  <c r="AV7" i="2"/>
  <c r="AW5" i="2"/>
  <c r="AW8" i="2" s="1"/>
  <c r="AX3" i="2"/>
  <c r="AX4" i="2"/>
  <c r="AR73" i="2"/>
  <c r="AU40" i="2"/>
  <c r="AU41" i="2" s="1"/>
  <c r="AU43" i="2" s="1"/>
  <c r="C92" i="2"/>
  <c r="AN92" i="2" s="1"/>
  <c r="AN90" i="2"/>
  <c r="C94" i="2"/>
  <c r="J90" i="2"/>
  <c r="AO88" i="2"/>
  <c r="O92" i="2"/>
  <c r="O94" i="2"/>
  <c r="S92" i="2"/>
  <c r="S94" i="2"/>
  <c r="R88" i="2"/>
  <c r="AQ86" i="2"/>
  <c r="V88" i="2"/>
  <c r="AR86" i="2"/>
  <c r="AQ47" i="2"/>
  <c r="AQ48" i="2"/>
  <c r="AO47" i="2"/>
  <c r="AO48" i="2"/>
  <c r="AP47" i="2"/>
  <c r="AP48" i="2"/>
  <c r="AR47" i="2"/>
  <c r="AR48" i="2"/>
  <c r="AW29" i="2" l="1"/>
  <c r="AW37" i="2" s="1"/>
  <c r="AW40" i="2" s="1"/>
  <c r="AW41" i="2" s="1"/>
  <c r="AW43" i="2" s="1"/>
  <c r="AW12" i="2"/>
  <c r="AX5" i="2"/>
  <c r="AW7" i="2"/>
  <c r="AR88" i="2"/>
  <c r="R90" i="2"/>
  <c r="AQ88" i="2"/>
  <c r="J92" i="2"/>
  <c r="AO92" i="2" s="1"/>
  <c r="J94" i="2"/>
  <c r="AO90" i="2"/>
  <c r="AX29" i="2" l="1"/>
  <c r="AX37" i="2" s="1"/>
  <c r="AX40" i="2" s="1"/>
  <c r="AX41" i="2" s="1"/>
  <c r="AX43" i="2" s="1"/>
  <c r="AX12" i="2"/>
  <c r="AX7" i="2"/>
  <c r="AX8" i="2"/>
  <c r="R92" i="2"/>
  <c r="AQ92" i="2" s="1"/>
  <c r="R94" i="2"/>
  <c r="AQ90" i="2"/>
  <c r="V92" i="2"/>
  <c r="AR92" i="2" s="1"/>
  <c r="V94" i="2"/>
  <c r="AY29" i="2" l="1"/>
  <c r="AZ29" i="2" l="1"/>
  <c r="AZ37" i="2" s="1"/>
  <c r="AZ40" i="2" s="1"/>
  <c r="AZ41" i="2" s="1"/>
  <c r="AY37" i="2"/>
  <c r="AY40" i="2" s="1"/>
  <c r="AY41" i="2" s="1"/>
  <c r="AY43" i="2" s="1"/>
  <c r="BA29" i="2" l="1"/>
  <c r="BA37" i="2" s="1"/>
  <c r="BA40" i="2" s="1"/>
  <c r="BA41" i="2" s="1"/>
  <c r="BA43" i="2" s="1"/>
  <c r="AZ43" i="2"/>
  <c r="BB29" i="2" l="1"/>
  <c r="BB37" i="2" s="1"/>
  <c r="BC29" i="2" l="1"/>
  <c r="BC37" i="2" s="1"/>
  <c r="BC40" i="2" s="1"/>
  <c r="BC41" i="2" s="1"/>
  <c r="BC43" i="2" s="1"/>
  <c r="BB40" i="2"/>
  <c r="BB41" i="2" s="1"/>
  <c r="BD29" i="2" l="1"/>
  <c r="BD37" i="2" s="1"/>
  <c r="BD40" i="2" s="1"/>
  <c r="BD41" i="2" s="1"/>
  <c r="BD43" i="2" s="1"/>
  <c r="BB43" i="2"/>
  <c r="BE29" i="2" l="1"/>
  <c r="BE37" i="2" s="1"/>
  <c r="BE40" i="2" s="1"/>
  <c r="BE41" i="2" s="1"/>
  <c r="BE43" i="2" s="1"/>
  <c r="BF29" i="2" l="1"/>
  <c r="BF37" i="2" s="1"/>
  <c r="BG29" i="2" l="1"/>
  <c r="BG37" i="2" s="1"/>
  <c r="BF40" i="2"/>
  <c r="BF41" i="2" s="1"/>
  <c r="BH29" i="2" l="1"/>
  <c r="BH37" i="2" s="1"/>
  <c r="BH40" i="2" s="1"/>
  <c r="BH41" i="2" s="1"/>
  <c r="BH43" i="2" s="1"/>
  <c r="BF43" i="2"/>
  <c r="BG40" i="2"/>
  <c r="BG41" i="2" s="1"/>
  <c r="BG43" i="2" s="1"/>
  <c r="BI29" i="2" l="1"/>
  <c r="BI37" i="2" s="1"/>
  <c r="BI40" i="2" s="1"/>
  <c r="BI41" i="2" s="1"/>
  <c r="BI43" i="2" s="1"/>
  <c r="BJ29" i="2" l="1"/>
  <c r="BJ37" i="2" s="1"/>
  <c r="BJ40" i="2"/>
  <c r="BJ41" i="2" s="1"/>
  <c r="BJ43" i="2" s="1"/>
  <c r="BK29" i="2"/>
  <c r="BK37" i="2" s="1"/>
  <c r="BK40" i="2" l="1"/>
  <c r="BK41" i="2" s="1"/>
  <c r="BK43" i="2" s="1"/>
  <c r="BL29" i="2"/>
  <c r="BL37" i="2" s="1"/>
  <c r="BL40" i="2" l="1"/>
  <c r="BL41" i="2" s="1"/>
  <c r="BL43" i="2" s="1"/>
  <c r="BM29" i="2"/>
  <c r="BM37" i="2" s="1"/>
  <c r="BM40" i="2" l="1"/>
  <c r="BM41" i="2" s="1"/>
  <c r="BM43" i="2" s="1"/>
  <c r="BN29" i="2"/>
  <c r="BN37" i="2" s="1"/>
  <c r="BN40" i="2" l="1"/>
  <c r="BN41" i="2" s="1"/>
  <c r="BN43" i="2" s="1"/>
  <c r="BO29" i="2"/>
  <c r="BO37" i="2" s="1"/>
  <c r="BP29" i="2" l="1"/>
  <c r="BP37" i="2" s="1"/>
  <c r="BO40" i="2"/>
  <c r="BO41" i="2" s="1"/>
  <c r="BO43" i="2" s="1"/>
  <c r="BQ29" i="2" l="1"/>
  <c r="BQ37" i="2" s="1"/>
  <c r="BP40" i="2"/>
  <c r="BP41" i="2" s="1"/>
  <c r="BP43" i="2" s="1"/>
  <c r="BR29" i="2" l="1"/>
  <c r="BR37" i="2" s="1"/>
  <c r="BQ40" i="2"/>
  <c r="BQ41" i="2" s="1"/>
  <c r="BQ43" i="2" s="1"/>
  <c r="BS29" i="2" l="1"/>
  <c r="BS37" i="2" s="1"/>
  <c r="BR40" i="2"/>
  <c r="BR41" i="2" s="1"/>
  <c r="BR43" i="2" s="1"/>
  <c r="BT29" i="2" l="1"/>
  <c r="BT37" i="2" s="1"/>
  <c r="BS40" i="2"/>
  <c r="BS41" i="2" s="1"/>
  <c r="BS43" i="2" s="1"/>
  <c r="BT40" i="2" l="1"/>
  <c r="BT41" i="2" s="1"/>
  <c r="BT43" i="2" s="1"/>
  <c r="BU29" i="2"/>
  <c r="BU37" i="2" s="1"/>
  <c r="BV29" i="2" l="1"/>
  <c r="BV37" i="2" s="1"/>
  <c r="BU40" i="2"/>
  <c r="BU41" i="2" s="1"/>
  <c r="BU43" i="2" s="1"/>
  <c r="BW29" i="2" l="1"/>
  <c r="BW37" i="2" s="1"/>
  <c r="BV40" i="2"/>
  <c r="BV41" i="2" s="1"/>
  <c r="BV43" i="2" s="1"/>
  <c r="BX29" i="2" l="1"/>
  <c r="BX37" i="2" s="1"/>
  <c r="BW40" i="2"/>
  <c r="BW41" i="2" s="1"/>
  <c r="BW43" i="2" s="1"/>
  <c r="BX40" i="2" l="1"/>
  <c r="BX41" i="2" s="1"/>
  <c r="BX43" i="2" s="1"/>
  <c r="BY29" i="2"/>
  <c r="BY37" i="2" s="1"/>
  <c r="BY40" i="2" l="1"/>
  <c r="BY41" i="2" s="1"/>
  <c r="BY43" i="2" s="1"/>
  <c r="BZ29" i="2"/>
  <c r="BZ37" i="2" s="1"/>
  <c r="BZ40" i="2" l="1"/>
  <c r="BZ41" i="2" s="1"/>
  <c r="BZ43" i="2" s="1"/>
  <c r="CA29" i="2"/>
  <c r="CA37" i="2" s="1"/>
  <c r="CB29" i="2" l="1"/>
  <c r="CB37" i="2" s="1"/>
  <c r="CB40" i="2" l="1"/>
  <c r="CB41" i="2" s="1"/>
  <c r="CB43" i="2" s="1"/>
  <c r="CC29" i="2"/>
  <c r="CC37" i="2" s="1"/>
  <c r="CA40" i="2"/>
  <c r="CA41" i="2" s="1"/>
  <c r="CD29" i="2" l="1"/>
  <c r="CD37" i="2" s="1"/>
  <c r="CA43" i="2"/>
  <c r="CD40" i="2" l="1"/>
  <c r="CD41" i="2" s="1"/>
  <c r="CD43" i="2" s="1"/>
  <c r="CE29" i="2"/>
  <c r="CE37" i="2" s="1"/>
  <c r="CC40" i="2"/>
  <c r="CC41" i="2" s="1"/>
  <c r="CC43" i="2" s="1"/>
  <c r="CE40" i="2" l="1"/>
  <c r="CE41" i="2" s="1"/>
  <c r="CE43" i="2" s="1"/>
  <c r="CF29" i="2"/>
  <c r="CF37" i="2" s="1"/>
  <c r="CF40" i="2" l="1"/>
  <c r="CF41" i="2" s="1"/>
  <c r="CF43" i="2" s="1"/>
  <c r="CG29" i="2"/>
  <c r="CG37" i="2" s="1"/>
  <c r="CG40" i="2" l="1"/>
  <c r="CG41" i="2" s="1"/>
  <c r="CH29" i="2"/>
  <c r="CH37" i="2" s="1"/>
  <c r="CI29" i="2" l="1"/>
  <c r="CI37" i="2" s="1"/>
  <c r="CG43" i="2"/>
  <c r="CH40" i="2" l="1"/>
  <c r="CH41" i="2" s="1"/>
  <c r="CH43" i="2" s="1"/>
  <c r="CI40" i="2"/>
  <c r="CI41" i="2" s="1"/>
  <c r="CI43" i="2" s="1"/>
  <c r="CJ29" i="2"/>
  <c r="CJ37" i="2" s="1"/>
  <c r="CK29" i="2" l="1"/>
  <c r="CK37" i="2" s="1"/>
  <c r="CJ40" i="2"/>
  <c r="CJ41" i="2" s="1"/>
  <c r="CJ43" i="2" s="1"/>
  <c r="CK40" i="2" l="1"/>
  <c r="CK41" i="2" s="1"/>
  <c r="CK43" i="2" s="1"/>
  <c r="CL29" i="2"/>
  <c r="CL37" i="2" s="1"/>
  <c r="CM29" i="2" l="1"/>
  <c r="CM37" i="2" s="1"/>
  <c r="CM40" i="2" l="1"/>
  <c r="CM41" i="2" s="1"/>
  <c r="CM43" i="2" s="1"/>
  <c r="CN29" i="2"/>
  <c r="CN37" i="2" s="1"/>
  <c r="CL40" i="2"/>
  <c r="CL41" i="2" s="1"/>
  <c r="CL43" i="2" s="1"/>
  <c r="CO29" i="2" l="1"/>
  <c r="CO37" i="2" s="1"/>
  <c r="CP29" i="2" l="1"/>
  <c r="CP37" i="2" s="1"/>
  <c r="CO40" i="2"/>
  <c r="CO41" i="2" s="1"/>
  <c r="CO43" i="2" s="1"/>
  <c r="CN40" i="2"/>
  <c r="CN41" i="2" s="1"/>
  <c r="CN43" i="2" s="1"/>
  <c r="CQ29" i="2" l="1"/>
  <c r="CQ37" i="2" s="1"/>
  <c r="CP40" i="2"/>
  <c r="CP41" i="2" s="1"/>
  <c r="CP43" i="2" s="1"/>
  <c r="CQ40" i="2" l="1"/>
  <c r="CQ41" i="2" s="1"/>
  <c r="CQ43" i="2" l="1"/>
  <c r="AU52" i="2"/>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tc={320EE886-3CCC-4AA0-89EC-6CEDDA66BB55}</author>
    <author>tc={C432C69B-E3F2-4EDD-9EE0-2164911AD911}</author>
    <author>tc={6FA3413F-0950-48BD-8319-2A8DA9CE50E4}</author>
    <author>tc={38ADF2F8-1B4F-47C7-85FB-0FD1BE23E2EC}</author>
  </authors>
  <commentList>
    <comment ref="W43" authorId="0" shapeId="0" xr:uid="{320EE886-3CCC-4AA0-89EC-6CEDDA66BB55}">
      <text>
        <t>[Threaded comment]
Your version of Excel allows you to read this threaded comment; however, any edits to it will get removed if the file is opened in a newer version of Excel. Learn more: https://go.microsoft.com/fwlink/?linkid=870924
Comment:
    Estimates - Low: 1.15 High: 1.23</t>
      </text>
    </comment>
    <comment ref="X43" authorId="1" shapeId="0" xr:uid="{C432C69B-E3F2-4EDD-9EE0-2164911AD911}">
      <text>
        <t>[Threaded comment]
Your version of Excel allows you to read this threaded comment; however, any edits to it will get removed if the file is opened in a newer version of Excel. Learn more: https://go.microsoft.com/fwlink/?linkid=870924
Comment:
    Estimates - Low: 1.14 High: 1.32</t>
      </text>
    </comment>
    <comment ref="AS43" authorId="2"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3/21/25 FY Estimates - Low: 4.93 High: 5.32
</t>
      </text>
    </comment>
    <comment ref="AT43" authorId="3"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6.02 Avg: 5.58</t>
      </text>
    </comment>
  </commentList>
</comments>
</file>

<file path=xl/sharedStrings.xml><?xml version="1.0" encoding="utf-8"?>
<sst xmlns="http://schemas.openxmlformats.org/spreadsheetml/2006/main" count="538" uniqueCount="498">
  <si>
    <t>PYPL</t>
  </si>
  <si>
    <t xml:space="preserve">Price </t>
  </si>
  <si>
    <t>Shares Outstanding</t>
  </si>
  <si>
    <t>MC</t>
  </si>
  <si>
    <t>Cash</t>
  </si>
  <si>
    <t>Debt</t>
  </si>
  <si>
    <t>EV</t>
  </si>
  <si>
    <t>FQ1'25</t>
  </si>
  <si>
    <t>Revenues</t>
  </si>
  <si>
    <t>Transaction Revenues</t>
  </si>
  <si>
    <t>Revenues from other VASs</t>
  </si>
  <si>
    <t>Ttl Revenues</t>
  </si>
  <si>
    <t xml:space="preserve">U.S. </t>
  </si>
  <si>
    <t>Primary Geographic Markets (Revenue)</t>
  </si>
  <si>
    <t>International</t>
  </si>
  <si>
    <t>Ttl Net Revenues</t>
  </si>
  <si>
    <t>Transaction Expenses</t>
  </si>
  <si>
    <t>Other Income/(Expenses), net</t>
  </si>
  <si>
    <t>Pretax Income</t>
  </si>
  <si>
    <t>Net Income</t>
  </si>
  <si>
    <t xml:space="preserve">PayPal Holdings Inc. </t>
  </si>
  <si>
    <t>Founded: 1998</t>
  </si>
  <si>
    <t>Headquarted: San Jose</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</si>
  <si>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</si>
  <si>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</si>
  <si>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</si>
  <si>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</si>
  <si>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</si>
  <si>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</si>
  <si>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</si>
  <si>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</si>
  <si>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</si>
  <si>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</si>
  <si>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</si>
  <si>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</si>
  <si>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</si>
  <si>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</si>
  <si>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</si>
  <si>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</si>
  <si>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</si>
  <si>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</si>
  <si>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</si>
  <si>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</si>
  <si>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</si>
  <si>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</si>
  <si>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</si>
  <si>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</si>
  <si>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</si>
  <si>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</si>
  <si>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</si>
  <si>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</si>
  <si>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</si>
  <si>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</si>
  <si>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b/>
        <sz val="11"/>
        <color theme="1"/>
        <rFont val="Calibre"/>
      </rP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</si>
  <si>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rPr>
        <b/>
        <sz val="11"/>
        <color theme="1"/>
        <rFont val="Calibre"/>
      </rP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</si>
  <si>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</si>
  <si>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</si>
  <si>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</si>
  <si>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</si>
  <si>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</si>
  <si>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</si>
  <si>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</si>
  <si>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</si>
  <si>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</si>
  <si>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</si>
  <si>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</si>
  <si>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</si>
  <si>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</si>
  <si>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</si>
  <si>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</si>
  <si>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</si>
  <si>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</si>
  <si>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Tax Expenses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</si>
  <si>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</si>
  <si>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</si>
  <si>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</si>
  <si>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</si>
  <si>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</si>
  <si>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</si>
  <si>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</si>
  <si>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</si>
  <si>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</si>
  <si>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</si>
  <si>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</si>
  <si>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</si>
  <si>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</si>
  <si>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</si>
  <si>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</si>
  <si>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</si>
  <si>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</si>
  <si>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</si>
  <si>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</si>
  <si>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</si>
  <si>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</si>
  <si>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</si>
  <si>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</si>
  <si>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</si>
  <si>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</si>
  <si>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</si>
  <si>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</si>
  <si>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</si>
  <si>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</si>
  <si>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</si>
  <si>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</si>
  <si>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</si>
  <si>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</si>
  <si>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</si>
  <si>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</si>
  <si>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</si>
  <si>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</si>
  <si>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</si>
  <si>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</si>
  <si>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</si>
  <si>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</si>
  <si>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</si>
  <si>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</si>
  <si>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</si>
  <si>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</si>
  <si>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</si>
  <si>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</si>
  <si>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</si>
  <si>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</si>
  <si>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</si>
  <si>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</si>
  <si>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</si>
  <si>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</si>
  <si>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</si>
  <si>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</si>
  <si>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</si>
  <si>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</si>
  <si>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</si>
  <si>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</si>
  <si>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</si>
  <si>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</si>
  <si>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</si>
  <si>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</si>
  <si>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</si>
  <si>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</si>
  <si>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</si>
  <si>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</si>
  <si>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</si>
  <si>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</si>
  <si>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</si>
  <si>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</si>
  <si>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</si>
  <si>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EPS Diluted</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</si>
  <si>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</si>
  <si>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</si>
  <si>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</si>
  <si>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</si>
  <si>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</si>
  <si>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</si>
  <si>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</si>
  <si>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</si>
  <si>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</si>
  <si>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</si>
  <si>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</si>
  <si>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</si>
  <si>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</si>
  <si>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</si>
  <si>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</si>
  <si>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</si>
  <si>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</si>
  <si>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</si>
  <si>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</si>
  <si>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</si>
  <si>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</si>
  <si>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</si>
  <si>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</si>
  <si>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</si>
  <si>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</si>
  <si>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</si>
  <si>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</si>
  <si>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</si>
  <si>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</si>
  <si>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</si>
  <si>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</si>
  <si>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</si>
  <si>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</si>
  <si>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</si>
  <si>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</si>
  <si>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</si>
  <si>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</si>
  <si>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</si>
  <si>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</si>
  <si>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</si>
  <si>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</si>
  <si>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BNPL allow for a greater sum of users to access "credit" and make transactions they otherwise may have held off on --&gt; increases TPV --&gt; must analyze consumer credit risks to ensure recollection of loaned funds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</si>
  <si>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</si>
  <si>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</si>
  <si>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Operating Margin Growth Y/y</t>
  </si>
  <si>
    <t>Net Margin Growth Y/y</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</si>
  <si>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</si>
  <si>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</si>
  <si>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</si>
  <si>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</si>
  <si>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</si>
  <si>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</si>
  <si>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</si>
  <si>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</si>
  <si>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</si>
  <si>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</si>
  <si>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</si>
  <si>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</si>
  <si>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</si>
  <si>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</si>
  <si>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</si>
  <si>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</si>
  <si>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</si>
  <si>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</si>
  <si>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</si>
  <si>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</si>
  <si>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</si>
  <si>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</si>
  <si>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</si>
  <si>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</si>
  <si>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</si>
  <si>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</si>
  <si>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</si>
  <si>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</si>
  <si>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</si>
  <si>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</si>
  <si>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</si>
  <si>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</si>
  <si>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</si>
  <si>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</si>
  <si>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</si>
  <si>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</si>
  <si>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</si>
  <si>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</si>
  <si>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</si>
  <si>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</si>
  <si>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</si>
  <si>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</si>
  <si>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</si>
  <si>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</si>
  <si>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</si>
  <si>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</si>
  <si>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</si>
  <si>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</si>
  <si>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</si>
  <si>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</si>
  <si>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</si>
  <si>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</si>
  <si>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</si>
  <si>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</si>
  <si>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</si>
  <si>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</si>
  <si>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</si>
  <si>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</si>
  <si>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</si>
  <si>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</si>
  <si>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</si>
  <si>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</si>
  <si>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</si>
  <si>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</si>
  <si>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</si>
  <si>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</si>
  <si>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</si>
  <si>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</si>
  <si>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</si>
  <si>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</si>
  <si>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</si>
  <si>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</si>
  <si>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</si>
  <si>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</si>
  <si>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</si>
  <si>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</si>
  <si>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</si>
  <si>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</si>
  <si>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</si>
  <si>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</si>
  <si>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</si>
  <si>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</si>
  <si>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</si>
  <si>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</si>
  <si>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</si>
  <si>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</si>
  <si>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</si>
  <si>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</si>
  <si>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</si>
  <si>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</si>
  <si>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</si>
  <si>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</si>
  <si>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</si>
  <si>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</si>
  <si>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</si>
  <si>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</si>
  <si>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</si>
  <si>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</si>
  <si>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</si>
  <si>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</si>
  <si>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</si>
  <si>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</si>
  <si>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</si>
  <si>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</si>
  <si>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</si>
  <si>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</si>
  <si>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</si>
  <si>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</si>
  <si>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</si>
  <si>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</si>
  <si>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</si>
  <si>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</si>
  <si>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</si>
  <si>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</si>
  <si>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</si>
  <si>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</si>
  <si>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</si>
  <si>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</si>
  <si>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</si>
  <si>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</si>
  <si>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</si>
  <si>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</si>
  <si>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</si>
  <si>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</si>
  <si>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</si>
  <si>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</si>
  <si>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</si>
  <si>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</si>
  <si>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</si>
  <si>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</si>
  <si>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</si>
  <si>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</si>
  <si>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</si>
  <si>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</si>
  <si>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</si>
  <si>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</si>
  <si>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</si>
  <si>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</si>
  <si>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</si>
  <si>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</si>
  <si>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</si>
  <si>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</si>
  <si>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</si>
  <si>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</si>
  <si>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</si>
  <si>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</si>
  <si>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</si>
  <si>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</si>
  <si>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</si>
  <si>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</si>
  <si>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</si>
  <si>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</si>
  <si>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</si>
  <si>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</si>
  <si>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</si>
  <si>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</si>
  <si>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</si>
  <si>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</si>
  <si>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</si>
  <si>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</si>
  <si>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</si>
  <si>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</si>
  <si>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</si>
  <si>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</si>
  <si>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</si>
  <si>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</si>
  <si>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</si>
  <si>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</si>
  <si>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</si>
  <si>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</si>
  <si>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</si>
  <si>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</si>
  <si>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</si>
  <si>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</si>
  <si>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</si>
  <si>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</si>
  <si>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</si>
  <si>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</si>
  <si>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</si>
  <si>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</si>
  <si>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</si>
  <si>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</si>
  <si>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</si>
  <si>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</si>
  <si>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</si>
  <si>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</si>
  <si>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</si>
  <si>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</si>
  <si>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</si>
  <si>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</si>
  <si>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</si>
  <si>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</si>
  <si>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</si>
  <si>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</si>
  <si>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</si>
  <si>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</si>
  <si>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</si>
  <si>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</si>
  <si>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</si>
  <si>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</si>
  <si>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</si>
  <si>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</si>
  <si>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</si>
  <si>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</si>
  <si>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</si>
  <si>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</si>
  <si>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</si>
  <si>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</si>
  <si>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</si>
  <si>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</si>
  <si>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</si>
  <si>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</si>
  <si>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</si>
  <si>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</si>
  <si>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</si>
  <si>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</si>
  <si>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</si>
  <si>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</si>
  <si>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</si>
  <si>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</si>
  <si>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</si>
  <si>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</si>
  <si>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</si>
  <si>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</si>
  <si>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</si>
  <si>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</si>
  <si>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</si>
  <si>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</si>
  <si>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</si>
  <si>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</si>
  <si>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</si>
  <si>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</si>
  <si>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</si>
  <si>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</si>
  <si>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</si>
  <si>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</si>
  <si>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</si>
  <si>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</si>
  <si>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</si>
  <si>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</si>
  <si>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</si>
  <si>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</si>
  <si>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</si>
  <si>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</si>
  <si>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</si>
  <si>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</si>
  <si>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</si>
  <si>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</si>
  <si>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</si>
  <si>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</si>
  <si>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</si>
  <si>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</si>
  <si>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</si>
  <si>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</si>
  <si>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</si>
  <si>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</si>
  <si>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</si>
  <si>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</si>
  <si>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</si>
  <si>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</si>
  <si>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</si>
  <si>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</si>
  <si>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</si>
  <si>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</si>
  <si>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</si>
  <si>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</si>
  <si>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</si>
  <si>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</si>
  <si>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</si>
  <si>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</si>
  <si>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</si>
  <si>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</si>
  <si>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</si>
  <si>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</si>
  <si>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</si>
  <si>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</si>
  <si>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</si>
  <si>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</si>
  <si>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</si>
  <si>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notes</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</si>
  <si>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</si>
  <si>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</si>
  <si>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</si>
  <si>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</si>
  <si>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 xml:space="preserve">   </t>
  </si>
  <si>
    <t>&lt;-- Comparing this 3 sigma figure to the recorded Min/Max… we observe a "relatively normal" return distribution</t>
  </si>
  <si>
    <t>FCF / Ttl Rev</t>
  </si>
  <si>
    <t>3 σ 1-Day Delta: ±</t>
  </si>
  <si>
    <t>You could hypothetically lever up 20x on a paypal position and remain in the clear/unliquidated from a 1-day 3 σ move… will Paypal's day-to-day EQ returns be more volatile going forward? Hahaha, lever up 20x… f around. find out</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</si>
  <si>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</si>
  <si>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</si>
  <si>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</si>
  <si>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 xml:space="preserve">2025 is is expected to see a disproportionately large wave of corporate debt refinancing from the 2020-2021 low rate era. Refinancing will happen at a much higher rate across the board.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</si>
  <si>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</si>
  <si>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</si>
  <si>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</si>
  <si>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</si>
  <si>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</si>
  <si>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User growth has stagnated for the last couple of years, TPV is still growing faster than GDP… check against inflation/money supply growth</t>
  </si>
  <si>
    <t>PayPal operates in many high value markets including:</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</si>
  <si>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intial price target of ~$85… could be an incredible value trap though as there are a few challeneges I feel will be difficult for the firm to overcome.  </t>
  </si>
  <si>
    <t>The Company has valuation multiples in line with a traditional bank, has little to no user growth, and is continuing to spend on expensive marketing campaigns while competing firms continue to seize market share in virtually every category Paypal operates in</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</si>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</sst>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b/>
      <sz val="11"/>
      <color theme="4"/>
      <name val="Calibre"/>
    </font>
    <font>
      <sz val="11"/>
      <color theme="4"/>
      <name val="Calibre"/>
    </font>
    <font>
      <b/>
      <sz val="10"/>
      <name val="Calibre"/>
    </font>
    <font>
      <sz val="10"/>
      <name val="Calibre"/>
    </font>
    <font>
      <u/>
      <sz val="11"/>
      <color theme="10"/>
      <name val="Calibri"/>
      <family val="2"/>
      <scheme val="minor"/>
    </font>
    <font>
      <u/>
      <sz val="11"/>
      <color theme="7" tint="-0.499984740745262"/>
      <name val="Calibri"/>
      <family val="2"/>
      <scheme val="minor"/>
    </font>
    <font>
      <sz val="9"/>
      <color indexed="81"/>
      <name val="Tahoma"/>
      <charset val="1"/>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164" fontId="2"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0" borderId="0" xfId="0" applyFont="1"/>
    <xf numFmtId="9" fontId="5" fillId="0" borderId="0" xfId="0" applyNumberFormat="1" applyFont="1"/>
    <xf numFmtId="10" fontId="5" fillId="0" borderId="0" xfId="0" applyNumberFormat="1" applyFont="1"/>
    <xf numFmtId="1" fontId="5" fillId="0" borderId="0" xfId="0" applyNumberFormat="1" applyFont="1"/>
    <xf numFmtId="165" fontId="5" fillId="0" borderId="0" xfId="0" applyNumberFormat="1" applyFont="1"/>
    <xf numFmtId="2" fontId="5" fillId="0" borderId="0" xfId="0" applyNumberFormat="1" applyFont="1"/>
    <xf numFmtId="164" fontId="5" fillId="0" borderId="0" xfId="0" applyNumberFormat="1" applyFont="1"/>
    <xf numFmtId="0" fontId="6" fillId="3" borderId="0" xfId="0" applyFont="1" applyFill="1" applyAlignment="1">
      <alignment horizontal="center" vertical="center"/>
    </xf>
    <xf numFmtId="10" fontId="6" fillId="3" borderId="0" xfId="0" applyNumberFormat="1" applyFont="1" applyFill="1" applyAlignment="1">
      <alignment horizontal="center" vertical="center"/>
    </xf>
    <xf numFmtId="0" fontId="7" fillId="0" borderId="0" xfId="0" applyFont="1"/>
    <xf numFmtId="10" fontId="7" fillId="0" borderId="0" xfId="0" applyNumberFormat="1" applyFont="1"/>
    <xf numFmtId="0" fontId="9" fillId="0" borderId="0" xfId="1" applyFont="1"/>
    <xf numFmtId="166"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951676379090607E-2"/>
          <c:y val="8.5999978502692531E-2"/>
          <c:w val="0.88298155587988192"/>
          <c:h val="0.83780956435206488"/>
        </c:manualLayout>
      </c:layout>
      <c:barChart>
        <c:barDir val="col"/>
        <c:grouping val="clustered"/>
        <c:varyColors val="0"/>
        <c:ser>
          <c:idx val="0"/>
          <c:order val="0"/>
          <c:tx>
            <c:strRef>
              <c:f>Model!$B$29</c:f>
              <c:strCache>
                <c:ptCount val="1"/>
                <c:pt idx="0">
                  <c:v>Ttl Net Revenues</c:v>
                </c:pt>
              </c:strCache>
            </c:strRef>
          </c:tx>
          <c:spPr>
            <a:solidFill>
              <a:schemeClr val="accent1"/>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extLst>
            <c:ext xmlns:c16="http://schemas.microsoft.com/office/drawing/2014/chart" uri="{C3380CC4-5D6E-409C-BE32-E72D297353CC}">
              <c16:uniqueId val="{00000000-17CE-4284-9D2C-ECACB0B38A89}"/>
            </c:ext>
          </c:extLst>
        </c:ser>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Model!$B$90</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Model!$C$90:$V$90</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extLst/>
      </c:bar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31998919342085774"/>
          <c:y val="0.83585480918514943"/>
          <c:w val="0.35949806695485892"/>
          <c:h val="0.10952828158273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0</xdr:colOff>
      <xdr:row>0</xdr:row>
      <xdr:rowOff>0</xdr:rowOff>
    </xdr:from>
    <xdr:to>
      <xdr:col>22</xdr:col>
      <xdr:colOff>0</xdr:colOff>
      <xdr:row>92</xdr:row>
      <xdr:rowOff>0</xdr:rowOff>
    </xdr:to>
    <xdr:cxnSp macro="">
      <xdr:nvCxnSpPr>
        <xdr:cNvPr id="2" name="Straight Connector 1">
          <a:extLst>
            <a:ext uri="{FF2B5EF4-FFF2-40B4-BE49-F238E27FC236}">
              <a16:creationId xmlns:a16="http://schemas.microsoft.com/office/drawing/2014/main" id="{729CA779-A9FE-4654-BD5C-EC65465BE65A}"/>
            </a:ext>
          </a:extLst>
        </xdr:cNvPr>
        <xdr:cNvCxnSpPr/>
      </xdr:nvCxnSpPr>
      <xdr:spPr>
        <a:xfrm>
          <a:off x="15173325" y="0"/>
          <a:ext cx="0" cy="16430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0</xdr:row>
      <xdr:rowOff>0</xdr:rowOff>
    </xdr:from>
    <xdr:to>
      <xdr:col>44</xdr:col>
      <xdr:colOff>0</xdr:colOff>
      <xdr:row>91</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0</xdr:row>
      <xdr:rowOff>0</xdr:rowOff>
    </xdr:from>
    <xdr:to>
      <xdr:col>22</xdr:col>
      <xdr:colOff>0</xdr:colOff>
      <xdr:row>93</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623927" y="0"/>
          <a:ext cx="0" cy="162804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190499</xdr:rowOff>
    </xdr:from>
    <xdr:to>
      <xdr:col>15</xdr:col>
      <xdr:colOff>0</xdr:colOff>
      <xdr:row>26</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43" dT="2025-03-21T07:20:24.02" personId="{FF96766A-CA98-4257-8D69-1771F2919E73}" id="{320EE886-3CCC-4AA0-89EC-6CEDDA66BB55}">
    <text>Estimates - Low: 1.15 High: 1.23</text>
  </threadedComment>
  <threadedComment ref="X43" dT="2025-03-21T07:21:13.14" personId="{FF96766A-CA98-4257-8D69-1771F2919E73}" id="{C432C69B-E3F2-4EDD-9EE0-2164911AD911}">
    <text>Estimates - Low: 1.14 High: 1.32</text>
  </threadedComment>
  <threadedComment ref="AS43" dT="2025-03-21T07:22:25.26" personId="{FF96766A-CA98-4257-8D69-1771F2919E73}" id="{6FA3413F-0950-48BD-8319-2A8DA9CE50E4}">
    <text xml:space="preserve">3/21/25 FY Estimates - Low: 4.93 High: 5.32
</text>
  </threadedComment>
  <threadedComment ref="AT43" dT="2025-04-16T07:51:59.65" personId="{FF96766A-CA98-4257-8D69-1771F2919E73}" id="{38ADF2F8-1B4F-47C7-85FB-0FD1BE23E2EC}">
    <text>4/15/25 FY Estimates - Low: 4.70 High: 6.02 Avg: 5.58</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4"/>
  <sheetViews>
    <sheetView topLeftCell="A53" zoomScale="88" workbookViewId="0">
      <selection activeCell="B94" sqref="B94"/>
    </sheetView>
  </sheetViews>
  <sheetFormatPr defaultColWidth="9.1328125" defaultRowHeight="13.5"/>
  <cols>
    <col min="1" max="1" width="3.1328125" style="1" customWidth="1"/>
    <col min="2" max="2" width="21.86328125" style="1" customWidth="1"/>
    <col min="3" max="3" width="15.1328125" style="1" customWidth="1"/>
    <col min="4" max="5" width="9.1328125" style="1"/>
    <col min="6" max="6" width="19.86328125" style="1" customWidth="1"/>
    <col min="7" max="7" width="12.59765625" style="1" customWidth="1"/>
    <col min="8" max="16384" width="9.1328125" style="1"/>
  </cols>
  <sheetData>
    <row r="1" spans="1:8" ht="14.25">
      <c r="A1" s="25" t="s">
        <v>489</v>
      </c>
    </row>
    <row r="2" spans="1:8" ht="13.9">
      <c r="B2" s="2" t="s">
        <v>0</v>
      </c>
      <c r="F2" s="2"/>
    </row>
    <row r="3" spans="1:8">
      <c r="B3" s="1" t="s">
        <v>1</v>
      </c>
      <c r="C3" s="4">
        <v>69.81</v>
      </c>
      <c r="D3" s="3">
        <v>45725</v>
      </c>
      <c r="G3" s="4"/>
      <c r="H3" s="3"/>
    </row>
    <row r="4" spans="1:8">
      <c r="B4" s="1" t="s">
        <v>2</v>
      </c>
      <c r="C4" s="1">
        <v>989</v>
      </c>
      <c r="D4" s="1" t="s">
        <v>7</v>
      </c>
    </row>
    <row r="5" spans="1:8">
      <c r="B5" s="1" t="s">
        <v>3</v>
      </c>
      <c r="C5" s="26">
        <f>C3*C4</f>
        <v>69042.09</v>
      </c>
      <c r="G5" s="4"/>
    </row>
    <row r="6" spans="1:8">
      <c r="B6" s="1" t="s">
        <v>4</v>
      </c>
      <c r="C6" s="26">
        <f>6561+4262+4583+1500</f>
        <v>16906</v>
      </c>
      <c r="D6" s="1" t="s">
        <v>7</v>
      </c>
      <c r="G6" s="4"/>
    </row>
    <row r="7" spans="1:8">
      <c r="B7" s="1" t="s">
        <v>5</v>
      </c>
      <c r="C7" s="26">
        <f>9879+1191+1500</f>
        <v>12570</v>
      </c>
      <c r="D7" s="1" t="s">
        <v>7</v>
      </c>
      <c r="G7" s="4"/>
    </row>
    <row r="8" spans="1:8">
      <c r="B8" s="1" t="s">
        <v>6</v>
      </c>
      <c r="C8" s="26">
        <f>C5-C6+C7</f>
        <v>64706.09</v>
      </c>
      <c r="G8" s="4"/>
    </row>
    <row r="10" spans="1:8" ht="13.9">
      <c r="B10" s="2" t="s">
        <v>20</v>
      </c>
    </row>
    <row r="12" spans="1:8" ht="13.9">
      <c r="B12" s="2" t="s">
        <v>24</v>
      </c>
    </row>
    <row r="14" spans="1:8">
      <c r="B14" s="1" t="s">
        <v>21</v>
      </c>
    </row>
    <row r="15" spans="1:8">
      <c r="B15" s="1" t="s">
        <v>22</v>
      </c>
    </row>
    <row r="16" spans="1:8">
      <c r="B16" s="1" t="s">
        <v>139</v>
      </c>
    </row>
    <row r="17" spans="2:5">
      <c r="B17" s="1" t="s">
        <v>23</v>
      </c>
    </row>
    <row r="18" spans="2:5" ht="13.9">
      <c r="B18" s="2" t="s">
        <v>26</v>
      </c>
      <c r="C18" s="2" t="s">
        <v>27</v>
      </c>
    </row>
    <row r="20" spans="2:5" ht="13.9">
      <c r="B20" s="1" t="s">
        <v>42</v>
      </c>
    </row>
    <row r="21" spans="2:5" ht="13.9">
      <c r="B21" s="1" t="s">
        <v>32</v>
      </c>
    </row>
    <row r="22" spans="2:5" ht="13.9">
      <c r="C22" s="1" t="s">
        <v>33</v>
      </c>
    </row>
    <row r="24" spans="2:5" ht="13.9">
      <c r="B24" s="2" t="s">
        <v>25</v>
      </c>
    </row>
    <row r="25" spans="2:5">
      <c r="B25" s="1" t="s">
        <v>35</v>
      </c>
    </row>
    <row r="27" spans="2:5" ht="13.9">
      <c r="C27" s="1" t="s">
        <v>43</v>
      </c>
      <c r="D27" s="1" t="s">
        <v>52</v>
      </c>
    </row>
    <row r="28" spans="2:5" ht="13.9">
      <c r="E28" s="1" t="s">
        <v>69</v>
      </c>
    </row>
    <row r="29" spans="2:5" ht="13.9">
      <c r="E29" s="1" t="s">
        <v>51</v>
      </c>
    </row>
    <row r="30" spans="2:5" ht="13.9">
      <c r="E30" s="1" t="s">
        <v>105</v>
      </c>
    </row>
    <row r="32" spans="2:5" ht="13.9">
      <c r="C32" s="1" t="s">
        <v>44</v>
      </c>
      <c r="D32" s="2" t="s">
        <v>53</v>
      </c>
      <c r="E32" s="2"/>
    </row>
    <row r="33" spans="3:5" ht="13.9">
      <c r="D33" s="2"/>
      <c r="E33" s="2" t="s">
        <v>54</v>
      </c>
    </row>
    <row r="34" spans="3:5" ht="13.9">
      <c r="D34" s="2"/>
      <c r="E34" s="2" t="s">
        <v>106</v>
      </c>
    </row>
    <row r="35" spans="3:5" ht="15" customHeight="1">
      <c r="D35" s="2"/>
      <c r="E35" s="2" t="s">
        <v>55</v>
      </c>
    </row>
    <row r="36" spans="3:5" ht="15" customHeight="1">
      <c r="D36" s="2"/>
      <c r="E36" s="2"/>
    </row>
    <row r="37" spans="3:5" ht="13.9">
      <c r="C37" s="1" t="s">
        <v>45</v>
      </c>
      <c r="D37" s="1" t="s">
        <v>56</v>
      </c>
    </row>
    <row r="38" spans="3:5" ht="13.9">
      <c r="E38" s="1" t="s">
        <v>58</v>
      </c>
    </row>
    <row r="39" spans="3:5" ht="13.9">
      <c r="E39" s="1" t="s">
        <v>59</v>
      </c>
    </row>
    <row r="40" spans="3:5" ht="13.9">
      <c r="E40" s="1" t="s">
        <v>60</v>
      </c>
    </row>
    <row r="41" spans="3:5" ht="13.9">
      <c r="E41" s="1" t="s">
        <v>61</v>
      </c>
    </row>
    <row r="42" spans="3:5" ht="13.9">
      <c r="E42" s="1" t="s">
        <v>57</v>
      </c>
    </row>
    <row r="44" spans="3:5" ht="13.9">
      <c r="C44" s="1" t="s">
        <v>46</v>
      </c>
      <c r="D44" s="1" t="s">
        <v>62</v>
      </c>
    </row>
    <row r="45" spans="3:5" ht="13.9">
      <c r="E45" s="1" t="s">
        <v>63</v>
      </c>
    </row>
    <row r="46" spans="3:5" ht="13.9">
      <c r="E46" s="1" t="s">
        <v>64</v>
      </c>
    </row>
    <row r="47" spans="3:5" ht="13.9">
      <c r="E47" s="1" t="s">
        <v>65</v>
      </c>
    </row>
    <row r="48" spans="3:5" ht="13.9">
      <c r="E48" s="1" t="s">
        <v>66</v>
      </c>
    </row>
    <row r="50" spans="3:5">
      <c r="C50" s="1" t="s">
        <v>47</v>
      </c>
      <c r="D50" s="1" t="s">
        <v>67</v>
      </c>
    </row>
    <row r="51" spans="3:5">
      <c r="E51" s="1" t="s">
        <v>68</v>
      </c>
    </row>
    <row r="52" spans="3:5">
      <c r="E52" s="1" t="s">
        <v>132</v>
      </c>
    </row>
    <row r="53" spans="3:5">
      <c r="E53" s="1" t="s">
        <v>130</v>
      </c>
    </row>
    <row r="54" spans="3:5">
      <c r="E54" s="1" t="s">
        <v>131</v>
      </c>
    </row>
    <row r="56" spans="3:5">
      <c r="C56" s="1" t="s">
        <v>48</v>
      </c>
      <c r="D56" s="1" t="s">
        <v>176</v>
      </c>
    </row>
    <row r="57" spans="3:5" ht="15" customHeight="1">
      <c r="E57" s="1" t="s">
        <v>177</v>
      </c>
    </row>
    <row r="58" spans="3:5">
      <c r="E58" s="1" t="s">
        <v>178</v>
      </c>
    </row>
    <row r="59" spans="3:5">
      <c r="E59" s="1" t="s">
        <v>179</v>
      </c>
    </row>
    <row r="60" spans="3:5">
      <c r="D60" s="1" t="s">
        <v>184</v>
      </c>
    </row>
    <row r="62" spans="3:5">
      <c r="C62" s="1" t="s">
        <v>49</v>
      </c>
      <c r="D62" s="1" t="s">
        <v>188</v>
      </c>
    </row>
    <row r="63" spans="3:5">
      <c r="E63" s="1" t="s">
        <v>181</v>
      </c>
    </row>
    <row r="64" spans="3:5">
      <c r="E64" s="1" t="s">
        <v>182</v>
      </c>
    </row>
    <row r="65" spans="2:6">
      <c r="E65" s="1" t="s">
        <v>183</v>
      </c>
    </row>
    <row r="66" spans="2:6">
      <c r="D66" s="1" t="s">
        <v>180</v>
      </c>
    </row>
    <row r="68" spans="2:6">
      <c r="C68" s="1" t="s">
        <v>50</v>
      </c>
      <c r="D68" s="1" t="s">
        <v>189</v>
      </c>
    </row>
    <row r="69" spans="2:6">
      <c r="E69" s="1" t="s">
        <v>185</v>
      </c>
    </row>
    <row r="70" spans="2:6">
      <c r="E70" s="1" t="s">
        <v>186</v>
      </c>
    </row>
    <row r="71" spans="2:6">
      <c r="E71" s="1" t="s">
        <v>474</v>
      </c>
    </row>
    <row r="73" spans="2:6" ht="13.9">
      <c r="B73" s="1" t="s">
        <v>28</v>
      </c>
    </row>
    <row r="75" spans="2:6" ht="13.9">
      <c r="B75" s="2" t="s">
        <v>29</v>
      </c>
    </row>
    <row r="77" spans="2:6" ht="13.9">
      <c r="B77" s="2" t="s">
        <v>38</v>
      </c>
      <c r="F77" s="2" t="s">
        <v>133</v>
      </c>
    </row>
    <row r="78" spans="2:6" ht="13.9">
      <c r="B78" s="1" t="s">
        <v>136</v>
      </c>
    </row>
    <row r="79" spans="2:6" ht="13.9">
      <c r="C79" s="1" t="s">
        <v>203</v>
      </c>
    </row>
    <row r="80" spans="2:6">
      <c r="C80" s="1" t="s">
        <v>39</v>
      </c>
    </row>
    <row r="82" spans="2:7" ht="13.9">
      <c r="B82" s="2" t="s">
        <v>135</v>
      </c>
      <c r="F82" s="2" t="s">
        <v>134</v>
      </c>
      <c r="G82" s="2"/>
    </row>
    <row r="83" spans="2:7" ht="13.9">
      <c r="B83" s="1" t="s">
        <v>140</v>
      </c>
    </row>
    <row r="84" spans="2:7" ht="13.9">
      <c r="C84" s="1" t="s">
        <v>36</v>
      </c>
    </row>
    <row r="85" spans="2:7">
      <c r="C85" s="1" t="s">
        <v>37</v>
      </c>
    </row>
    <row r="86" spans="2:7" ht="13.9">
      <c r="B86" s="2" t="s">
        <v>141</v>
      </c>
      <c r="F86" s="2"/>
      <c r="G86" s="2"/>
    </row>
    <row r="87" spans="2:7" ht="13.9">
      <c r="C87" s="1" t="s">
        <v>41</v>
      </c>
    </row>
    <row r="88" spans="2:7" ht="13.9">
      <c r="C88" s="1" t="s">
        <v>30</v>
      </c>
    </row>
    <row r="89" spans="2:7" ht="13.9">
      <c r="B89" s="1" t="s">
        <v>142</v>
      </c>
    </row>
    <row r="90" spans="2:7" ht="13.9">
      <c r="B90" s="2"/>
      <c r="C90" s="1" t="s">
        <v>31</v>
      </c>
      <c r="F90" s="2"/>
      <c r="G90" s="2"/>
    </row>
    <row r="91" spans="2:7" ht="13.9">
      <c r="C91" s="1" t="s">
        <v>34</v>
      </c>
    </row>
    <row r="92" spans="2:7" ht="13.9">
      <c r="C92" s="1" t="s">
        <v>40</v>
      </c>
    </row>
    <row r="94" spans="2:7" ht="13.9">
      <c r="B94" s="2"/>
      <c r="F94" s="2"/>
      <c r="G94"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4.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96"/>
  <sheetViews>
    <sheetView zoomScaleNormal="100" workbookViewId="0">
      <pane xSplit="2" ySplit="2" topLeftCell="C26" activePane="bottomRight" state="frozen"/>
      <selection pane="topRight" activeCell="C1" sqref="C1"/>
      <selection pane="bottomLeft" activeCell="A3" sqref="A3"/>
      <selection pane="bottomRight" activeCell="W12" sqref="W12"/>
    </sheetView>
  </sheetViews>
  <sheetFormatPr defaultColWidth="9.1328125" defaultRowHeight="13.5"/>
  <cols>
    <col min="1" max="1" width="3" style="1" customWidth="1"/>
    <col min="2" max="2" width="42" style="1" customWidth="1"/>
    <col min="3" max="21" width="9.3984375" style="1" bestFit="1" customWidth="1"/>
    <col min="22" max="22" width="8.86328125" style="1" customWidth="1"/>
    <col min="23" max="23" width="9.1328125" style="1"/>
    <col min="24" max="24" width="9" style="1" customWidth="1"/>
    <col min="25" max="36" width="9.1328125" style="1"/>
    <col min="37" max="37" width="9" style="1" customWidth="1"/>
    <col min="38" max="39" width="9.1328125" style="1"/>
    <col min="40" max="98" width="9" style="1" customWidth="1"/>
    <col min="99" max="16384" width="9.1328125" style="1"/>
  </cols>
  <sheetData>
    <row r="1" spans="1:98">
      <c r="B1" s="1" t="s">
        <v>113</v>
      </c>
      <c r="C1" s="1" t="s">
        <v>116</v>
      </c>
      <c r="D1" s="1" t="s">
        <v>115</v>
      </c>
      <c r="E1" s="1" t="s">
        <v>114</v>
      </c>
      <c r="F1" s="1" t="s">
        <v>117</v>
      </c>
      <c r="G1" s="1" t="s">
        <v>116</v>
      </c>
      <c r="H1" s="1" t="s">
        <v>115</v>
      </c>
      <c r="I1" s="1" t="s">
        <v>114</v>
      </c>
      <c r="J1" s="1" t="s">
        <v>117</v>
      </c>
      <c r="K1" s="1" t="s">
        <v>116</v>
      </c>
      <c r="L1" s="1" t="s">
        <v>115</v>
      </c>
      <c r="M1" s="1" t="s">
        <v>114</v>
      </c>
      <c r="N1" s="1" t="s">
        <v>117</v>
      </c>
      <c r="O1" s="1" t="s">
        <v>116</v>
      </c>
      <c r="P1" s="1" t="s">
        <v>115</v>
      </c>
      <c r="Q1" s="1" t="s">
        <v>114</v>
      </c>
      <c r="R1" s="1" t="s">
        <v>117</v>
      </c>
      <c r="S1" s="1" t="s">
        <v>116</v>
      </c>
      <c r="T1" s="1" t="s">
        <v>115</v>
      </c>
      <c r="U1" s="1" t="s">
        <v>114</v>
      </c>
      <c r="V1" s="1" t="s">
        <v>117</v>
      </c>
      <c r="W1" s="1" t="s">
        <v>116</v>
      </c>
      <c r="X1" s="1" t="s">
        <v>115</v>
      </c>
      <c r="Y1" s="1" t="s">
        <v>114</v>
      </c>
      <c r="Z1" s="1" t="s">
        <v>117</v>
      </c>
      <c r="AA1" s="1" t="s">
        <v>116</v>
      </c>
      <c r="AB1" s="1" t="s">
        <v>115</v>
      </c>
      <c r="AC1" s="1" t="s">
        <v>114</v>
      </c>
      <c r="AD1" s="1" t="s">
        <v>117</v>
      </c>
      <c r="AE1" s="1" t="s">
        <v>116</v>
      </c>
      <c r="AF1" s="1" t="s">
        <v>115</v>
      </c>
      <c r="AG1" s="1" t="s">
        <v>114</v>
      </c>
      <c r="AH1" s="1" t="s">
        <v>117</v>
      </c>
    </row>
    <row r="2" spans="1:98" ht="13.9">
      <c r="B2" s="2" t="s">
        <v>8</v>
      </c>
      <c r="C2" s="2" t="s">
        <v>129</v>
      </c>
      <c r="D2" s="2" t="s">
        <v>128</v>
      </c>
      <c r="E2" s="2" t="s">
        <v>127</v>
      </c>
      <c r="F2" s="2" t="s">
        <v>126</v>
      </c>
      <c r="G2" s="2" t="s">
        <v>122</v>
      </c>
      <c r="H2" s="2" t="s">
        <v>123</v>
      </c>
      <c r="I2" s="2" t="s">
        <v>124</v>
      </c>
      <c r="J2" s="2" t="s">
        <v>125</v>
      </c>
      <c r="K2" s="2" t="s">
        <v>80</v>
      </c>
      <c r="L2" s="2" t="s">
        <v>81</v>
      </c>
      <c r="M2" s="2" t="s">
        <v>82</v>
      </c>
      <c r="N2" s="2" t="s">
        <v>83</v>
      </c>
      <c r="O2" s="2" t="s">
        <v>84</v>
      </c>
      <c r="P2" s="2" t="s">
        <v>85</v>
      </c>
      <c r="Q2" s="2" t="s">
        <v>86</v>
      </c>
      <c r="R2" s="2" t="s">
        <v>87</v>
      </c>
      <c r="S2" s="2" t="s">
        <v>88</v>
      </c>
      <c r="T2" s="2" t="s">
        <v>89</v>
      </c>
      <c r="U2" s="2" t="s">
        <v>90</v>
      </c>
      <c r="V2" s="2" t="s">
        <v>27</v>
      </c>
      <c r="W2" s="2" t="s">
        <v>91</v>
      </c>
      <c r="X2" s="2" t="s">
        <v>92</v>
      </c>
      <c r="Y2" s="2" t="s">
        <v>146</v>
      </c>
      <c r="Z2" s="2" t="s">
        <v>147</v>
      </c>
      <c r="AA2" s="2" t="s">
        <v>148</v>
      </c>
      <c r="AB2" s="2" t="s">
        <v>149</v>
      </c>
      <c r="AC2" s="2" t="s">
        <v>150</v>
      </c>
      <c r="AD2" s="2" t="s">
        <v>151</v>
      </c>
      <c r="AE2" s="2" t="s">
        <v>148</v>
      </c>
      <c r="AF2" s="2" t="s">
        <v>149</v>
      </c>
      <c r="AG2" s="2" t="s">
        <v>150</v>
      </c>
      <c r="AH2" s="2" t="s">
        <v>151</v>
      </c>
      <c r="AN2" s="2">
        <v>2020</v>
      </c>
      <c r="AO2" s="2">
        <v>2021</v>
      </c>
      <c r="AP2" s="2">
        <v>2022</v>
      </c>
      <c r="AQ2" s="2">
        <f t="shared" ref="AQ2:BC2" si="0">AP2+1</f>
        <v>2023</v>
      </c>
      <c r="AR2" s="2">
        <f t="shared" si="0"/>
        <v>2024</v>
      </c>
      <c r="AS2" s="13">
        <f t="shared" si="0"/>
        <v>2025</v>
      </c>
      <c r="AT2" s="13">
        <f t="shared" si="0"/>
        <v>2026</v>
      </c>
      <c r="AU2" s="13">
        <f t="shared" si="0"/>
        <v>2027</v>
      </c>
      <c r="AV2" s="13">
        <f t="shared" si="0"/>
        <v>2028</v>
      </c>
      <c r="AW2" s="13">
        <f t="shared" si="0"/>
        <v>2029</v>
      </c>
      <c r="AX2" s="13">
        <f t="shared" si="0"/>
        <v>2030</v>
      </c>
      <c r="AY2" s="13">
        <f t="shared" si="0"/>
        <v>2031</v>
      </c>
      <c r="AZ2" s="13">
        <f t="shared" si="0"/>
        <v>2032</v>
      </c>
      <c r="BA2" s="13">
        <f t="shared" si="0"/>
        <v>2033</v>
      </c>
      <c r="BB2" s="13">
        <f t="shared" si="0"/>
        <v>2034</v>
      </c>
      <c r="BC2" s="13">
        <f t="shared" si="0"/>
        <v>2035</v>
      </c>
      <c r="BD2" s="13">
        <f t="shared" ref="BD2" si="1">BC2+1</f>
        <v>2036</v>
      </c>
      <c r="BE2" s="13">
        <f t="shared" ref="BE2" si="2">BD2+1</f>
        <v>2037</v>
      </c>
      <c r="BF2" s="13">
        <f t="shared" ref="BF2" si="3">BE2+1</f>
        <v>2038</v>
      </c>
      <c r="BG2" s="13">
        <f t="shared" ref="BG2" si="4">BF2+1</f>
        <v>2039</v>
      </c>
      <c r="BH2" s="13">
        <f t="shared" ref="BH2" si="5">BG2+1</f>
        <v>2040</v>
      </c>
      <c r="BI2" s="13">
        <f t="shared" ref="BI2" si="6">BH2+1</f>
        <v>2041</v>
      </c>
      <c r="BJ2" s="13">
        <f t="shared" ref="BJ2" si="7">BI2+1</f>
        <v>2042</v>
      </c>
      <c r="BK2" s="13">
        <f t="shared" ref="BK2" si="8">BJ2+1</f>
        <v>2043</v>
      </c>
      <c r="BL2" s="13">
        <f t="shared" ref="BL2" si="9">BK2+1</f>
        <v>2044</v>
      </c>
      <c r="BM2" s="13">
        <f t="shared" ref="BM2" si="10">BL2+1</f>
        <v>2045</v>
      </c>
      <c r="BN2" s="13">
        <f t="shared" ref="BN2" si="11">BM2+1</f>
        <v>2046</v>
      </c>
      <c r="BO2" s="13">
        <f t="shared" ref="BO2" si="12">BN2+1</f>
        <v>2047</v>
      </c>
      <c r="BP2" s="13">
        <f t="shared" ref="BP2" si="13">BO2+1</f>
        <v>2048</v>
      </c>
      <c r="BQ2" s="13">
        <f t="shared" ref="BQ2" si="14">BP2+1</f>
        <v>2049</v>
      </c>
      <c r="BR2" s="13">
        <f t="shared" ref="BR2" si="15">BQ2+1</f>
        <v>2050</v>
      </c>
      <c r="BS2" s="13">
        <f t="shared" ref="BS2" si="16">BR2+1</f>
        <v>2051</v>
      </c>
      <c r="BT2" s="13">
        <f t="shared" ref="BT2" si="17">BS2+1</f>
        <v>2052</v>
      </c>
      <c r="BU2" s="13">
        <f t="shared" ref="BU2" si="18">BT2+1</f>
        <v>2053</v>
      </c>
      <c r="BV2" s="13">
        <f t="shared" ref="BV2" si="19">BU2+1</f>
        <v>2054</v>
      </c>
      <c r="BW2" s="13">
        <f t="shared" ref="BW2" si="20">BV2+1</f>
        <v>2055</v>
      </c>
      <c r="BX2" s="13">
        <f t="shared" ref="BX2" si="21">BW2+1</f>
        <v>2056</v>
      </c>
      <c r="BY2" s="13">
        <f t="shared" ref="BY2" si="22">BX2+1</f>
        <v>2057</v>
      </c>
      <c r="BZ2" s="13">
        <f t="shared" ref="BZ2" si="23">BY2+1</f>
        <v>2058</v>
      </c>
      <c r="CA2" s="13">
        <f t="shared" ref="CA2" si="24">BZ2+1</f>
        <v>2059</v>
      </c>
      <c r="CB2" s="13">
        <f t="shared" ref="CB2" si="25">CA2+1</f>
        <v>2060</v>
      </c>
      <c r="CC2" s="13">
        <f t="shared" ref="CC2" si="26">CB2+1</f>
        <v>2061</v>
      </c>
      <c r="CD2" s="13">
        <f t="shared" ref="CD2" si="27">CC2+1</f>
        <v>2062</v>
      </c>
      <c r="CE2" s="13">
        <f t="shared" ref="CE2" si="28">CD2+1</f>
        <v>2063</v>
      </c>
      <c r="CF2" s="13">
        <f t="shared" ref="CF2" si="29">CE2+1</f>
        <v>2064</v>
      </c>
      <c r="CG2" s="13">
        <f t="shared" ref="CG2" si="30">CF2+1</f>
        <v>2065</v>
      </c>
      <c r="CH2" s="13">
        <f t="shared" ref="CH2" si="31">CG2+1</f>
        <v>2066</v>
      </c>
      <c r="CI2" s="13">
        <f t="shared" ref="CI2" si="32">CH2+1</f>
        <v>2067</v>
      </c>
      <c r="CJ2" s="13">
        <f t="shared" ref="CJ2" si="33">CI2+1</f>
        <v>2068</v>
      </c>
      <c r="CK2" s="13">
        <f t="shared" ref="CK2" si="34">CJ2+1</f>
        <v>2069</v>
      </c>
      <c r="CL2" s="13">
        <f t="shared" ref="CL2" si="35">CK2+1</f>
        <v>2070</v>
      </c>
      <c r="CM2" s="13">
        <f t="shared" ref="CM2" si="36">CL2+1</f>
        <v>2071</v>
      </c>
      <c r="CN2" s="13">
        <f t="shared" ref="CN2" si="37">CM2+1</f>
        <v>2072</v>
      </c>
      <c r="CO2" s="13">
        <f t="shared" ref="CO2" si="38">CN2+1</f>
        <v>2073</v>
      </c>
      <c r="CP2" s="13">
        <f t="shared" ref="CP2" si="39">CO2+1</f>
        <v>2074</v>
      </c>
      <c r="CQ2" s="13">
        <f t="shared" ref="CQ2" si="40">CP2+1</f>
        <v>2075</v>
      </c>
      <c r="CR2" s="2"/>
      <c r="CS2" s="2"/>
      <c r="CT2" s="2"/>
    </row>
    <row r="3" spans="1:98">
      <c r="B3" s="1" t="s">
        <v>9</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AN3" s="1">
        <f>SUM(C3:F3)</f>
        <v>19918</v>
      </c>
      <c r="AO3" s="1">
        <f>SUM(G3:J3)</f>
        <v>23402</v>
      </c>
      <c r="AP3" s="1">
        <f>SUM(K3:N3)</f>
        <v>25206</v>
      </c>
      <c r="AQ3" s="1">
        <f>SUM(O3:R3)</f>
        <v>26857</v>
      </c>
      <c r="AR3" s="1">
        <f>SUM(S3:V3)</f>
        <v>28842</v>
      </c>
      <c r="AS3" s="14">
        <f>AR3*(1+AS10)</f>
        <v>30572.52</v>
      </c>
      <c r="AT3" s="14">
        <f t="shared" ref="AT3:AX3" si="41">AS3*(1+AT10)</f>
        <v>32406.871200000001</v>
      </c>
      <c r="AU3" s="14">
        <f t="shared" si="41"/>
        <v>34351.283472000003</v>
      </c>
      <c r="AV3" s="14">
        <f t="shared" si="41"/>
        <v>36068.847645600006</v>
      </c>
      <c r="AW3" s="14">
        <f t="shared" si="41"/>
        <v>37872.290027880008</v>
      </c>
      <c r="AX3" s="14">
        <f t="shared" si="41"/>
        <v>39387.181628995211</v>
      </c>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row>
    <row r="4" spans="1:98">
      <c r="B4" s="1" t="s">
        <v>10</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AN4" s="1">
        <f>SUM(C4:F4)</f>
        <v>1536</v>
      </c>
      <c r="AO4" s="1">
        <f>SUM(G4:J4)</f>
        <v>1969</v>
      </c>
      <c r="AP4" s="1">
        <f>SUM(K4:N4)</f>
        <v>2312</v>
      </c>
      <c r="AQ4" s="1">
        <f>SUM(O4:R4)</f>
        <v>2914</v>
      </c>
      <c r="AR4" s="1">
        <f>SUM(S4:V4)</f>
        <v>2955</v>
      </c>
      <c r="AS4" s="14">
        <f>AR4*(1+AS11)</f>
        <v>3161.8500000000004</v>
      </c>
      <c r="AT4" s="14">
        <f t="shared" ref="AT4:AX4" si="42">AS4*(1+AT11)</f>
        <v>3414.7980000000007</v>
      </c>
      <c r="AU4" s="14">
        <f t="shared" si="42"/>
        <v>3824.5737600000011</v>
      </c>
      <c r="AV4" s="14">
        <f t="shared" si="42"/>
        <v>4398.2598240000007</v>
      </c>
      <c r="AW4" s="14">
        <f t="shared" si="42"/>
        <v>4838.0858064000013</v>
      </c>
      <c r="AX4" s="14">
        <f t="shared" si="42"/>
        <v>5321.8943870400017</v>
      </c>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row>
    <row r="5" spans="1:98" ht="13.9">
      <c r="B5" s="2" t="s">
        <v>11</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 si="52">SUM(U3:U4)</f>
        <v>7847</v>
      </c>
      <c r="V5" s="2">
        <f t="shared" ref="V5" si="53">SUM(V3:V4)</f>
        <v>8366</v>
      </c>
      <c r="W5" s="2"/>
      <c r="X5" s="2"/>
      <c r="AN5" s="1">
        <f>SUM(C5:F5)</f>
        <v>21454</v>
      </c>
      <c r="AO5" s="1">
        <f>SUM(G5:J5)</f>
        <v>25371</v>
      </c>
      <c r="AP5" s="1">
        <f>SUM(K5:N5)</f>
        <v>27518</v>
      </c>
      <c r="AQ5" s="1">
        <f>SUM(O5:R5)</f>
        <v>29771</v>
      </c>
      <c r="AR5" s="1">
        <f>SUM(S5:V5)</f>
        <v>31797</v>
      </c>
      <c r="AS5" s="14">
        <f>SUM(AS3:AS4)</f>
        <v>33734.370000000003</v>
      </c>
      <c r="AT5" s="14">
        <f t="shared" ref="AT5:AX5" si="54">SUM(AT3:AT4)</f>
        <v>35821.669200000004</v>
      </c>
      <c r="AU5" s="14">
        <f t="shared" si="54"/>
        <v>38175.857232000002</v>
      </c>
      <c r="AV5" s="14">
        <f t="shared" si="54"/>
        <v>40467.107469600007</v>
      </c>
      <c r="AW5" s="14">
        <f t="shared" si="54"/>
        <v>42710.375834280007</v>
      </c>
      <c r="AX5" s="14">
        <f t="shared" si="54"/>
        <v>44709.076016035215</v>
      </c>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row>
    <row r="6" spans="1:98" ht="13.9">
      <c r="B6" s="2"/>
      <c r="C6" s="2"/>
      <c r="D6" s="2"/>
      <c r="E6" s="2"/>
      <c r="F6" s="2"/>
      <c r="G6" s="2"/>
      <c r="H6" s="2"/>
      <c r="I6" s="2"/>
      <c r="J6" s="2"/>
      <c r="K6" s="2"/>
      <c r="L6" s="2"/>
      <c r="M6" s="2"/>
      <c r="N6" s="2"/>
      <c r="O6" s="2"/>
      <c r="P6" s="2"/>
      <c r="Q6" s="2"/>
      <c r="R6" s="2"/>
      <c r="S6" s="2"/>
      <c r="T6" s="2"/>
      <c r="U6" s="2"/>
      <c r="V6" s="2"/>
      <c r="W6" s="2"/>
      <c r="X6" s="2"/>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14"/>
      <c r="CQ6" s="14"/>
    </row>
    <row r="7" spans="1:98" s="8" customFormat="1">
      <c r="A7" s="1"/>
      <c r="B7" s="1" t="s">
        <v>120</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1"/>
      <c r="X7" s="1"/>
      <c r="Y7" s="1"/>
      <c r="Z7" s="1"/>
      <c r="AA7" s="1"/>
      <c r="AB7" s="1"/>
      <c r="AC7" s="1"/>
      <c r="AD7" s="1"/>
      <c r="AE7" s="1"/>
      <c r="AF7" s="1"/>
      <c r="AG7" s="1"/>
      <c r="AH7" s="1"/>
      <c r="AI7" s="1"/>
      <c r="AJ7" s="1"/>
      <c r="AK7" s="1"/>
      <c r="AL7" s="1"/>
      <c r="AM7" s="1"/>
      <c r="AN7" s="8">
        <f t="shared" ref="AN7:AQ7" si="56">AN3/AN5</f>
        <v>0.92840495944812151</v>
      </c>
      <c r="AO7" s="8">
        <f t="shared" si="56"/>
        <v>0.92239170706712392</v>
      </c>
      <c r="AP7" s="8">
        <f t="shared" si="56"/>
        <v>0.91598226615306344</v>
      </c>
      <c r="AQ7" s="8">
        <f t="shared" si="56"/>
        <v>0.90211951227704812</v>
      </c>
      <c r="AR7" s="8">
        <f>AR3/AR5</f>
        <v>0.90706670440607606</v>
      </c>
      <c r="AS7" s="15">
        <f>AS3/AS5</f>
        <v>0.90627214914640464</v>
      </c>
      <c r="AT7" s="15">
        <f t="shared" ref="AT7:AX7" si="57">AT3/AT5</f>
        <v>0.90467228143572931</v>
      </c>
      <c r="AU7" s="15">
        <f t="shared" si="57"/>
        <v>0.89981695141100482</v>
      </c>
      <c r="AV7" s="15">
        <f t="shared" si="57"/>
        <v>0.89131272040374787</v>
      </c>
      <c r="AW7" s="15">
        <f t="shared" si="57"/>
        <v>0.88672340826097629</v>
      </c>
      <c r="AX7" s="15">
        <f t="shared" si="57"/>
        <v>0.8809661289995957</v>
      </c>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row>
    <row r="8" spans="1:98" s="8" customFormat="1">
      <c r="A8" s="1"/>
      <c r="B8" s="1" t="s">
        <v>121</v>
      </c>
      <c r="C8" s="8">
        <f t="shared" ref="C8:U8" si="58">C4/C5</f>
        <v>8.7267215244694676E-2</v>
      </c>
      <c r="D8" s="8">
        <f t="shared" si="58"/>
        <v>6.0064626496863713E-2</v>
      </c>
      <c r="E8" s="8">
        <f t="shared" si="58"/>
        <v>7.0159369847957495E-2</v>
      </c>
      <c r="F8" s="8">
        <f t="shared" si="58"/>
        <v>7.0961412688031397E-2</v>
      </c>
      <c r="G8" s="8">
        <f t="shared" si="58"/>
        <v>6.8291065804740592E-2</v>
      </c>
      <c r="H8" s="8">
        <f t="shared" si="58"/>
        <v>7.0695735812760493E-2</v>
      </c>
      <c r="I8" s="8">
        <f t="shared" si="58"/>
        <v>9.3011970236169528E-2</v>
      </c>
      <c r="J8" s="8">
        <f t="shared" si="58"/>
        <v>7.8201792425556513E-2</v>
      </c>
      <c r="K8" s="8">
        <f t="shared" si="58"/>
        <v>7.4811044269628257E-2</v>
      </c>
      <c r="L8" s="8">
        <f t="shared" si="58"/>
        <v>7.846018219218337E-2</v>
      </c>
      <c r="M8" s="8">
        <f t="shared" si="58"/>
        <v>8.9395267309377732E-2</v>
      </c>
      <c r="N8" s="8">
        <f t="shared" si="58"/>
        <v>9.2238927265339291E-2</v>
      </c>
      <c r="O8" s="8">
        <f t="shared" si="58"/>
        <v>9.6022727272727273E-2</v>
      </c>
      <c r="P8" s="8">
        <f t="shared" si="58"/>
        <v>0.10031563057499657</v>
      </c>
      <c r="Q8" s="8">
        <f t="shared" si="58"/>
        <v>0.10299272040981397</v>
      </c>
      <c r="R8" s="8">
        <f t="shared" si="58"/>
        <v>9.2574134064291061E-2</v>
      </c>
      <c r="S8" s="8">
        <f t="shared" si="58"/>
        <v>8.63748538771269E-2</v>
      </c>
      <c r="T8" s="8">
        <f t="shared" si="58"/>
        <v>9.2834495878249837E-2</v>
      </c>
      <c r="U8" s="8">
        <f t="shared" si="58"/>
        <v>9.9401044985344716E-2</v>
      </c>
      <c r="V8" s="8">
        <f>V4/V5</f>
        <v>9.2995457805402817E-2</v>
      </c>
      <c r="W8" s="1"/>
      <c r="X8" s="1"/>
      <c r="Y8" s="1"/>
      <c r="Z8" s="1"/>
      <c r="AA8" s="1"/>
      <c r="AB8" s="1"/>
      <c r="AC8" s="1"/>
      <c r="AD8" s="1"/>
      <c r="AE8" s="1"/>
      <c r="AF8" s="1"/>
      <c r="AG8" s="1"/>
      <c r="AH8" s="1"/>
      <c r="AI8" s="1"/>
      <c r="AJ8" s="1"/>
      <c r="AK8" s="1"/>
      <c r="AL8" s="1"/>
      <c r="AM8" s="1"/>
      <c r="AN8" s="8">
        <f t="shared" ref="AN8:AQ8" si="59">AN4/AN5</f>
        <v>7.1595040551878444E-2</v>
      </c>
      <c r="AO8" s="8">
        <f t="shared" si="59"/>
        <v>7.7608292932876119E-2</v>
      </c>
      <c r="AP8" s="8">
        <f t="shared" si="59"/>
        <v>8.4017733846936546E-2</v>
      </c>
      <c r="AQ8" s="8">
        <f t="shared" si="59"/>
        <v>9.7880487722951867E-2</v>
      </c>
      <c r="AR8" s="8">
        <f>AR4/AR5</f>
        <v>9.2933295593923951E-2</v>
      </c>
      <c r="AS8" s="15">
        <f>AS4/AS5</f>
        <v>9.3727850853595307E-2</v>
      </c>
      <c r="AT8" s="15">
        <f t="shared" ref="AT8:AX8" si="60">AT4/AT5</f>
        <v>9.5327718564270594E-2</v>
      </c>
      <c r="AU8" s="15">
        <f t="shared" si="60"/>
        <v>0.10018304858899522</v>
      </c>
      <c r="AV8" s="15">
        <f t="shared" si="60"/>
        <v>0.10868727959625217</v>
      </c>
      <c r="AW8" s="15">
        <f t="shared" si="60"/>
        <v>0.11327659173902373</v>
      </c>
      <c r="AX8" s="15">
        <f t="shared" si="60"/>
        <v>0.11903387100040422</v>
      </c>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row>
    <row r="9" spans="1:98" s="8" customFormat="1">
      <c r="A9" s="1"/>
      <c r="B9" s="1"/>
      <c r="W9" s="1"/>
      <c r="X9" s="1"/>
      <c r="Y9" s="1"/>
      <c r="Z9" s="1"/>
      <c r="AA9" s="1"/>
      <c r="AB9" s="1"/>
      <c r="AC9" s="1"/>
      <c r="AD9" s="1"/>
      <c r="AE9" s="1"/>
      <c r="AF9" s="1"/>
      <c r="AG9" s="1"/>
      <c r="AH9" s="1"/>
      <c r="AI9" s="1"/>
      <c r="AJ9" s="1"/>
      <c r="AK9" s="1"/>
      <c r="AL9" s="1"/>
      <c r="AM9" s="1"/>
      <c r="AN9" s="1"/>
      <c r="AO9" s="1"/>
      <c r="AP9" s="1"/>
      <c r="AQ9" s="1"/>
      <c r="AR9" s="1"/>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row>
    <row r="10" spans="1:98" s="8" customFormat="1">
      <c r="A10" s="1"/>
      <c r="B10" s="1" t="s">
        <v>197</v>
      </c>
      <c r="G10" s="8">
        <f>G3/C3-1</f>
        <v>0.3335705812574139</v>
      </c>
      <c r="H10" s="8">
        <f t="shared" ref="H10:U10" si="61">H3/D3-1</f>
        <v>0.17229524772497462</v>
      </c>
      <c r="I10" s="8">
        <f t="shared" si="61"/>
        <v>0.10460992907801425</v>
      </c>
      <c r="J10" s="8">
        <f t="shared" si="61"/>
        <v>0.12231608588525167</v>
      </c>
      <c r="K10" s="8">
        <f t="shared" si="61"/>
        <v>6.7069916384984829E-2</v>
      </c>
      <c r="L10" s="8">
        <f t="shared" si="61"/>
        <v>8.1938933931343882E-2</v>
      </c>
      <c r="M10" s="8">
        <f t="shared" si="61"/>
        <v>0.11182450508293207</v>
      </c>
      <c r="N10" s="8">
        <f t="shared" si="61"/>
        <v>5.0964403324447183E-2</v>
      </c>
      <c r="O10" s="8">
        <f t="shared" si="61"/>
        <v>6.1020340113371097E-2</v>
      </c>
      <c r="P10" s="8">
        <f t="shared" si="61"/>
        <v>4.5280612244897878E-2</v>
      </c>
      <c r="Q10" s="8">
        <f t="shared" si="61"/>
        <v>6.7372473532242516E-2</v>
      </c>
      <c r="R10" s="8">
        <f t="shared" si="61"/>
        <v>8.6690540137272398E-2</v>
      </c>
      <c r="S10" s="8">
        <f t="shared" si="61"/>
        <v>0.10527969830295403</v>
      </c>
      <c r="T10" s="8">
        <f t="shared" si="61"/>
        <v>9.1061622940817655E-2</v>
      </c>
      <c r="U10" s="8">
        <f t="shared" si="61"/>
        <v>6.2067929065223959E-2</v>
      </c>
      <c r="V10" s="8">
        <f>V3/R3-1</f>
        <v>4.1878346835095392E-2</v>
      </c>
      <c r="W10" s="1"/>
      <c r="X10" s="1"/>
      <c r="Y10" s="1"/>
      <c r="Z10" s="1"/>
      <c r="AA10" s="1"/>
      <c r="AB10" s="1"/>
      <c r="AC10" s="1"/>
      <c r="AD10" s="1"/>
      <c r="AE10" s="1"/>
      <c r="AF10" s="1"/>
      <c r="AG10" s="1"/>
      <c r="AH10" s="1"/>
      <c r="AI10" s="1"/>
      <c r="AJ10" s="1"/>
      <c r="AK10" s="1"/>
      <c r="AL10" s="1"/>
      <c r="AM10" s="1"/>
      <c r="AO10" s="8">
        <f t="shared" ref="AO10:AQ10" si="62">AO3/AN3-1</f>
        <v>0.17491716035746552</v>
      </c>
      <c r="AP10" s="8">
        <f t="shared" si="62"/>
        <v>7.7087428424921001E-2</v>
      </c>
      <c r="AQ10" s="8">
        <f t="shared" si="62"/>
        <v>6.5500277711656008E-2</v>
      </c>
      <c r="AR10" s="8">
        <f>AR3/AQ3-1</f>
        <v>7.3909967606210714E-2</v>
      </c>
      <c r="AS10" s="15">
        <v>0.06</v>
      </c>
      <c r="AT10" s="15">
        <v>0.06</v>
      </c>
      <c r="AU10" s="15">
        <v>0.06</v>
      </c>
      <c r="AV10" s="15">
        <v>0.05</v>
      </c>
      <c r="AW10" s="15">
        <v>0.05</v>
      </c>
      <c r="AX10" s="15">
        <v>0.04</v>
      </c>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5"/>
      <c r="CN10" s="15"/>
      <c r="CO10" s="15"/>
      <c r="CP10" s="15"/>
      <c r="CQ10" s="15"/>
    </row>
    <row r="11" spans="1:98" s="8" customFormat="1">
      <c r="A11" s="1"/>
      <c r="B11" s="1" t="s">
        <v>196</v>
      </c>
      <c r="G11" s="8">
        <f t="shared" ref="G11:V11" si="63">G4/C4-1</f>
        <v>2.2332506203474045E-2</v>
      </c>
      <c r="H11" s="8">
        <f t="shared" si="63"/>
        <v>0.39556962025316467</v>
      </c>
      <c r="I11" s="8">
        <f t="shared" si="63"/>
        <v>0.50130548302872069</v>
      </c>
      <c r="J11" s="8">
        <f t="shared" si="63"/>
        <v>0.24654377880184342</v>
      </c>
      <c r="K11" s="8">
        <f t="shared" si="63"/>
        <v>0.17718446601941751</v>
      </c>
      <c r="L11" s="8">
        <f t="shared" si="63"/>
        <v>0.21088435374149661</v>
      </c>
      <c r="M11" s="8">
        <f t="shared" si="63"/>
        <v>6.434782608695655E-2</v>
      </c>
      <c r="N11" s="8">
        <f t="shared" si="63"/>
        <v>0.25878003696857665</v>
      </c>
      <c r="O11" s="8">
        <f t="shared" si="63"/>
        <v>0.39381443298969065</v>
      </c>
      <c r="P11" s="8">
        <f t="shared" si="63"/>
        <v>0.36891385767790252</v>
      </c>
      <c r="Q11" s="8">
        <f t="shared" si="63"/>
        <v>0.24836601307189543</v>
      </c>
      <c r="R11" s="8">
        <f t="shared" si="63"/>
        <v>9.1042584434654961E-2</v>
      </c>
      <c r="S11" s="8">
        <f t="shared" si="63"/>
        <v>-1.6272189349112454E-2</v>
      </c>
      <c r="T11" s="8">
        <f t="shared" si="63"/>
        <v>1.3679890560875929E-3</v>
      </c>
      <c r="U11" s="8">
        <f t="shared" si="63"/>
        <v>2.0942408376963373E-2</v>
      </c>
      <c r="V11" s="8">
        <f t="shared" si="63"/>
        <v>4.7106325706594898E-2</v>
      </c>
      <c r="W11" s="1"/>
      <c r="X11" s="1"/>
      <c r="Y11" s="1"/>
      <c r="Z11" s="1"/>
      <c r="AA11" s="1"/>
      <c r="AB11" s="1"/>
      <c r="AC11" s="1"/>
      <c r="AD11" s="1"/>
      <c r="AE11" s="1"/>
      <c r="AF11" s="1"/>
      <c r="AG11" s="1"/>
      <c r="AH11" s="1"/>
      <c r="AI11" s="1"/>
      <c r="AJ11" s="1"/>
      <c r="AK11" s="1"/>
      <c r="AL11" s="1"/>
      <c r="AM11" s="1"/>
      <c r="AO11" s="8">
        <f t="shared" ref="AO11:AQ11" si="64">AO4/AN4-1</f>
        <v>0.28190104166666674</v>
      </c>
      <c r="AP11" s="8">
        <f t="shared" si="64"/>
        <v>0.17420010157440324</v>
      </c>
      <c r="AQ11" s="8">
        <f t="shared" si="64"/>
        <v>0.26038062283737018</v>
      </c>
      <c r="AR11" s="8">
        <f>AR4/AQ4-1</f>
        <v>1.4070006863418083E-2</v>
      </c>
      <c r="AS11" s="15">
        <v>7.0000000000000007E-2</v>
      </c>
      <c r="AT11" s="15">
        <v>0.08</v>
      </c>
      <c r="AU11" s="15">
        <v>0.12</v>
      </c>
      <c r="AV11" s="15">
        <v>0.15</v>
      </c>
      <c r="AW11" s="15">
        <v>0.1</v>
      </c>
      <c r="AX11" s="15">
        <v>0.1</v>
      </c>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row>
    <row r="12" spans="1:98" s="8" customFormat="1">
      <c r="A12" s="1"/>
      <c r="B12" s="1" t="s">
        <v>195</v>
      </c>
      <c r="G12" s="8">
        <f t="shared" ref="G12:U12" si="65">G5/C5-1</f>
        <v>0.30640970116933741</v>
      </c>
      <c r="H12" s="8">
        <f t="shared" si="65"/>
        <v>0.18570613951720216</v>
      </c>
      <c r="I12" s="8">
        <f t="shared" si="65"/>
        <v>0.13244183916468222</v>
      </c>
      <c r="J12" s="8">
        <f t="shared" si="65"/>
        <v>0.13113145846958796</v>
      </c>
      <c r="K12" s="8">
        <f t="shared" si="65"/>
        <v>7.458975634012921E-2</v>
      </c>
      <c r="L12" s="8">
        <f t="shared" si="65"/>
        <v>9.105482526450781E-2</v>
      </c>
      <c r="M12" s="8">
        <f t="shared" si="65"/>
        <v>0.10740860562924626</v>
      </c>
      <c r="N12" s="8">
        <f t="shared" si="65"/>
        <v>6.7215958369470918E-2</v>
      </c>
      <c r="O12" s="8">
        <f t="shared" si="65"/>
        <v>8.5917013728212144E-2</v>
      </c>
      <c r="P12" s="8">
        <f t="shared" si="65"/>
        <v>7.0672935645019086E-2</v>
      </c>
      <c r="Q12" s="8">
        <f t="shared" si="65"/>
        <v>8.3552439380660148E-2</v>
      </c>
      <c r="R12" s="8">
        <f t="shared" si="65"/>
        <v>8.7091968034674228E-2</v>
      </c>
      <c r="S12" s="8">
        <f t="shared" si="65"/>
        <v>9.3607954545454453E-2</v>
      </c>
      <c r="T12" s="8">
        <f t="shared" si="65"/>
        <v>8.2063949499108002E-2</v>
      </c>
      <c r="U12" s="8">
        <f t="shared" si="65"/>
        <v>5.7832299811269916E-2</v>
      </c>
      <c r="V12" s="8">
        <f>V5/R5-1</f>
        <v>4.2362322452030865E-2</v>
      </c>
      <c r="W12" s="1"/>
      <c r="X12" s="1"/>
      <c r="Y12" s="1"/>
      <c r="Z12" s="1"/>
      <c r="AA12" s="1"/>
      <c r="AB12" s="1"/>
      <c r="AC12" s="1"/>
      <c r="AD12" s="1"/>
      <c r="AE12" s="1"/>
      <c r="AF12" s="1"/>
      <c r="AG12" s="1"/>
      <c r="AH12" s="1"/>
      <c r="AI12" s="1"/>
      <c r="AJ12" s="1"/>
      <c r="AK12" s="1"/>
      <c r="AL12" s="1"/>
      <c r="AM12" s="1"/>
      <c r="AO12" s="8">
        <f t="shared" ref="AO12:AQ12" si="66">AO5/AN5-1</f>
        <v>0.18257667567819524</v>
      </c>
      <c r="AP12" s="8">
        <f t="shared" si="66"/>
        <v>8.4624177210200546E-2</v>
      </c>
      <c r="AQ12" s="8">
        <f t="shared" si="66"/>
        <v>8.1873682680427384E-2</v>
      </c>
      <c r="AR12" s="8">
        <f>AR5/AQ5-1</f>
        <v>6.8052803063383793E-2</v>
      </c>
      <c r="AS12" s="15">
        <f>AS5/AR5-1</f>
        <v>6.0929332955939275E-2</v>
      </c>
      <c r="AT12" s="15">
        <f t="shared" ref="AT12:AX12" si="67">AT5/AS5-1</f>
        <v>6.1874557017072007E-2</v>
      </c>
      <c r="AU12" s="15">
        <f t="shared" si="67"/>
        <v>6.571966311385613E-2</v>
      </c>
      <c r="AV12" s="15">
        <f t="shared" si="67"/>
        <v>6.0018304858899585E-2</v>
      </c>
      <c r="AW12" s="15">
        <f t="shared" si="67"/>
        <v>5.5434363979812495E-2</v>
      </c>
      <c r="AX12" s="15">
        <f t="shared" si="67"/>
        <v>4.6796595504341676E-2</v>
      </c>
      <c r="AY12" s="15">
        <f>AU51</f>
        <v>0.02</v>
      </c>
      <c r="AZ12" s="15">
        <f>AY12</f>
        <v>0.02</v>
      </c>
      <c r="BA12" s="15">
        <f t="shared" ref="BA12:BM12" si="68">AZ12</f>
        <v>0.02</v>
      </c>
      <c r="BB12" s="15">
        <f t="shared" si="68"/>
        <v>0.02</v>
      </c>
      <c r="BC12" s="15">
        <f t="shared" si="68"/>
        <v>0.02</v>
      </c>
      <c r="BD12" s="15">
        <f t="shared" si="68"/>
        <v>0.02</v>
      </c>
      <c r="BE12" s="15">
        <f t="shared" si="68"/>
        <v>0.02</v>
      </c>
      <c r="BF12" s="15">
        <f t="shared" si="68"/>
        <v>0.02</v>
      </c>
      <c r="BG12" s="15">
        <f t="shared" si="68"/>
        <v>0.02</v>
      </c>
      <c r="BH12" s="15">
        <f t="shared" si="68"/>
        <v>0.02</v>
      </c>
      <c r="BI12" s="15">
        <f t="shared" si="68"/>
        <v>0.02</v>
      </c>
      <c r="BJ12" s="15">
        <f t="shared" si="68"/>
        <v>0.02</v>
      </c>
      <c r="BK12" s="15">
        <f t="shared" si="68"/>
        <v>0.02</v>
      </c>
      <c r="BL12" s="15">
        <f t="shared" si="68"/>
        <v>0.02</v>
      </c>
      <c r="BM12" s="15">
        <f t="shared" si="68"/>
        <v>0.02</v>
      </c>
      <c r="BN12" s="15">
        <f t="shared" ref="BN12:BT12" si="69">BM12</f>
        <v>0.02</v>
      </c>
      <c r="BO12" s="15">
        <f t="shared" si="69"/>
        <v>0.02</v>
      </c>
      <c r="BP12" s="15">
        <f t="shared" si="69"/>
        <v>0.02</v>
      </c>
      <c r="BQ12" s="15">
        <f t="shared" si="69"/>
        <v>0.02</v>
      </c>
      <c r="BR12" s="15">
        <f t="shared" si="69"/>
        <v>0.02</v>
      </c>
      <c r="BS12" s="15">
        <f t="shared" si="69"/>
        <v>0.02</v>
      </c>
      <c r="BT12" s="15">
        <f t="shared" si="69"/>
        <v>0.02</v>
      </c>
      <c r="BU12" s="15">
        <f t="shared" ref="BU12:CB12" si="70">BT12</f>
        <v>0.02</v>
      </c>
      <c r="BV12" s="15">
        <f t="shared" si="70"/>
        <v>0.02</v>
      </c>
      <c r="BW12" s="15">
        <f t="shared" si="70"/>
        <v>0.02</v>
      </c>
      <c r="BX12" s="15">
        <f t="shared" si="70"/>
        <v>0.02</v>
      </c>
      <c r="BY12" s="15">
        <f t="shared" si="70"/>
        <v>0.02</v>
      </c>
      <c r="BZ12" s="15">
        <f t="shared" si="70"/>
        <v>0.02</v>
      </c>
      <c r="CA12" s="15">
        <f t="shared" si="70"/>
        <v>0.02</v>
      </c>
      <c r="CB12" s="15">
        <f t="shared" si="70"/>
        <v>0.02</v>
      </c>
      <c r="CC12" s="15">
        <f t="shared" ref="CC12:CG12" si="71">CB12</f>
        <v>0.02</v>
      </c>
      <c r="CD12" s="15">
        <f t="shared" si="71"/>
        <v>0.02</v>
      </c>
      <c r="CE12" s="15">
        <f t="shared" si="71"/>
        <v>0.02</v>
      </c>
      <c r="CF12" s="15">
        <f t="shared" si="71"/>
        <v>0.02</v>
      </c>
      <c r="CG12" s="15">
        <f t="shared" si="71"/>
        <v>0.02</v>
      </c>
      <c r="CH12" s="15">
        <f t="shared" ref="CH12:CQ12" si="72">CG12</f>
        <v>0.02</v>
      </c>
      <c r="CI12" s="15">
        <f t="shared" si="72"/>
        <v>0.02</v>
      </c>
      <c r="CJ12" s="15">
        <f t="shared" si="72"/>
        <v>0.02</v>
      </c>
      <c r="CK12" s="15">
        <f t="shared" si="72"/>
        <v>0.02</v>
      </c>
      <c r="CL12" s="15">
        <f t="shared" si="72"/>
        <v>0.02</v>
      </c>
      <c r="CM12" s="15">
        <f t="shared" si="72"/>
        <v>0.02</v>
      </c>
      <c r="CN12" s="15">
        <f t="shared" si="72"/>
        <v>0.02</v>
      </c>
      <c r="CO12" s="15">
        <f t="shared" si="72"/>
        <v>0.02</v>
      </c>
      <c r="CP12" s="15">
        <f t="shared" si="72"/>
        <v>0.02</v>
      </c>
      <c r="CQ12" s="15">
        <f t="shared" si="72"/>
        <v>0.02</v>
      </c>
    </row>
    <row r="13" spans="1:98">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row>
    <row r="14" spans="1:98" ht="13.9">
      <c r="B14" s="2" t="s">
        <v>13</v>
      </c>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row>
    <row r="15" spans="1:98">
      <c r="B15" s="1" t="s">
        <v>12</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AN15" s="1">
        <f>SUM(C15:F15)</f>
        <v>11013</v>
      </c>
      <c r="AO15" s="1">
        <f>SUM(G15:J15)</f>
        <v>13712</v>
      </c>
      <c r="AP15" s="1">
        <f>SUM(K15:N15)</f>
        <v>15807</v>
      </c>
      <c r="AQ15" s="1">
        <f>SUM(O15:R15)</f>
        <v>17253</v>
      </c>
      <c r="AR15" s="1">
        <f>SUM(S15:V15)</f>
        <v>18267</v>
      </c>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row>
    <row r="16" spans="1:98">
      <c r="B16" s="1" t="s">
        <v>14</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AN16" s="1">
        <f>SUM(C16:F16)</f>
        <v>10441</v>
      </c>
      <c r="AO16" s="1">
        <f>SUM(G16:J16)</f>
        <v>11659</v>
      </c>
      <c r="AP16" s="1">
        <f>SUM(K16:N16)</f>
        <v>11711</v>
      </c>
      <c r="AQ16" s="1">
        <f>SUM(O16:R16)</f>
        <v>12518</v>
      </c>
      <c r="AR16" s="1">
        <f>SUM(S16:V16)</f>
        <v>13530</v>
      </c>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row>
    <row r="17" spans="2:98" ht="13.9">
      <c r="B17" s="2" t="s">
        <v>11</v>
      </c>
      <c r="C17" s="2">
        <f t="shared" ref="C17" si="73">C16+C15</f>
        <v>4618</v>
      </c>
      <c r="D17" s="2">
        <f t="shared" ref="D17" si="74">D16+D15</f>
        <v>5261</v>
      </c>
      <c r="E17" s="2">
        <f t="shared" ref="E17" si="75">E16+E15</f>
        <v>5459</v>
      </c>
      <c r="F17" s="2">
        <f t="shared" ref="F17" si="76">F16+F15</f>
        <v>6116</v>
      </c>
      <c r="G17" s="2">
        <f t="shared" ref="G17" si="77">G16+G15</f>
        <v>6033</v>
      </c>
      <c r="H17" s="2">
        <f t="shared" ref="H17" si="78">H16+H15</f>
        <v>6238</v>
      </c>
      <c r="I17" s="2">
        <f t="shared" ref="I17" si="79">I16+I15</f>
        <v>6182</v>
      </c>
      <c r="J17" s="2">
        <f t="shared" ref="J17" si="80">J16+J15</f>
        <v>6918</v>
      </c>
      <c r="K17" s="2">
        <f t="shared" ref="K17:T17" si="81">K16+K15</f>
        <v>6483</v>
      </c>
      <c r="L17" s="2">
        <f t="shared" si="81"/>
        <v>6806</v>
      </c>
      <c r="M17" s="2">
        <f t="shared" si="81"/>
        <v>6846</v>
      </c>
      <c r="N17" s="2">
        <f t="shared" si="81"/>
        <v>7383</v>
      </c>
      <c r="O17" s="2">
        <f t="shared" si="81"/>
        <v>7040</v>
      </c>
      <c r="P17" s="2">
        <f t="shared" si="81"/>
        <v>7287</v>
      </c>
      <c r="Q17" s="2">
        <f t="shared" si="81"/>
        <v>7418</v>
      </c>
      <c r="R17" s="2">
        <f t="shared" si="81"/>
        <v>8026</v>
      </c>
      <c r="S17" s="2">
        <f t="shared" si="81"/>
        <v>7699</v>
      </c>
      <c r="T17" s="2">
        <f t="shared" si="81"/>
        <v>7885</v>
      </c>
      <c r="U17" s="2">
        <f>U16+U15</f>
        <v>7847</v>
      </c>
      <c r="V17" s="2">
        <f>V16+V15</f>
        <v>8366</v>
      </c>
      <c r="W17" s="2"/>
      <c r="X17" s="2"/>
      <c r="AN17" s="1">
        <f>SUM(C17:F17)</f>
        <v>21454</v>
      </c>
      <c r="AO17" s="1">
        <f>SUM(G17:J17)</f>
        <v>25371</v>
      </c>
      <c r="AP17" s="1">
        <f>SUM(K17:N17)</f>
        <v>27518</v>
      </c>
      <c r="AQ17" s="1">
        <f>SUM(O17:R17)</f>
        <v>29771</v>
      </c>
      <c r="AR17" s="1">
        <f>SUM(S17:V17)</f>
        <v>31797</v>
      </c>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row>
    <row r="18" spans="2:98" ht="13.9">
      <c r="B18" s="2"/>
      <c r="C18" s="2"/>
      <c r="D18" s="2"/>
      <c r="E18" s="2"/>
      <c r="F18" s="2"/>
      <c r="G18" s="2"/>
      <c r="H18" s="2"/>
      <c r="I18" s="2"/>
      <c r="J18" s="2"/>
      <c r="K18" s="2"/>
      <c r="L18" s="2"/>
      <c r="M18" s="2"/>
      <c r="N18" s="2"/>
      <c r="O18" s="2"/>
      <c r="P18" s="2"/>
      <c r="Q18" s="2"/>
      <c r="R18" s="2"/>
      <c r="S18" s="2"/>
      <c r="T18" s="2"/>
      <c r="U18" s="2"/>
      <c r="V18" s="2"/>
      <c r="W18" s="2"/>
      <c r="X18" s="2"/>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row>
    <row r="19" spans="2:98">
      <c r="B19" s="1" t="s">
        <v>118</v>
      </c>
      <c r="C19" s="8">
        <f t="shared" ref="C19:U19" si="82">C15/C17</f>
        <v>0.53464703334776964</v>
      </c>
      <c r="D19" s="8">
        <f t="shared" si="82"/>
        <v>0.50389659760501804</v>
      </c>
      <c r="E19" s="8">
        <f t="shared" si="82"/>
        <v>0.51657812786224588</v>
      </c>
      <c r="F19" s="8">
        <f t="shared" si="82"/>
        <v>0.50245258338783516</v>
      </c>
      <c r="G19" s="8">
        <f t="shared" si="82"/>
        <v>0.50770760815514671</v>
      </c>
      <c r="H19" s="8">
        <f t="shared" si="82"/>
        <v>0.52452709201667203</v>
      </c>
      <c r="I19" s="8">
        <f t="shared" si="82"/>
        <v>0.56227758007117434</v>
      </c>
      <c r="J19" s="8">
        <f t="shared" si="82"/>
        <v>0.56389129806302396</v>
      </c>
      <c r="K19" s="8">
        <f t="shared" si="82"/>
        <v>0.56625019281196975</v>
      </c>
      <c r="L19" s="8">
        <f t="shared" si="82"/>
        <v>0.56758742286218045</v>
      </c>
      <c r="M19" s="8">
        <f t="shared" si="82"/>
        <v>0.58106923751095529</v>
      </c>
      <c r="N19" s="8">
        <f t="shared" si="82"/>
        <v>0.58174183936069346</v>
      </c>
      <c r="O19" s="8">
        <f t="shared" si="82"/>
        <v>0.58906250000000004</v>
      </c>
      <c r="P19" s="8">
        <f t="shared" si="82"/>
        <v>0.57774118292850285</v>
      </c>
      <c r="Q19" s="8">
        <f t="shared" si="82"/>
        <v>0.57387435966567812</v>
      </c>
      <c r="R19" s="8">
        <f t="shared" si="82"/>
        <v>0.577996511338151</v>
      </c>
      <c r="S19" s="8">
        <f t="shared" si="82"/>
        <v>0.58020522145733211</v>
      </c>
      <c r="T19" s="8">
        <f t="shared" si="82"/>
        <v>0.5770450221940393</v>
      </c>
      <c r="U19" s="8">
        <f t="shared" si="82"/>
        <v>0.57576143749203512</v>
      </c>
      <c r="V19" s="8">
        <f>V15/V17</f>
        <v>0.56562275878556056</v>
      </c>
      <c r="AN19" s="8">
        <f t="shared" ref="AN19:AQ19" si="83">AN15/AN17</f>
        <v>0.51333084739442525</v>
      </c>
      <c r="AO19" s="8">
        <f t="shared" si="83"/>
        <v>0.54045957983524495</v>
      </c>
      <c r="AP19" s="8">
        <f t="shared" si="83"/>
        <v>0.57442401337306492</v>
      </c>
      <c r="AQ19" s="8">
        <f t="shared" si="83"/>
        <v>0.57952369755802624</v>
      </c>
      <c r="AR19" s="8">
        <f>AR15/AR17</f>
        <v>0.57448815926030761</v>
      </c>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row>
    <row r="20" spans="2:98">
      <c r="B20" s="1" t="s">
        <v>119</v>
      </c>
      <c r="C20" s="8">
        <f t="shared" ref="C20:U20" si="84">C16/C17</f>
        <v>0.46535296665223042</v>
      </c>
      <c r="D20" s="8">
        <f t="shared" si="84"/>
        <v>0.49610340239498196</v>
      </c>
      <c r="E20" s="8">
        <f t="shared" si="84"/>
        <v>0.48342187213775417</v>
      </c>
      <c r="F20" s="8">
        <f t="shared" si="84"/>
        <v>0.49754741661216484</v>
      </c>
      <c r="G20" s="8">
        <f t="shared" si="84"/>
        <v>0.49229239184485329</v>
      </c>
      <c r="H20" s="8">
        <f t="shared" si="84"/>
        <v>0.47547290798332797</v>
      </c>
      <c r="I20" s="8">
        <f t="shared" si="84"/>
        <v>0.4377224199288256</v>
      </c>
      <c r="J20" s="8">
        <f t="shared" si="84"/>
        <v>0.43610870193697598</v>
      </c>
      <c r="K20" s="8">
        <f t="shared" si="84"/>
        <v>0.43374980718803025</v>
      </c>
      <c r="L20" s="8">
        <f t="shared" si="84"/>
        <v>0.43241257713781955</v>
      </c>
      <c r="M20" s="8">
        <f t="shared" si="84"/>
        <v>0.41893076248904471</v>
      </c>
      <c r="N20" s="8">
        <f t="shared" si="84"/>
        <v>0.41825816063930654</v>
      </c>
      <c r="O20" s="8">
        <f t="shared" si="84"/>
        <v>0.41093750000000001</v>
      </c>
      <c r="P20" s="8">
        <f t="shared" si="84"/>
        <v>0.42225881707149721</v>
      </c>
      <c r="Q20" s="8">
        <f t="shared" si="84"/>
        <v>0.42612564033432193</v>
      </c>
      <c r="R20" s="8">
        <f t="shared" si="84"/>
        <v>0.422003488661849</v>
      </c>
      <c r="S20" s="8">
        <f t="shared" si="84"/>
        <v>0.41979477854266789</v>
      </c>
      <c r="T20" s="8">
        <f t="shared" si="84"/>
        <v>0.4229549778059607</v>
      </c>
      <c r="U20" s="8">
        <f t="shared" si="84"/>
        <v>0.42423856250796482</v>
      </c>
      <c r="V20" s="8">
        <f>V16/V17</f>
        <v>0.43437724121443938</v>
      </c>
      <c r="AN20" s="8">
        <f t="shared" ref="AN20:AQ20" si="85">AN16/AN17</f>
        <v>0.4866691526055747</v>
      </c>
      <c r="AO20" s="8">
        <f t="shared" si="85"/>
        <v>0.45954042016475505</v>
      </c>
      <c r="AP20" s="8">
        <f t="shared" si="85"/>
        <v>0.42557598662693508</v>
      </c>
      <c r="AQ20" s="8">
        <f t="shared" si="85"/>
        <v>0.42047630244197376</v>
      </c>
      <c r="AR20" s="8">
        <f>AR16/AR17</f>
        <v>0.42551184073969245</v>
      </c>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row>
    <row r="21" spans="2:98">
      <c r="C21" s="8"/>
      <c r="D21" s="8"/>
      <c r="E21" s="8"/>
      <c r="F21" s="8"/>
      <c r="G21" s="8"/>
      <c r="H21" s="8"/>
      <c r="I21" s="8"/>
      <c r="J21" s="8"/>
      <c r="K21" s="8"/>
      <c r="L21" s="8"/>
      <c r="M21" s="8"/>
      <c r="N21" s="8"/>
      <c r="O21" s="8"/>
      <c r="P21" s="8"/>
      <c r="Q21" s="8"/>
      <c r="R21" s="8"/>
      <c r="S21" s="8"/>
      <c r="T21" s="8"/>
      <c r="U21" s="8"/>
      <c r="V21" s="8"/>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row>
    <row r="22" spans="2:98">
      <c r="B22" s="1" t="s">
        <v>192</v>
      </c>
      <c r="C22" s="8"/>
      <c r="D22" s="8"/>
      <c r="E22" s="8"/>
      <c r="F22" s="8"/>
      <c r="G22" s="8">
        <f>G15/C15-1</f>
        <v>0.24058323207776433</v>
      </c>
      <c r="H22" s="8">
        <f t="shared" ref="H22:U22" si="86">H15/D15-1</f>
        <v>0.23425122595247072</v>
      </c>
      <c r="I22" s="8">
        <f t="shared" si="86"/>
        <v>0.2326241134751772</v>
      </c>
      <c r="J22" s="8">
        <f t="shared" si="86"/>
        <v>0.26944354051415553</v>
      </c>
      <c r="K22" s="8">
        <f t="shared" si="86"/>
        <v>0.19849820437479604</v>
      </c>
      <c r="L22" s="8">
        <f t="shared" si="86"/>
        <v>0.1806234718826405</v>
      </c>
      <c r="M22" s="8">
        <f t="shared" si="86"/>
        <v>0.14441887226697347</v>
      </c>
      <c r="N22" s="8">
        <f t="shared" si="86"/>
        <v>0.10099974365547304</v>
      </c>
      <c r="O22" s="8">
        <f t="shared" si="86"/>
        <v>0.12966494143285212</v>
      </c>
      <c r="P22" s="8">
        <f t="shared" si="86"/>
        <v>8.9826559668651385E-2</v>
      </c>
      <c r="Q22" s="8">
        <f t="shared" si="86"/>
        <v>7.0135746606334815E-2</v>
      </c>
      <c r="R22" s="8">
        <f t="shared" si="86"/>
        <v>8.0093131548311991E-2</v>
      </c>
      <c r="S22" s="8">
        <f t="shared" si="86"/>
        <v>7.7164215095249622E-2</v>
      </c>
      <c r="T22" s="8">
        <f t="shared" si="86"/>
        <v>8.0760095011876532E-2</v>
      </c>
      <c r="U22" s="8">
        <f t="shared" si="86"/>
        <v>6.1310782241014827E-2</v>
      </c>
      <c r="V22" s="8">
        <f>V15/R15-1</f>
        <v>2.0047424013796E-2</v>
      </c>
      <c r="AO22" s="8">
        <f t="shared" ref="AO22:AR23" si="87">AO15/AN15-1</f>
        <v>0.2450740034504677</v>
      </c>
      <c r="AP22" s="8">
        <f t="shared" si="87"/>
        <v>0.15278588098016344</v>
      </c>
      <c r="AQ22" s="8">
        <f t="shared" si="87"/>
        <v>9.1478458910609239E-2</v>
      </c>
      <c r="AR22" s="8">
        <f t="shared" si="87"/>
        <v>5.8772387410884974E-2</v>
      </c>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row>
    <row r="23" spans="2:98">
      <c r="B23" s="1" t="s">
        <v>193</v>
      </c>
      <c r="C23" s="8"/>
      <c r="D23" s="8"/>
      <c r="E23" s="8"/>
      <c r="F23" s="8"/>
      <c r="G23" s="8">
        <f t="shared" ref="G23:V23" si="88">G16/C16-1</f>
        <v>0.38203815728245694</v>
      </c>
      <c r="H23" s="8">
        <f t="shared" si="88"/>
        <v>0.13639846743295014</v>
      </c>
      <c r="I23" s="8">
        <f t="shared" si="88"/>
        <v>2.5388404698749589E-2</v>
      </c>
      <c r="J23" s="8">
        <f t="shared" si="88"/>
        <v>-8.544199802826169E-3</v>
      </c>
      <c r="K23" s="8">
        <f t="shared" si="88"/>
        <v>-5.3198653198653245E-2</v>
      </c>
      <c r="L23" s="8">
        <f t="shared" si="88"/>
        <v>-7.7545515846257906E-3</v>
      </c>
      <c r="M23" s="8">
        <f t="shared" si="88"/>
        <v>5.9866962305986648E-2</v>
      </c>
      <c r="N23" s="8">
        <f t="shared" si="88"/>
        <v>2.3533311236327403E-2</v>
      </c>
      <c r="O23" s="8">
        <f t="shared" si="88"/>
        <v>2.8805120910384119E-2</v>
      </c>
      <c r="P23" s="8">
        <f t="shared" si="88"/>
        <v>4.5531770302412511E-2</v>
      </c>
      <c r="Q23" s="8">
        <f t="shared" si="88"/>
        <v>0.10216178521617847</v>
      </c>
      <c r="R23" s="8">
        <f t="shared" si="88"/>
        <v>9.6826424870466221E-2</v>
      </c>
      <c r="S23" s="8">
        <f t="shared" si="88"/>
        <v>0.1171793985482199</v>
      </c>
      <c r="T23" s="8">
        <f t="shared" si="88"/>
        <v>8.3847903802404922E-2</v>
      </c>
      <c r="U23" s="8">
        <f t="shared" si="88"/>
        <v>5.3147738057576666E-2</v>
      </c>
      <c r="V23" s="8">
        <f t="shared" si="88"/>
        <v>7.2925893120755925E-2</v>
      </c>
      <c r="AO23" s="8">
        <f t="shared" si="87"/>
        <v>0.11665549276889187</v>
      </c>
      <c r="AP23" s="8">
        <f t="shared" si="87"/>
        <v>4.4600737627584763E-3</v>
      </c>
      <c r="AQ23" s="8">
        <f t="shared" si="87"/>
        <v>6.8909572197079605E-2</v>
      </c>
      <c r="AR23" s="8">
        <f t="shared" si="87"/>
        <v>8.0843585237258431E-2</v>
      </c>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row>
    <row r="24" spans="2:98">
      <c r="B24" s="1" t="s">
        <v>194</v>
      </c>
      <c r="C24" s="8"/>
      <c r="D24" s="8"/>
      <c r="E24" s="8"/>
      <c r="F24" s="8"/>
      <c r="G24" s="8">
        <f t="shared" ref="G24:V24" si="89">G17/C17-1</f>
        <v>0.30640970116933741</v>
      </c>
      <c r="H24" s="8">
        <f t="shared" si="89"/>
        <v>0.18570613951720216</v>
      </c>
      <c r="I24" s="8">
        <f t="shared" si="89"/>
        <v>0.13244183916468222</v>
      </c>
      <c r="J24" s="8">
        <f t="shared" si="89"/>
        <v>0.13113145846958796</v>
      </c>
      <c r="K24" s="8">
        <f t="shared" si="89"/>
        <v>7.458975634012921E-2</v>
      </c>
      <c r="L24" s="8">
        <f t="shared" si="89"/>
        <v>9.105482526450781E-2</v>
      </c>
      <c r="M24" s="8">
        <f t="shared" si="89"/>
        <v>0.10740860562924626</v>
      </c>
      <c r="N24" s="8">
        <f t="shared" si="89"/>
        <v>6.7215958369470918E-2</v>
      </c>
      <c r="O24" s="8">
        <f t="shared" si="89"/>
        <v>8.5917013728212144E-2</v>
      </c>
      <c r="P24" s="8">
        <f t="shared" si="89"/>
        <v>7.0672935645019086E-2</v>
      </c>
      <c r="Q24" s="8">
        <f t="shared" si="89"/>
        <v>8.3552439380660148E-2</v>
      </c>
      <c r="R24" s="8">
        <f t="shared" si="89"/>
        <v>8.7091968034674228E-2</v>
      </c>
      <c r="S24" s="8">
        <f t="shared" si="89"/>
        <v>9.3607954545454453E-2</v>
      </c>
      <c r="T24" s="8">
        <f t="shared" si="89"/>
        <v>8.2063949499108002E-2</v>
      </c>
      <c r="U24" s="8">
        <f t="shared" si="89"/>
        <v>5.7832299811269916E-2</v>
      </c>
      <c r="V24" s="8">
        <f t="shared" si="89"/>
        <v>4.2362322452030865E-2</v>
      </c>
      <c r="AO24" s="8">
        <f t="shared" ref="AO24:AQ24" si="90">AO17/AN17-1</f>
        <v>0.18257667567819524</v>
      </c>
      <c r="AP24" s="8">
        <f t="shared" si="90"/>
        <v>8.4624177210200546E-2</v>
      </c>
      <c r="AQ24" s="8">
        <f t="shared" si="90"/>
        <v>8.1873682680427384E-2</v>
      </c>
      <c r="AR24" s="8">
        <f>AR17/AQ17-1</f>
        <v>6.8052803063383793E-2</v>
      </c>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5"/>
      <c r="CS24" s="5"/>
      <c r="CT24" s="5"/>
    </row>
    <row r="25" spans="2:98">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row>
    <row r="26" spans="2:98">
      <c r="B26" s="1" t="s">
        <v>201</v>
      </c>
      <c r="J26" s="1">
        <v>428</v>
      </c>
      <c r="K26" s="1">
        <v>429</v>
      </c>
      <c r="L26" s="1">
        <v>429</v>
      </c>
      <c r="M26" s="1">
        <v>432</v>
      </c>
      <c r="N26" s="1">
        <v>435</v>
      </c>
      <c r="O26" s="1">
        <v>433</v>
      </c>
      <c r="P26" s="1">
        <v>431</v>
      </c>
      <c r="Q26" s="1">
        <v>428</v>
      </c>
      <c r="R26" s="1">
        <v>426</v>
      </c>
      <c r="S26" s="1">
        <v>427</v>
      </c>
      <c r="T26" s="1">
        <v>429</v>
      </c>
      <c r="U26" s="1">
        <v>432</v>
      </c>
      <c r="V26" s="1">
        <v>434</v>
      </c>
      <c r="AN26" s="1">
        <f>AVERAGE(O26:R26)</f>
        <v>429.5</v>
      </c>
      <c r="AO26" s="1">
        <f t="shared" ref="AO26:AP26" si="91">AVERAGE(P26:S26)</f>
        <v>428</v>
      </c>
      <c r="AP26" s="1">
        <f t="shared" si="91"/>
        <v>427.5</v>
      </c>
      <c r="AQ26" s="1">
        <f>R26</f>
        <v>426</v>
      </c>
      <c r="AR26" s="1">
        <v>434</v>
      </c>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row>
    <row r="27" spans="2:98">
      <c r="B27" s="1" t="s">
        <v>198</v>
      </c>
      <c r="AN27" s="12" t="s">
        <v>206</v>
      </c>
      <c r="AO27" s="12" t="s">
        <v>205</v>
      </c>
      <c r="AP27" s="12" t="s">
        <v>204</v>
      </c>
      <c r="AQ27" s="12" t="s">
        <v>200</v>
      </c>
      <c r="AR27" s="12" t="s">
        <v>199</v>
      </c>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row>
    <row r="28" spans="2:98">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row>
    <row r="29" spans="2:98">
      <c r="B29" s="1" t="s">
        <v>15</v>
      </c>
      <c r="C29" s="1">
        <f t="shared" ref="C29:V29" si="92">C5</f>
        <v>4618</v>
      </c>
      <c r="D29" s="1">
        <f t="shared" si="92"/>
        <v>5261</v>
      </c>
      <c r="E29" s="1">
        <f t="shared" si="92"/>
        <v>5459</v>
      </c>
      <c r="F29" s="1">
        <f t="shared" si="92"/>
        <v>6116</v>
      </c>
      <c r="G29" s="1">
        <f t="shared" si="92"/>
        <v>6033</v>
      </c>
      <c r="H29" s="1">
        <f t="shared" si="92"/>
        <v>6238</v>
      </c>
      <c r="I29" s="1">
        <f t="shared" si="92"/>
        <v>6182</v>
      </c>
      <c r="J29" s="1">
        <f t="shared" si="92"/>
        <v>6918</v>
      </c>
      <c r="K29" s="1">
        <f t="shared" si="92"/>
        <v>6483</v>
      </c>
      <c r="L29" s="1">
        <f t="shared" si="92"/>
        <v>6806</v>
      </c>
      <c r="M29" s="1">
        <f t="shared" si="92"/>
        <v>6846</v>
      </c>
      <c r="N29" s="1">
        <f t="shared" si="92"/>
        <v>7383</v>
      </c>
      <c r="O29" s="1">
        <f t="shared" si="92"/>
        <v>7040</v>
      </c>
      <c r="P29" s="1">
        <f t="shared" si="92"/>
        <v>7287</v>
      </c>
      <c r="Q29" s="1">
        <f t="shared" si="92"/>
        <v>7418</v>
      </c>
      <c r="R29" s="1">
        <f t="shared" si="92"/>
        <v>8026</v>
      </c>
      <c r="S29" s="1">
        <f t="shared" si="92"/>
        <v>7699</v>
      </c>
      <c r="T29" s="1">
        <f t="shared" si="92"/>
        <v>7885</v>
      </c>
      <c r="U29" s="1">
        <f t="shared" si="92"/>
        <v>7847</v>
      </c>
      <c r="V29" s="1">
        <f t="shared" si="92"/>
        <v>8366</v>
      </c>
      <c r="AN29" s="1">
        <f t="shared" ref="AN29:AQ41" si="93">SUM(O29:R29)</f>
        <v>29771</v>
      </c>
      <c r="AO29" s="1">
        <f t="shared" si="93"/>
        <v>30430</v>
      </c>
      <c r="AP29" s="1">
        <f t="shared" si="93"/>
        <v>31028</v>
      </c>
      <c r="AQ29" s="1">
        <f t="shared" si="93"/>
        <v>31457</v>
      </c>
      <c r="AR29" s="1">
        <f>SUM(S29:V29)</f>
        <v>31797</v>
      </c>
      <c r="AS29" s="17">
        <f>AS5</f>
        <v>33734.370000000003</v>
      </c>
      <c r="AT29" s="17">
        <f t="shared" ref="AT29:AW29" si="94">AT5</f>
        <v>35821.669200000004</v>
      </c>
      <c r="AU29" s="17">
        <f t="shared" si="94"/>
        <v>38175.857232000002</v>
      </c>
      <c r="AV29" s="17">
        <f t="shared" si="94"/>
        <v>40467.107469600007</v>
      </c>
      <c r="AW29" s="17">
        <f t="shared" si="94"/>
        <v>42710.375834280007</v>
      </c>
      <c r="AX29" s="17">
        <f>AX5</f>
        <v>44709.076016035215</v>
      </c>
      <c r="AY29" s="17">
        <f t="shared" ref="AY29:CQ29" si="95">AX29*(1+$AU$51)</f>
        <v>45603.257536355923</v>
      </c>
      <c r="AZ29" s="17">
        <f t="shared" si="95"/>
        <v>46515.32268708304</v>
      </c>
      <c r="BA29" s="17">
        <f t="shared" si="95"/>
        <v>47445.629140824705</v>
      </c>
      <c r="BB29" s="17">
        <f t="shared" si="95"/>
        <v>48394.541723641203</v>
      </c>
      <c r="BC29" s="17">
        <f t="shared" si="95"/>
        <v>49362.432558114029</v>
      </c>
      <c r="BD29" s="17">
        <f t="shared" si="95"/>
        <v>50349.681209276314</v>
      </c>
      <c r="BE29" s="17">
        <f t="shared" si="95"/>
        <v>51356.674833461839</v>
      </c>
      <c r="BF29" s="17">
        <f t="shared" si="95"/>
        <v>52383.808330131076</v>
      </c>
      <c r="BG29" s="17">
        <f t="shared" si="95"/>
        <v>53431.484496733698</v>
      </c>
      <c r="BH29" s="17">
        <f t="shared" si="95"/>
        <v>54500.114186668376</v>
      </c>
      <c r="BI29" s="17">
        <f t="shared" si="95"/>
        <v>55590.116470401743</v>
      </c>
      <c r="BJ29" s="17">
        <f t="shared" si="95"/>
        <v>56701.918799809777</v>
      </c>
      <c r="BK29" s="17">
        <f t="shared" si="95"/>
        <v>57835.957175805976</v>
      </c>
      <c r="BL29" s="17">
        <f t="shared" si="95"/>
        <v>58992.676319322098</v>
      </c>
      <c r="BM29" s="17">
        <f t="shared" si="95"/>
        <v>60172.529845708537</v>
      </c>
      <c r="BN29" s="17">
        <f t="shared" si="95"/>
        <v>61375.980442622706</v>
      </c>
      <c r="BO29" s="17">
        <f t="shared" si="95"/>
        <v>62603.500051475159</v>
      </c>
      <c r="BP29" s="17">
        <f t="shared" si="95"/>
        <v>63855.570052504663</v>
      </c>
      <c r="BQ29" s="17">
        <f t="shared" si="95"/>
        <v>65132.68145355476</v>
      </c>
      <c r="BR29" s="17">
        <f t="shared" si="95"/>
        <v>66435.335082625854</v>
      </c>
      <c r="BS29" s="17">
        <f t="shared" si="95"/>
        <v>67764.041784278379</v>
      </c>
      <c r="BT29" s="17">
        <f t="shared" si="95"/>
        <v>69119.322619963947</v>
      </c>
      <c r="BU29" s="17">
        <f t="shared" si="95"/>
        <v>70501.709072363228</v>
      </c>
      <c r="BV29" s="17">
        <f t="shared" si="95"/>
        <v>71911.743253810491</v>
      </c>
      <c r="BW29" s="17">
        <f t="shared" si="95"/>
        <v>73349.978118886705</v>
      </c>
      <c r="BX29" s="17">
        <f t="shared" si="95"/>
        <v>74816.977681264441</v>
      </c>
      <c r="BY29" s="17">
        <f t="shared" si="95"/>
        <v>76313.317234889735</v>
      </c>
      <c r="BZ29" s="17">
        <f t="shared" si="95"/>
        <v>77839.583579587532</v>
      </c>
      <c r="CA29" s="17">
        <f t="shared" si="95"/>
        <v>79396.375251179285</v>
      </c>
      <c r="CB29" s="17">
        <f t="shared" si="95"/>
        <v>80984.302756202873</v>
      </c>
      <c r="CC29" s="17">
        <f t="shared" si="95"/>
        <v>82603.988811326926</v>
      </c>
      <c r="CD29" s="17">
        <f t="shared" si="95"/>
        <v>84256.068587553469</v>
      </c>
      <c r="CE29" s="17">
        <f t="shared" si="95"/>
        <v>85941.189959304538</v>
      </c>
      <c r="CF29" s="17">
        <f t="shared" si="95"/>
        <v>87660.013758490633</v>
      </c>
      <c r="CG29" s="17">
        <f t="shared" si="95"/>
        <v>89413.21403366045</v>
      </c>
      <c r="CH29" s="17">
        <f t="shared" si="95"/>
        <v>91201.478314333654</v>
      </c>
      <c r="CI29" s="17">
        <f t="shared" si="95"/>
        <v>93025.507880620324</v>
      </c>
      <c r="CJ29" s="17">
        <f t="shared" si="95"/>
        <v>94886.018038232738</v>
      </c>
      <c r="CK29" s="17">
        <f t="shared" si="95"/>
        <v>96783.73839899739</v>
      </c>
      <c r="CL29" s="17">
        <f t="shared" si="95"/>
        <v>98719.413166977334</v>
      </c>
      <c r="CM29" s="17">
        <f t="shared" si="95"/>
        <v>100693.80143031689</v>
      </c>
      <c r="CN29" s="17">
        <f t="shared" si="95"/>
        <v>102707.67745892322</v>
      </c>
      <c r="CO29" s="17">
        <f t="shared" si="95"/>
        <v>104761.83100810168</v>
      </c>
      <c r="CP29" s="17">
        <f t="shared" si="95"/>
        <v>106857.06762826371</v>
      </c>
      <c r="CQ29" s="17">
        <f t="shared" si="95"/>
        <v>108994.20898082899</v>
      </c>
      <c r="CR29" s="9"/>
      <c r="CS29" s="9"/>
      <c r="CT29" s="9"/>
    </row>
    <row r="30" spans="2:98">
      <c r="B30" s="1" t="s">
        <v>16</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AN30" s="1">
        <f t="shared" si="93"/>
        <v>14385</v>
      </c>
      <c r="AO30" s="1">
        <f t="shared" si="93"/>
        <v>15019</v>
      </c>
      <c r="AP30" s="1">
        <f t="shared" si="93"/>
        <v>15420</v>
      </c>
      <c r="AQ30" s="1">
        <f t="shared" si="93"/>
        <v>15658</v>
      </c>
      <c r="AR30" s="1">
        <f t="shared" ref="AR30" si="96">SUM(S30:V30)</f>
        <v>15697</v>
      </c>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row>
    <row r="31" spans="2:98">
      <c r="B31" s="1" t="s">
        <v>97</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AN31" s="1">
        <f t="shared" si="93"/>
        <v>1682</v>
      </c>
      <c r="AO31" s="1">
        <f t="shared" si="93"/>
        <v>1561</v>
      </c>
      <c r="AP31" s="1">
        <f t="shared" si="93"/>
        <v>1498</v>
      </c>
      <c r="AQ31" s="1">
        <f t="shared" si="93"/>
        <v>1404</v>
      </c>
      <c r="AR31" s="1">
        <f t="shared" ref="AR31:AR41" si="97">SUM(S31:V31)</f>
        <v>1442</v>
      </c>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row>
    <row r="32" spans="2:98">
      <c r="B32" s="1" t="s">
        <v>98</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AN32" s="1">
        <f t="shared" si="93"/>
        <v>1919</v>
      </c>
      <c r="AO32" s="1">
        <f t="shared" si="93"/>
        <v>1885</v>
      </c>
      <c r="AP32" s="1">
        <f t="shared" si="93"/>
        <v>1829</v>
      </c>
      <c r="AQ32" s="1">
        <f t="shared" si="93"/>
        <v>1782</v>
      </c>
      <c r="AR32" s="1">
        <f t="shared" si="97"/>
        <v>1768</v>
      </c>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row>
    <row r="33" spans="2:98">
      <c r="B33" s="1" t="s">
        <v>99</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AN33" s="1">
        <f t="shared" si="93"/>
        <v>1809</v>
      </c>
      <c r="AO33" s="1">
        <f t="shared" si="93"/>
        <v>1794</v>
      </c>
      <c r="AP33" s="1">
        <f t="shared" si="93"/>
        <v>1775</v>
      </c>
      <c r="AQ33" s="1">
        <f t="shared" si="93"/>
        <v>1841</v>
      </c>
      <c r="AR33" s="1">
        <f t="shared" si="97"/>
        <v>2001</v>
      </c>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row>
    <row r="34" spans="2:98">
      <c r="B34" s="1" t="s">
        <v>74</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AN34" s="1">
        <f t="shared" si="93"/>
        <v>2973</v>
      </c>
      <c r="AO34" s="1">
        <f t="shared" si="93"/>
        <v>2994</v>
      </c>
      <c r="AP34" s="1">
        <f t="shared" si="93"/>
        <v>2969</v>
      </c>
      <c r="AQ34" s="1">
        <f t="shared" si="93"/>
        <v>2976</v>
      </c>
      <c r="AR34" s="1">
        <f t="shared" si="97"/>
        <v>2979</v>
      </c>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row>
    <row r="35" spans="2:98">
      <c r="B35" s="1" t="s">
        <v>73</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AN35" s="1">
        <f t="shared" si="93"/>
        <v>2059</v>
      </c>
      <c r="AO35" s="1">
        <f t="shared" si="93"/>
        <v>2016</v>
      </c>
      <c r="AP35" s="1">
        <f t="shared" si="93"/>
        <v>2095</v>
      </c>
      <c r="AQ35" s="1">
        <f t="shared" si="93"/>
        <v>2107</v>
      </c>
      <c r="AR35" s="1">
        <f t="shared" si="97"/>
        <v>2147</v>
      </c>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row>
    <row r="36" spans="2:98">
      <c r="B36" s="1" t="s">
        <v>100</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AN36" s="1">
        <f t="shared" si="93"/>
        <v>-84</v>
      </c>
      <c r="AO36" s="1">
        <f t="shared" si="93"/>
        <v>-36</v>
      </c>
      <c r="AP36" s="1">
        <f t="shared" si="93"/>
        <v>53</v>
      </c>
      <c r="AQ36" s="1">
        <f t="shared" si="93"/>
        <v>77</v>
      </c>
      <c r="AR36" s="1">
        <f t="shared" si="97"/>
        <v>438</v>
      </c>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row>
    <row r="37" spans="2:98" ht="13.9">
      <c r="B37" s="2" t="s">
        <v>137</v>
      </c>
      <c r="C37" s="1">
        <f t="shared" ref="C37:T37" si="98">C29-SUM(C30:C36)</f>
        <v>398</v>
      </c>
      <c r="D37" s="1">
        <f t="shared" si="98"/>
        <v>951</v>
      </c>
      <c r="E37" s="1">
        <f>E29-SUM(E30:E36)</f>
        <v>977</v>
      </c>
      <c r="F37" s="1">
        <f>F29-SUM(F30:F36)</f>
        <v>963</v>
      </c>
      <c r="G37" s="1">
        <f t="shared" si="98"/>
        <v>1042</v>
      </c>
      <c r="H37" s="1">
        <f t="shared" si="98"/>
        <v>1127</v>
      </c>
      <c r="I37" s="1">
        <f t="shared" si="98"/>
        <v>1043</v>
      </c>
      <c r="J37" s="1">
        <f>J29-SUM(J30:J36)</f>
        <v>1050</v>
      </c>
      <c r="K37" s="1">
        <f t="shared" si="98"/>
        <v>711</v>
      </c>
      <c r="L37" s="1">
        <f t="shared" si="98"/>
        <v>764</v>
      </c>
      <c r="M37" s="1">
        <f t="shared" si="98"/>
        <v>1118</v>
      </c>
      <c r="N37" s="1">
        <f>N29-SUM(N30:N36)</f>
        <v>1244</v>
      </c>
      <c r="O37" s="1">
        <f t="shared" si="98"/>
        <v>999</v>
      </c>
      <c r="P37" s="1">
        <f t="shared" si="98"/>
        <v>1133</v>
      </c>
      <c r="Q37" s="1">
        <f t="shared" si="98"/>
        <v>1168</v>
      </c>
      <c r="R37" s="1">
        <f t="shared" si="98"/>
        <v>1728</v>
      </c>
      <c r="S37" s="1">
        <f t="shared" si="98"/>
        <v>1168</v>
      </c>
      <c r="T37" s="1">
        <f t="shared" si="98"/>
        <v>1325</v>
      </c>
      <c r="U37" s="1">
        <f>U29-SUM(U30:U36)</f>
        <v>1391</v>
      </c>
      <c r="V37" s="1">
        <f t="shared" ref="V37" si="99">V29-SUM(V30:V36)</f>
        <v>1441</v>
      </c>
      <c r="AN37" s="1">
        <f t="shared" si="93"/>
        <v>5028</v>
      </c>
      <c r="AO37" s="1">
        <f t="shared" si="93"/>
        <v>5197</v>
      </c>
      <c r="AP37" s="1">
        <f t="shared" si="93"/>
        <v>5389</v>
      </c>
      <c r="AQ37" s="1">
        <f t="shared" si="93"/>
        <v>5612</v>
      </c>
      <c r="AR37" s="1">
        <f t="shared" si="97"/>
        <v>5325</v>
      </c>
      <c r="AS37" s="17">
        <f>AS29*AS45</f>
        <v>6072.1866</v>
      </c>
      <c r="AT37" s="17">
        <f t="shared" ref="AT37:BH37" si="100">AT29*AT45</f>
        <v>6447.9004560000003</v>
      </c>
      <c r="AU37" s="17">
        <f t="shared" si="100"/>
        <v>6948.0060162240006</v>
      </c>
      <c r="AV37" s="17">
        <f t="shared" si="100"/>
        <v>7445.9477744064015</v>
      </c>
      <c r="AW37" s="17">
        <f t="shared" si="100"/>
        <v>7986.8402810103617</v>
      </c>
      <c r="AX37" s="17">
        <f t="shared" si="100"/>
        <v>8494.7244430466908</v>
      </c>
      <c r="AY37" s="17">
        <f t="shared" si="100"/>
        <v>8208.586356544065</v>
      </c>
      <c r="AZ37" s="17">
        <f t="shared" si="100"/>
        <v>8372.7580836749476</v>
      </c>
      <c r="BA37" s="17">
        <f t="shared" si="100"/>
        <v>8540.2132453484464</v>
      </c>
      <c r="BB37" s="17">
        <f t="shared" si="100"/>
        <v>8711.0175102554167</v>
      </c>
      <c r="BC37" s="17">
        <f t="shared" si="100"/>
        <v>8885.2378604605256</v>
      </c>
      <c r="BD37" s="17">
        <f t="shared" si="100"/>
        <v>9062.9426176697361</v>
      </c>
      <c r="BE37" s="17">
        <f t="shared" si="100"/>
        <v>9244.2014700231302</v>
      </c>
      <c r="BF37" s="17">
        <f t="shared" si="100"/>
        <v>9429.0854994235942</v>
      </c>
      <c r="BG37" s="17">
        <f t="shared" si="100"/>
        <v>9617.6672094120659</v>
      </c>
      <c r="BH37" s="17">
        <f t="shared" si="100"/>
        <v>9810.0205536003068</v>
      </c>
      <c r="BI37" s="17">
        <f t="shared" ref="BI37:CP37" si="101">BI29*BI45</f>
        <v>10006.220964672313</v>
      </c>
      <c r="BJ37" s="17">
        <f t="shared" si="101"/>
        <v>10206.34538396576</v>
      </c>
      <c r="BK37" s="17">
        <f t="shared" si="101"/>
        <v>10410.472291645076</v>
      </c>
      <c r="BL37" s="17">
        <f t="shared" si="101"/>
        <v>10618.681737477977</v>
      </c>
      <c r="BM37" s="17">
        <f t="shared" si="101"/>
        <v>10831.055372227536</v>
      </c>
      <c r="BN37" s="17">
        <f t="shared" si="101"/>
        <v>11047.676479672087</v>
      </c>
      <c r="BO37" s="17">
        <f t="shared" si="101"/>
        <v>11268.630009265527</v>
      </c>
      <c r="BP37" s="17">
        <f t="shared" si="101"/>
        <v>11494.002609450839</v>
      </c>
      <c r="BQ37" s="17">
        <f t="shared" si="101"/>
        <v>11723.882661639856</v>
      </c>
      <c r="BR37" s="17">
        <f t="shared" si="101"/>
        <v>11958.360314872652</v>
      </c>
      <c r="BS37" s="17">
        <f t="shared" si="101"/>
        <v>12197.527521170108</v>
      </c>
      <c r="BT37" s="17">
        <f t="shared" si="101"/>
        <v>12441.47807159351</v>
      </c>
      <c r="BU37" s="17">
        <f t="shared" si="101"/>
        <v>12690.307633025381</v>
      </c>
      <c r="BV37" s="17">
        <f t="shared" si="101"/>
        <v>12944.113785685888</v>
      </c>
      <c r="BW37" s="17">
        <f t="shared" si="101"/>
        <v>13202.996061399606</v>
      </c>
      <c r="BX37" s="17">
        <f t="shared" si="101"/>
        <v>13467.055982627598</v>
      </c>
      <c r="BY37" s="17">
        <f t="shared" si="101"/>
        <v>13736.397102280152</v>
      </c>
      <c r="BZ37" s="17">
        <f t="shared" si="101"/>
        <v>14011.125044325756</v>
      </c>
      <c r="CA37" s="17">
        <f t="shared" si="101"/>
        <v>14291.347545212271</v>
      </c>
      <c r="CB37" s="17">
        <f t="shared" si="101"/>
        <v>14577.174496116517</v>
      </c>
      <c r="CC37" s="17">
        <f t="shared" si="101"/>
        <v>14868.717986038846</v>
      </c>
      <c r="CD37" s="17">
        <f t="shared" si="101"/>
        <v>15166.092345759624</v>
      </c>
      <c r="CE37" s="17">
        <f t="shared" si="101"/>
        <v>15469.414192674816</v>
      </c>
      <c r="CF37" s="17">
        <f t="shared" si="101"/>
        <v>15778.802476528313</v>
      </c>
      <c r="CG37" s="17">
        <f t="shared" si="101"/>
        <v>16094.378526058881</v>
      </c>
      <c r="CH37" s="17">
        <f t="shared" si="101"/>
        <v>16416.266096580057</v>
      </c>
      <c r="CI37" s="17">
        <f t="shared" si="101"/>
        <v>16744.591418511656</v>
      </c>
      <c r="CJ37" s="17">
        <f t="shared" si="101"/>
        <v>17079.483246881893</v>
      </c>
      <c r="CK37" s="17">
        <f t="shared" si="101"/>
        <v>17421.07291181953</v>
      </c>
      <c r="CL37" s="17">
        <f t="shared" si="101"/>
        <v>17769.49437005592</v>
      </c>
      <c r="CM37" s="17">
        <f t="shared" si="101"/>
        <v>18124.884257457041</v>
      </c>
      <c r="CN37" s="17">
        <f t="shared" si="101"/>
        <v>18487.381942606178</v>
      </c>
      <c r="CO37" s="17">
        <f t="shared" si="101"/>
        <v>18857.129581458303</v>
      </c>
      <c r="CP37" s="17">
        <f t="shared" si="101"/>
        <v>19234.272173087469</v>
      </c>
      <c r="CQ37" s="17">
        <f>CQ29*CQ45</f>
        <v>19618.957616549218</v>
      </c>
      <c r="CR37" s="9"/>
      <c r="CS37" s="9"/>
      <c r="CT37" s="9"/>
    </row>
    <row r="38" spans="2:98">
      <c r="B38" s="1" t="s">
        <v>17</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AN38" s="1">
        <f t="shared" si="93"/>
        <v>383</v>
      </c>
      <c r="AO38" s="1">
        <f t="shared" si="93"/>
        <v>349</v>
      </c>
      <c r="AP38" s="1">
        <f t="shared" si="93"/>
        <v>253</v>
      </c>
      <c r="AQ38" s="1">
        <f t="shared" si="93"/>
        <v>100</v>
      </c>
      <c r="AR38" s="1">
        <f t="shared" si="97"/>
        <v>4</v>
      </c>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row>
    <row r="39" spans="2:98">
      <c r="B39" s="1" t="s">
        <v>18</v>
      </c>
      <c r="C39" s="1">
        <f t="shared" ref="C39:U39" si="102">C37+C38</f>
        <v>263</v>
      </c>
      <c r="D39" s="1">
        <f t="shared" si="102"/>
        <v>1799</v>
      </c>
      <c r="E39" s="1">
        <f t="shared" ref="E39" si="103">E37+E38</f>
        <v>1144</v>
      </c>
      <c r="F39" s="1">
        <f>F37+F38</f>
        <v>1859</v>
      </c>
      <c r="G39" s="1">
        <f t="shared" si="102"/>
        <v>872</v>
      </c>
      <c r="H39" s="1">
        <f t="shared" si="102"/>
        <v>1356</v>
      </c>
      <c r="I39" s="1">
        <f t="shared" si="102"/>
        <v>1165</v>
      </c>
      <c r="J39" s="1">
        <f>J37+J38</f>
        <v>706</v>
      </c>
      <c r="K39" s="1">
        <f t="shared" si="102"/>
        <v>629</v>
      </c>
      <c r="L39" s="1">
        <f t="shared" si="102"/>
        <v>49</v>
      </c>
      <c r="M39" s="1">
        <f t="shared" si="102"/>
        <v>1578</v>
      </c>
      <c r="N39" s="1">
        <f>N37+N38</f>
        <v>1110</v>
      </c>
      <c r="O39" s="1">
        <f t="shared" si="102"/>
        <v>1074</v>
      </c>
      <c r="P39" s="1">
        <f t="shared" si="102"/>
        <v>1303</v>
      </c>
      <c r="Q39" s="1">
        <f t="shared" si="102"/>
        <v>1241</v>
      </c>
      <c r="R39" s="1">
        <f>R37+R38</f>
        <v>1793</v>
      </c>
      <c r="S39" s="1">
        <f t="shared" si="102"/>
        <v>1209</v>
      </c>
      <c r="T39" s="1">
        <f t="shared" si="102"/>
        <v>1399</v>
      </c>
      <c r="U39" s="1">
        <f t="shared" si="102"/>
        <v>1311</v>
      </c>
      <c r="V39" s="1">
        <f>V37+V38</f>
        <v>1410</v>
      </c>
      <c r="AN39" s="1">
        <f t="shared" si="93"/>
        <v>5411</v>
      </c>
      <c r="AO39" s="1">
        <f t="shared" si="93"/>
        <v>5546</v>
      </c>
      <c r="AP39" s="1">
        <f t="shared" si="93"/>
        <v>5642</v>
      </c>
      <c r="AQ39" s="1">
        <f t="shared" si="93"/>
        <v>5712</v>
      </c>
      <c r="AR39" s="1">
        <f t="shared" si="97"/>
        <v>5329</v>
      </c>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row>
    <row r="40" spans="2:98">
      <c r="B40" s="1" t="s">
        <v>72</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AN40" s="1">
        <f t="shared" si="93"/>
        <v>1165</v>
      </c>
      <c r="AO40" s="1">
        <f t="shared" si="93"/>
        <v>1207</v>
      </c>
      <c r="AP40" s="1">
        <f t="shared" si="93"/>
        <v>1204</v>
      </c>
      <c r="AQ40" s="1">
        <f t="shared" si="93"/>
        <v>1284</v>
      </c>
      <c r="AR40" s="1">
        <f t="shared" si="97"/>
        <v>1182</v>
      </c>
      <c r="AS40" s="14">
        <f>AS37*0.18</f>
        <v>1092.993588</v>
      </c>
      <c r="AT40" s="14">
        <f t="shared" ref="AT40:BM40" si="104">AT37*0.18</f>
        <v>1160.6220820799999</v>
      </c>
      <c r="AU40" s="14">
        <f t="shared" si="104"/>
        <v>1250.6410829203201</v>
      </c>
      <c r="AV40" s="14">
        <f t="shared" si="104"/>
        <v>1340.2705993931522</v>
      </c>
      <c r="AW40" s="14">
        <f t="shared" si="104"/>
        <v>1437.6312505818651</v>
      </c>
      <c r="AX40" s="14">
        <f t="shared" si="104"/>
        <v>1529.0503997484043</v>
      </c>
      <c r="AY40" s="14">
        <f t="shared" si="104"/>
        <v>1477.5455441779316</v>
      </c>
      <c r="AZ40" s="14">
        <f t="shared" si="104"/>
        <v>1507.0964550614906</v>
      </c>
      <c r="BA40" s="14">
        <f t="shared" si="104"/>
        <v>1537.2383841627202</v>
      </c>
      <c r="BB40" s="14">
        <f t="shared" si="104"/>
        <v>1567.983151845975</v>
      </c>
      <c r="BC40" s="14">
        <f t="shared" si="104"/>
        <v>1599.3428148828946</v>
      </c>
      <c r="BD40" s="14">
        <f t="shared" si="104"/>
        <v>1631.3296711805524</v>
      </c>
      <c r="BE40" s="14">
        <f t="shared" si="104"/>
        <v>1663.9562646041634</v>
      </c>
      <c r="BF40" s="14">
        <f t="shared" si="104"/>
        <v>1697.2353898962469</v>
      </c>
      <c r="BG40" s="14">
        <f t="shared" si="104"/>
        <v>1731.1800976941718</v>
      </c>
      <c r="BH40" s="14">
        <f t="shared" si="104"/>
        <v>1765.8036996480553</v>
      </c>
      <c r="BI40" s="14">
        <f t="shared" si="104"/>
        <v>1801.1197736410163</v>
      </c>
      <c r="BJ40" s="14">
        <f t="shared" si="104"/>
        <v>1837.1421691138366</v>
      </c>
      <c r="BK40" s="14">
        <f t="shared" si="104"/>
        <v>1873.8850124961136</v>
      </c>
      <c r="BL40" s="14">
        <f t="shared" si="104"/>
        <v>1911.3627127460356</v>
      </c>
      <c r="BM40" s="14">
        <f t="shared" si="104"/>
        <v>1949.5899670009564</v>
      </c>
      <c r="BN40" s="14">
        <f t="shared" ref="BN40:BT40" si="105">BN37*0.18</f>
        <v>1988.5817663409757</v>
      </c>
      <c r="BO40" s="14">
        <f t="shared" si="105"/>
        <v>2028.353401667795</v>
      </c>
      <c r="BP40" s="14">
        <f t="shared" si="105"/>
        <v>2068.920469701151</v>
      </c>
      <c r="BQ40" s="14">
        <f t="shared" si="105"/>
        <v>2110.298879095174</v>
      </c>
      <c r="BR40" s="14">
        <f t="shared" si="105"/>
        <v>2152.5048566770774</v>
      </c>
      <c r="BS40" s="14">
        <f t="shared" si="105"/>
        <v>2195.5549538106193</v>
      </c>
      <c r="BT40" s="14">
        <f t="shared" si="105"/>
        <v>2239.4660528868317</v>
      </c>
      <c r="BU40" s="14">
        <f t="shared" ref="BU40:CB40" si="106">BU37*0.18</f>
        <v>2284.2553739445684</v>
      </c>
      <c r="BV40" s="14">
        <f t="shared" si="106"/>
        <v>2329.9404814234599</v>
      </c>
      <c r="BW40" s="14">
        <f t="shared" si="106"/>
        <v>2376.539291051929</v>
      </c>
      <c r="BX40" s="14">
        <f t="shared" si="106"/>
        <v>2424.0700768729675</v>
      </c>
      <c r="BY40" s="14">
        <f t="shared" si="106"/>
        <v>2472.5514784104275</v>
      </c>
      <c r="BZ40" s="14">
        <f t="shared" si="106"/>
        <v>2522.002507978636</v>
      </c>
      <c r="CA40" s="14">
        <f t="shared" si="106"/>
        <v>2572.4425581382088</v>
      </c>
      <c r="CB40" s="14">
        <f t="shared" si="106"/>
        <v>2623.891409300973</v>
      </c>
      <c r="CC40" s="14">
        <f t="shared" ref="CC40:CG40" si="107">CC37*0.18</f>
        <v>2676.369237486992</v>
      </c>
      <c r="CD40" s="14">
        <f t="shared" si="107"/>
        <v>2729.8966222367321</v>
      </c>
      <c r="CE40" s="14">
        <f t="shared" si="107"/>
        <v>2784.494554681467</v>
      </c>
      <c r="CF40" s="14">
        <f t="shared" si="107"/>
        <v>2840.1844457750963</v>
      </c>
      <c r="CG40" s="14">
        <f t="shared" si="107"/>
        <v>2896.9881346905986</v>
      </c>
      <c r="CH40" s="14">
        <f t="shared" ref="CH40:CQ40" si="108">CH37*0.18</f>
        <v>2954.9278973844102</v>
      </c>
      <c r="CI40" s="14">
        <f t="shared" si="108"/>
        <v>3014.0264553320981</v>
      </c>
      <c r="CJ40" s="14">
        <f t="shared" si="108"/>
        <v>3074.3069844387405</v>
      </c>
      <c r="CK40" s="14">
        <f t="shared" si="108"/>
        <v>3135.7931241275155</v>
      </c>
      <c r="CL40" s="14">
        <f t="shared" si="108"/>
        <v>3198.5089866100652</v>
      </c>
      <c r="CM40" s="14">
        <f t="shared" si="108"/>
        <v>3262.479166342267</v>
      </c>
      <c r="CN40" s="14">
        <f t="shared" si="108"/>
        <v>3327.7287496691119</v>
      </c>
      <c r="CO40" s="14">
        <f t="shared" si="108"/>
        <v>3394.2833246624946</v>
      </c>
      <c r="CP40" s="14">
        <f t="shared" si="108"/>
        <v>3462.1689911557442</v>
      </c>
      <c r="CQ40" s="14">
        <f t="shared" si="108"/>
        <v>3531.4123709788591</v>
      </c>
    </row>
    <row r="41" spans="2:98" ht="13.9">
      <c r="B41" s="2" t="s">
        <v>19</v>
      </c>
      <c r="C41" s="1">
        <f t="shared" ref="C41:U41" si="109">C39-C40</f>
        <v>84</v>
      </c>
      <c r="D41" s="1">
        <f t="shared" si="109"/>
        <v>1530</v>
      </c>
      <c r="E41" s="1">
        <f t="shared" ref="E41" si="110">E39-E40</f>
        <v>1021</v>
      </c>
      <c r="F41" s="1">
        <f>F39-F40</f>
        <v>1567</v>
      </c>
      <c r="G41" s="1">
        <f t="shared" si="109"/>
        <v>1097</v>
      </c>
      <c r="H41" s="1">
        <f t="shared" si="109"/>
        <v>1184</v>
      </c>
      <c r="I41" s="1">
        <f t="shared" si="109"/>
        <v>1087</v>
      </c>
      <c r="J41" s="1">
        <f>J39-J40</f>
        <v>801</v>
      </c>
      <c r="K41" s="1">
        <f t="shared" si="109"/>
        <v>509</v>
      </c>
      <c r="L41" s="1">
        <f t="shared" si="109"/>
        <v>-341</v>
      </c>
      <c r="M41" s="1">
        <f t="shared" si="109"/>
        <v>1330</v>
      </c>
      <c r="N41" s="1">
        <f>N39-N40</f>
        <v>921</v>
      </c>
      <c r="O41" s="1">
        <f t="shared" si="109"/>
        <v>795</v>
      </c>
      <c r="P41" s="1">
        <f t="shared" si="109"/>
        <v>1029</v>
      </c>
      <c r="Q41" s="1">
        <f t="shared" si="109"/>
        <v>1020</v>
      </c>
      <c r="R41" s="1">
        <f>R39-R40</f>
        <v>1402</v>
      </c>
      <c r="S41" s="1">
        <f t="shared" si="109"/>
        <v>888</v>
      </c>
      <c r="T41" s="1">
        <f t="shared" si="109"/>
        <v>1128</v>
      </c>
      <c r="U41" s="1">
        <f t="shared" si="109"/>
        <v>1010</v>
      </c>
      <c r="V41" s="1">
        <f>V39-V40</f>
        <v>1121</v>
      </c>
      <c r="AN41" s="1">
        <f t="shared" si="93"/>
        <v>4246</v>
      </c>
      <c r="AO41" s="1">
        <f t="shared" si="93"/>
        <v>4339</v>
      </c>
      <c r="AP41" s="1">
        <f t="shared" si="93"/>
        <v>4438</v>
      </c>
      <c r="AQ41" s="1">
        <f t="shared" si="93"/>
        <v>4428</v>
      </c>
      <c r="AR41" s="1">
        <f t="shared" si="97"/>
        <v>4147</v>
      </c>
      <c r="AS41" s="17">
        <f>AS37-AS40</f>
        <v>4979.1930119999997</v>
      </c>
      <c r="AT41" s="14">
        <f t="shared" ref="AT41:BM41" si="111">AT37-AT40</f>
        <v>5287.2783739200004</v>
      </c>
      <c r="AU41" s="14">
        <f t="shared" si="111"/>
        <v>5697.364933303681</v>
      </c>
      <c r="AV41" s="14">
        <f t="shared" si="111"/>
        <v>6105.6771750132493</v>
      </c>
      <c r="AW41" s="14">
        <f t="shared" si="111"/>
        <v>6549.2090304284966</v>
      </c>
      <c r="AX41" s="14">
        <f t="shared" si="111"/>
        <v>6965.6740432982861</v>
      </c>
      <c r="AY41" s="14">
        <f t="shared" si="111"/>
        <v>6731.0408123661337</v>
      </c>
      <c r="AZ41" s="14">
        <f t="shared" si="111"/>
        <v>6865.6616286134567</v>
      </c>
      <c r="BA41" s="14">
        <f t="shared" si="111"/>
        <v>7002.9748611857267</v>
      </c>
      <c r="BB41" s="14">
        <f t="shared" si="111"/>
        <v>7143.0343584094417</v>
      </c>
      <c r="BC41" s="14">
        <f t="shared" si="111"/>
        <v>7285.8950455776312</v>
      </c>
      <c r="BD41" s="14">
        <f t="shared" si="111"/>
        <v>7431.6129464891837</v>
      </c>
      <c r="BE41" s="14">
        <f t="shared" si="111"/>
        <v>7580.2452054189671</v>
      </c>
      <c r="BF41" s="14">
        <f t="shared" si="111"/>
        <v>7731.8501095273477</v>
      </c>
      <c r="BG41" s="14">
        <f t="shared" si="111"/>
        <v>7886.4871117178936</v>
      </c>
      <c r="BH41" s="14">
        <f t="shared" si="111"/>
        <v>8044.2168539522518</v>
      </c>
      <c r="BI41" s="14">
        <f t="shared" si="111"/>
        <v>8205.1011910312973</v>
      </c>
      <c r="BJ41" s="14">
        <f t="shared" si="111"/>
        <v>8369.2032148519229</v>
      </c>
      <c r="BK41" s="14">
        <f t="shared" si="111"/>
        <v>8536.5872791489619</v>
      </c>
      <c r="BL41" s="14">
        <f t="shared" si="111"/>
        <v>8707.3190247319417</v>
      </c>
      <c r="BM41" s="14">
        <f t="shared" si="111"/>
        <v>8881.4654052265796</v>
      </c>
      <c r="BN41" s="14">
        <f t="shared" ref="BN41" si="112">BN37-BN40</f>
        <v>9059.0947133311111</v>
      </c>
      <c r="BO41" s="14">
        <f t="shared" ref="BO41" si="113">BO37-BO40</f>
        <v>9240.2766075977324</v>
      </c>
      <c r="BP41" s="14">
        <f t="shared" ref="BP41" si="114">BP37-BP40</f>
        <v>9425.0821397496875</v>
      </c>
      <c r="BQ41" s="14">
        <f t="shared" ref="BQ41" si="115">BQ37-BQ40</f>
        <v>9613.5837825446833</v>
      </c>
      <c r="BR41" s="14">
        <f t="shared" ref="BR41" si="116">BR37-BR40</f>
        <v>9805.8554581955759</v>
      </c>
      <c r="BS41" s="14">
        <f t="shared" ref="BS41" si="117">BS37-BS40</f>
        <v>10001.972567359489</v>
      </c>
      <c r="BT41" s="14">
        <f t="shared" ref="BT41" si="118">BT37-BT40</f>
        <v>10202.012018706679</v>
      </c>
      <c r="BU41" s="14">
        <f t="shared" ref="BU41" si="119">BU37-BU40</f>
        <v>10406.052259080812</v>
      </c>
      <c r="BV41" s="14">
        <f t="shared" ref="BV41" si="120">BV37-BV40</f>
        <v>10614.173304262427</v>
      </c>
      <c r="BW41" s="14">
        <f t="shared" ref="BW41" si="121">BW37-BW40</f>
        <v>10826.456770347677</v>
      </c>
      <c r="BX41" s="14">
        <f t="shared" ref="BX41" si="122">BX37-BX40</f>
        <v>11042.985905754631</v>
      </c>
      <c r="BY41" s="14">
        <f t="shared" ref="BY41" si="123">BY37-BY40</f>
        <v>11263.845623869725</v>
      </c>
      <c r="BZ41" s="14">
        <f t="shared" ref="BZ41" si="124">BZ37-BZ40</f>
        <v>11489.12253634712</v>
      </c>
      <c r="CA41" s="14">
        <f t="shared" ref="CA41" si="125">CA37-CA40</f>
        <v>11718.904987074062</v>
      </c>
      <c r="CB41" s="14">
        <f t="shared" ref="CB41" si="126">CB37-CB40</f>
        <v>11953.283086815543</v>
      </c>
      <c r="CC41" s="14">
        <f t="shared" ref="CC41" si="127">CC37-CC40</f>
        <v>12192.348748551854</v>
      </c>
      <c r="CD41" s="14">
        <f t="shared" ref="CD41" si="128">CD37-CD40</f>
        <v>12436.195723522891</v>
      </c>
      <c r="CE41" s="14">
        <f t="shared" ref="CE41" si="129">CE37-CE40</f>
        <v>12684.919637993349</v>
      </c>
      <c r="CF41" s="14">
        <f t="shared" ref="CF41" si="130">CF37-CF40</f>
        <v>12938.618030753218</v>
      </c>
      <c r="CG41" s="14">
        <f t="shared" ref="CG41" si="131">CG37-CG40</f>
        <v>13197.390391368283</v>
      </c>
      <c r="CH41" s="14">
        <f t="shared" ref="CH41" si="132">CH37-CH40</f>
        <v>13461.338199195647</v>
      </c>
      <c r="CI41" s="14">
        <f t="shared" ref="CI41" si="133">CI37-CI40</f>
        <v>13730.564963179559</v>
      </c>
      <c r="CJ41" s="14">
        <f t="shared" ref="CJ41" si="134">CJ37-CJ40</f>
        <v>14005.176262443152</v>
      </c>
      <c r="CK41" s="14">
        <f t="shared" ref="CK41" si="135">CK37-CK40</f>
        <v>14285.279787692016</v>
      </c>
      <c r="CL41" s="14">
        <f t="shared" ref="CL41" si="136">CL37-CL40</f>
        <v>14570.985383445855</v>
      </c>
      <c r="CM41" s="14">
        <f t="shared" ref="CM41" si="137">CM37-CM40</f>
        <v>14862.405091114773</v>
      </c>
      <c r="CN41" s="14">
        <f t="shared" ref="CN41" si="138">CN37-CN40</f>
        <v>15159.653192937067</v>
      </c>
      <c r="CO41" s="14">
        <f t="shared" ref="CO41" si="139">CO37-CO40</f>
        <v>15462.846256795809</v>
      </c>
      <c r="CP41" s="14">
        <f t="shared" ref="CP41" si="140">CP37-CP40</f>
        <v>15772.103181931725</v>
      </c>
      <c r="CQ41" s="14">
        <f t="shared" ref="CQ41" si="141">CQ37-CQ40</f>
        <v>16087.54524557036</v>
      </c>
    </row>
    <row r="42" spans="2:98">
      <c r="B42" s="1" t="s">
        <v>2</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AN42" s="9">
        <f t="shared" ref="AN42:AQ42" si="142">AVERAGE(O42:R42)</f>
        <v>1104.25</v>
      </c>
      <c r="AO42" s="9">
        <f t="shared" si="142"/>
        <v>1088.75</v>
      </c>
      <c r="AP42" s="9">
        <f t="shared" si="142"/>
        <v>1072</v>
      </c>
      <c r="AQ42" s="9">
        <f t="shared" si="142"/>
        <v>1053.5</v>
      </c>
      <c r="AR42" s="9">
        <f>AVERAGE(S42:V42)</f>
        <v>1033</v>
      </c>
      <c r="AS42" s="17">
        <f>0.95*AR42</f>
        <v>981.34999999999991</v>
      </c>
      <c r="AT42" s="17">
        <f t="shared" ref="AT42:CQ42" si="143">0.95*AS42</f>
        <v>932.28249999999991</v>
      </c>
      <c r="AU42" s="17">
        <f t="shared" si="143"/>
        <v>885.66837499999986</v>
      </c>
      <c r="AV42" s="17">
        <f t="shared" si="143"/>
        <v>841.38495624999985</v>
      </c>
      <c r="AW42" s="17">
        <f t="shared" si="143"/>
        <v>799.31570843749978</v>
      </c>
      <c r="AX42" s="17">
        <f t="shared" si="143"/>
        <v>759.34992301562477</v>
      </c>
      <c r="AY42" s="17">
        <f t="shared" si="143"/>
        <v>721.38242686484352</v>
      </c>
      <c r="AZ42" s="17">
        <f t="shared" si="143"/>
        <v>685.31330552160136</v>
      </c>
      <c r="BA42" s="17">
        <f t="shared" si="143"/>
        <v>651.04764024552128</v>
      </c>
      <c r="BB42" s="17">
        <f t="shared" si="143"/>
        <v>618.49525823324518</v>
      </c>
      <c r="BC42" s="17">
        <f t="shared" si="143"/>
        <v>587.57049532158294</v>
      </c>
      <c r="BD42" s="17">
        <f t="shared" si="143"/>
        <v>558.19197055550376</v>
      </c>
      <c r="BE42" s="17">
        <f t="shared" si="143"/>
        <v>530.28237202772857</v>
      </c>
      <c r="BF42" s="17">
        <f t="shared" si="143"/>
        <v>503.76825342634214</v>
      </c>
      <c r="BG42" s="17">
        <f t="shared" si="143"/>
        <v>478.57984075502503</v>
      </c>
      <c r="BH42" s="17">
        <f t="shared" si="143"/>
        <v>454.65084871727373</v>
      </c>
      <c r="BI42" s="17">
        <f t="shared" si="143"/>
        <v>431.91830628141003</v>
      </c>
      <c r="BJ42" s="17">
        <f t="shared" si="143"/>
        <v>410.32239096733952</v>
      </c>
      <c r="BK42" s="17">
        <f t="shared" si="143"/>
        <v>389.80627141897253</v>
      </c>
      <c r="BL42" s="17">
        <f t="shared" si="143"/>
        <v>370.31595784802386</v>
      </c>
      <c r="BM42" s="17">
        <f t="shared" si="143"/>
        <v>351.80015995562263</v>
      </c>
      <c r="BN42" s="17">
        <f t="shared" si="143"/>
        <v>334.2101519578415</v>
      </c>
      <c r="BO42" s="17">
        <f t="shared" si="143"/>
        <v>317.4996443599494</v>
      </c>
      <c r="BP42" s="17">
        <f t="shared" si="143"/>
        <v>301.62466214195194</v>
      </c>
      <c r="BQ42" s="17">
        <f t="shared" si="143"/>
        <v>286.54342903485434</v>
      </c>
      <c r="BR42" s="17">
        <f t="shared" si="143"/>
        <v>272.2162575831116</v>
      </c>
      <c r="BS42" s="17">
        <f t="shared" si="143"/>
        <v>258.60544470395598</v>
      </c>
      <c r="BT42" s="17">
        <f t="shared" si="143"/>
        <v>245.67517246875818</v>
      </c>
      <c r="BU42" s="17">
        <f t="shared" si="143"/>
        <v>233.39141384532024</v>
      </c>
      <c r="BV42" s="17">
        <f t="shared" si="143"/>
        <v>221.72184315305421</v>
      </c>
      <c r="BW42" s="17">
        <f t="shared" si="143"/>
        <v>210.63575099540148</v>
      </c>
      <c r="BX42" s="17">
        <f t="shared" si="143"/>
        <v>200.10396344563139</v>
      </c>
      <c r="BY42" s="17">
        <f t="shared" si="143"/>
        <v>190.09876527334981</v>
      </c>
      <c r="BZ42" s="17">
        <f t="shared" si="143"/>
        <v>180.59382700968231</v>
      </c>
      <c r="CA42" s="17">
        <f t="shared" si="143"/>
        <v>171.5641356591982</v>
      </c>
      <c r="CB42" s="17">
        <f t="shared" si="143"/>
        <v>162.98592887623829</v>
      </c>
      <c r="CC42" s="17">
        <f t="shared" si="143"/>
        <v>154.83663243242637</v>
      </c>
      <c r="CD42" s="17">
        <f t="shared" si="143"/>
        <v>147.09480081080505</v>
      </c>
      <c r="CE42" s="17">
        <f t="shared" si="143"/>
        <v>139.74006077026479</v>
      </c>
      <c r="CF42" s="17">
        <f t="shared" si="143"/>
        <v>132.75305773175154</v>
      </c>
      <c r="CG42" s="17">
        <f t="shared" si="143"/>
        <v>126.11540484516395</v>
      </c>
      <c r="CH42" s="17">
        <f t="shared" si="143"/>
        <v>119.80963460290575</v>
      </c>
      <c r="CI42" s="17">
        <f t="shared" si="143"/>
        <v>113.81915287276045</v>
      </c>
      <c r="CJ42" s="17">
        <f t="shared" si="143"/>
        <v>108.12819522912243</v>
      </c>
      <c r="CK42" s="17">
        <f t="shared" si="143"/>
        <v>102.72178546766629</v>
      </c>
      <c r="CL42" s="17">
        <f t="shared" si="143"/>
        <v>97.585696194282974</v>
      </c>
      <c r="CM42" s="17">
        <f t="shared" si="143"/>
        <v>92.706411384568824</v>
      </c>
      <c r="CN42" s="17">
        <f t="shared" si="143"/>
        <v>88.071090815340384</v>
      </c>
      <c r="CO42" s="17">
        <f t="shared" si="143"/>
        <v>83.667536274573365</v>
      </c>
      <c r="CP42" s="17">
        <f t="shared" si="143"/>
        <v>79.484159460844694</v>
      </c>
      <c r="CQ42" s="17">
        <f t="shared" si="143"/>
        <v>75.509951487802454</v>
      </c>
      <c r="CR42" s="9"/>
      <c r="CS42" s="9"/>
      <c r="CT42" s="9"/>
    </row>
    <row r="43" spans="2:98">
      <c r="B43" s="1" t="s">
        <v>145</v>
      </c>
      <c r="C43" s="6">
        <f t="shared" ref="C43:V43" si="144">C41/C42</f>
        <v>7.0886075949367092E-2</v>
      </c>
      <c r="D43" s="6">
        <f t="shared" si="144"/>
        <v>1.2922297297297298</v>
      </c>
      <c r="E43" s="6">
        <f t="shared" si="144"/>
        <v>0.85798319327731087</v>
      </c>
      <c r="F43" s="6">
        <f t="shared" si="144"/>
        <v>1.3347529812606473</v>
      </c>
      <c r="G43" s="6">
        <f t="shared" si="144"/>
        <v>0.92184873949579826</v>
      </c>
      <c r="H43" s="6">
        <f t="shared" si="144"/>
        <v>0.99831365935919059</v>
      </c>
      <c r="I43" s="6">
        <f t="shared" si="144"/>
        <v>0.91575400168491994</v>
      </c>
      <c r="J43" s="6">
        <f t="shared" ref="J43" si="145">J41/J42</f>
        <v>0.68228279386712098</v>
      </c>
      <c r="K43" s="6">
        <f t="shared" si="144"/>
        <v>0.43766122098022359</v>
      </c>
      <c r="L43" s="6">
        <f t="shared" si="144"/>
        <v>-0.29447322970639034</v>
      </c>
      <c r="M43" s="6">
        <f t="shared" si="144"/>
        <v>1.1495246326707</v>
      </c>
      <c r="N43" s="6">
        <f t="shared" si="144"/>
        <v>0.81432360742705567</v>
      </c>
      <c r="O43" s="6">
        <f t="shared" si="144"/>
        <v>0.70105820105820105</v>
      </c>
      <c r="P43" s="6">
        <f t="shared" si="144"/>
        <v>0.92369838420107719</v>
      </c>
      <c r="Q43" s="6">
        <f t="shared" si="144"/>
        <v>0.92896174863387981</v>
      </c>
      <c r="R43" s="6">
        <f t="shared" ref="R43" si="146">R41/R42</f>
        <v>1.3090569561157797</v>
      </c>
      <c r="S43" s="6">
        <f t="shared" si="144"/>
        <v>0.82835820895522383</v>
      </c>
      <c r="T43" s="6">
        <f t="shared" si="144"/>
        <v>1.0773638968481376</v>
      </c>
      <c r="U43" s="6">
        <f t="shared" si="144"/>
        <v>0.986328125</v>
      </c>
      <c r="V43" s="6">
        <f t="shared" si="144"/>
        <v>1.1334681496461072</v>
      </c>
      <c r="AN43" s="6">
        <f>SUM(C43:F43)</f>
        <v>3.5558519802170552</v>
      </c>
      <c r="AO43" s="6">
        <f>SUM(G43:J43)</f>
        <v>3.5181991944070301</v>
      </c>
      <c r="AP43" s="6">
        <f>SUM(K43:N43)</f>
        <v>2.1070362313715889</v>
      </c>
      <c r="AQ43" s="6">
        <f>SUM(O43:R43)</f>
        <v>3.8627752900089378</v>
      </c>
      <c r="AR43" s="6">
        <f>SUM(S43:V43)</f>
        <v>4.0255183804494692</v>
      </c>
      <c r="AS43" s="14">
        <f>AS41/AS42</f>
        <v>5.0738197503439144</v>
      </c>
      <c r="AT43" s="14">
        <f t="shared" ref="AT43:BM43" si="147">AT41/AT42</f>
        <v>5.671326420822016</v>
      </c>
      <c r="AU43" s="14">
        <f t="shared" si="147"/>
        <v>6.4328422399678455</v>
      </c>
      <c r="AV43" s="14">
        <f t="shared" si="147"/>
        <v>7.2566987675009909</v>
      </c>
      <c r="AW43" s="14">
        <f t="shared" si="147"/>
        <v>8.1935197335616898</v>
      </c>
      <c r="AX43" s="14">
        <f t="shared" si="147"/>
        <v>9.1732070184919969</v>
      </c>
      <c r="AY43" s="14">
        <f t="shared" si="147"/>
        <v>9.3307524021890895</v>
      </c>
      <c r="AZ43" s="14">
        <f t="shared" si="147"/>
        <v>10.018281526560918</v>
      </c>
      <c r="BA43" s="14">
        <f t="shared" si="147"/>
        <v>10.756470691675935</v>
      </c>
      <c r="BB43" s="14">
        <f t="shared" si="147"/>
        <v>11.54905274264153</v>
      </c>
      <c r="BC43" s="14">
        <f t="shared" si="147"/>
        <v>12.400035576309854</v>
      </c>
      <c r="BD43" s="14">
        <f t="shared" si="147"/>
        <v>13.313722408248475</v>
      </c>
      <c r="BE43" s="14">
        <f t="shared" si="147"/>
        <v>14.294733533066784</v>
      </c>
      <c r="BF43" s="14">
        <f t="shared" si="147"/>
        <v>15.348029688134865</v>
      </c>
      <c r="BG43" s="14">
        <f t="shared" si="147"/>
        <v>16.478937138839537</v>
      </c>
      <c r="BH43" s="14">
        <f t="shared" si="147"/>
        <v>17.693174612227715</v>
      </c>
      <c r="BI43" s="14">
        <f t="shared" si="147"/>
        <v>18.99688221523397</v>
      </c>
      <c r="BJ43" s="14">
        <f t="shared" si="147"/>
        <v>20.396652483724896</v>
      </c>
      <c r="BK43" s="14">
        <f t="shared" si="147"/>
        <v>21.899563719367784</v>
      </c>
      <c r="BL43" s="14">
        <f t="shared" si="147"/>
        <v>23.513215782900151</v>
      </c>
      <c r="BM43" s="14">
        <f t="shared" si="147"/>
        <v>25.245768524798056</v>
      </c>
      <c r="BN43" s="14">
        <f t="shared" ref="BN43" si="148">BN41/BN42</f>
        <v>27.105983047677913</v>
      </c>
      <c r="BO43" s="14">
        <f t="shared" ref="BO43" si="149">BO41/BO42</f>
        <v>29.103266009085758</v>
      </c>
      <c r="BP43" s="14">
        <f t="shared" ref="BP43" si="150">BP41/BP42</f>
        <v>31.247717188702605</v>
      </c>
      <c r="BQ43" s="14">
        <f t="shared" ref="BQ43" si="151">BQ41/BQ42</f>
        <v>33.550180560501751</v>
      </c>
      <c r="BR43" s="14">
        <f t="shared" ref="BR43" si="152">BR41/BR42</f>
        <v>36.022299128117666</v>
      </c>
      <c r="BS43" s="14">
        <f t="shared" ref="BS43" si="153">BS41/BS42</f>
        <v>38.676573800715829</v>
      </c>
      <c r="BT43" s="14">
        <f t="shared" ref="BT43" si="154">BT41/BT42</f>
        <v>41.52642660708436</v>
      </c>
      <c r="BU43" s="14">
        <f t="shared" ref="BU43" si="155">BU41/BU42</f>
        <v>44.586268567606368</v>
      </c>
      <c r="BV43" s="14">
        <f t="shared" ref="BV43" si="156">BV41/BV42</f>
        <v>47.871572567324733</v>
      </c>
      <c r="BW43" s="14">
        <f t="shared" ref="BW43" si="157">BW41/BW42</f>
        <v>51.3989515986013</v>
      </c>
      <c r="BX43" s="14">
        <f t="shared" ref="BX43" si="158">BX41/BX42</f>
        <v>55.18624276902456</v>
      </c>
      <c r="BY43" s="14">
        <f t="shared" ref="BY43" si="159">BY41/BY42</f>
        <v>59.252597499373756</v>
      </c>
      <c r="BZ43" s="14">
        <f t="shared" ref="BZ43" si="160">BZ41/BZ42</f>
        <v>63.618578367748668</v>
      </c>
      <c r="CA43" s="14">
        <f t="shared" ref="CA43" si="161">CA41/CA42</f>
        <v>68.306263089582771</v>
      </c>
      <c r="CB43" s="14">
        <f t="shared" ref="CB43" si="162">CB41/CB42</f>
        <v>73.339356159341506</v>
      </c>
      <c r="CC43" s="14">
        <f t="shared" ref="CC43" si="163">CC41/CC42</f>
        <v>78.743308718450891</v>
      </c>
      <c r="CD43" s="14">
        <f t="shared" ref="CD43" si="164">CD41/CD42</f>
        <v>84.545447255599896</v>
      </c>
      <c r="CE43" s="14">
        <f t="shared" ref="CE43" si="165">CE41/CE42</f>
        <v>90.77511179022305</v>
      </c>
      <c r="CF43" s="14">
        <f t="shared" ref="CF43" si="166">CF41/CF42</f>
        <v>97.463804237923725</v>
      </c>
      <c r="CG43" s="14">
        <f t="shared" ref="CG43" si="167">CG41/CG42</f>
        <v>104.64534770808653</v>
      </c>
      <c r="CH43" s="14">
        <f t="shared" ref="CH43" si="168">CH41/CH42</f>
        <v>112.35605753920869</v>
      </c>
      <c r="CI43" s="14">
        <f t="shared" ref="CI43" si="169">CI41/CI42</f>
        <v>120.63492493683459</v>
      </c>
      <c r="CJ43" s="14">
        <f t="shared" ref="CJ43" si="170">CJ41/CJ42</f>
        <v>129.52381414270664</v>
      </c>
      <c r="CK43" s="14">
        <f t="shared" ref="CK43" si="171">CK41/CK42</f>
        <v>139.06767413216926</v>
      </c>
      <c r="CL43" s="14">
        <f t="shared" ref="CL43" si="172">CL41/CL42</f>
        <v>149.3147659103291</v>
      </c>
      <c r="CM43" s="14">
        <f t="shared" ref="CM43" si="173">CM41/CM42</f>
        <v>160.31690655635336</v>
      </c>
      <c r="CN43" s="14">
        <f t="shared" ref="CN43" si="174">CN41/CN42</f>
        <v>172.12973124997936</v>
      </c>
      <c r="CO43" s="14">
        <f t="shared" ref="CO43" si="175">CO41/CO42</f>
        <v>184.81297460524101</v>
      </c>
      <c r="CP43" s="14">
        <f t="shared" ref="CP43" si="176">CP41/CP42</f>
        <v>198.43077273404825</v>
      </c>
      <c r="CQ43" s="14">
        <f t="shared" ref="CQ43" si="177">CQ41/CQ42</f>
        <v>213.05198756708342</v>
      </c>
    </row>
    <row r="44" spans="2:98">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14"/>
      <c r="CM44" s="14"/>
      <c r="CN44" s="14"/>
      <c r="CO44" s="14"/>
      <c r="CP44" s="14"/>
      <c r="CQ44" s="14"/>
    </row>
    <row r="45" spans="2:98" ht="13.9">
      <c r="B45" s="2" t="s">
        <v>138</v>
      </c>
      <c r="C45" s="10">
        <f t="shared" ref="C45:U45" si="178">C37/C29</f>
        <v>8.6184495452576879E-2</v>
      </c>
      <c r="D45" s="10">
        <f t="shared" si="178"/>
        <v>0.18076411328644745</v>
      </c>
      <c r="E45" s="10">
        <f t="shared" si="178"/>
        <v>0.17897050741894119</v>
      </c>
      <c r="F45" s="10">
        <f t="shared" si="178"/>
        <v>0.15745585349901897</v>
      </c>
      <c r="G45" s="10">
        <f t="shared" si="178"/>
        <v>0.17271672468092159</v>
      </c>
      <c r="H45" s="10">
        <f t="shared" si="178"/>
        <v>0.18066688041038795</v>
      </c>
      <c r="I45" s="10">
        <f t="shared" si="178"/>
        <v>0.16871562601099968</v>
      </c>
      <c r="J45" s="10">
        <f t="shared" si="178"/>
        <v>0.15177797051170858</v>
      </c>
      <c r="K45" s="10">
        <f t="shared" si="178"/>
        <v>0.10967144840351689</v>
      </c>
      <c r="L45" s="10">
        <f t="shared" si="178"/>
        <v>0.11225389362327358</v>
      </c>
      <c r="M45" s="10">
        <f t="shared" si="178"/>
        <v>0.16330704060765411</v>
      </c>
      <c r="N45" s="10">
        <f t="shared" si="178"/>
        <v>0.1684951916565082</v>
      </c>
      <c r="O45" s="10">
        <f t="shared" si="178"/>
        <v>0.14190340909090909</v>
      </c>
      <c r="P45" s="10">
        <f t="shared" si="178"/>
        <v>0.15548236585700562</v>
      </c>
      <c r="Q45" s="10">
        <f t="shared" si="178"/>
        <v>0.15745483957940146</v>
      </c>
      <c r="R45" s="10">
        <f t="shared" si="178"/>
        <v>0.21530027410914529</v>
      </c>
      <c r="S45" s="10">
        <f t="shared" si="178"/>
        <v>0.15170801402779582</v>
      </c>
      <c r="T45" s="10">
        <f t="shared" si="178"/>
        <v>0.16804058338617628</v>
      </c>
      <c r="U45" s="10">
        <f t="shared" si="178"/>
        <v>0.17726519689053141</v>
      </c>
      <c r="V45" s="10">
        <f>V37/V29</f>
        <v>0.17224480038250059</v>
      </c>
      <c r="AN45" s="7">
        <f t="shared" ref="AN45:AQ45" si="179">AN37/AN29</f>
        <v>0.16888918746431092</v>
      </c>
      <c r="AO45" s="7">
        <f t="shared" si="179"/>
        <v>0.17078540913572132</v>
      </c>
      <c r="AP45" s="7">
        <f t="shared" si="179"/>
        <v>0.1736818357612479</v>
      </c>
      <c r="AQ45" s="7">
        <f t="shared" si="179"/>
        <v>0.17840226340719076</v>
      </c>
      <c r="AR45" s="7">
        <f>AR37/AR29</f>
        <v>0.16746862911595434</v>
      </c>
      <c r="AS45" s="20">
        <v>0.18</v>
      </c>
      <c r="AT45" s="20">
        <v>0.18</v>
      </c>
      <c r="AU45" s="20">
        <v>0.182</v>
      </c>
      <c r="AV45" s="20">
        <v>0.184</v>
      </c>
      <c r="AW45" s="20">
        <v>0.187</v>
      </c>
      <c r="AX45" s="20">
        <v>0.19</v>
      </c>
      <c r="AY45" s="20">
        <v>0.18</v>
      </c>
      <c r="AZ45" s="20">
        <v>0.18</v>
      </c>
      <c r="BA45" s="20">
        <v>0.18</v>
      </c>
      <c r="BB45" s="20">
        <v>0.18</v>
      </c>
      <c r="BC45" s="20">
        <v>0.18</v>
      </c>
      <c r="BD45" s="20">
        <v>0.18</v>
      </c>
      <c r="BE45" s="20">
        <v>0.18</v>
      </c>
      <c r="BF45" s="20">
        <v>0.18</v>
      </c>
      <c r="BG45" s="20">
        <v>0.18</v>
      </c>
      <c r="BH45" s="20">
        <v>0.18</v>
      </c>
      <c r="BI45" s="20">
        <v>0.18</v>
      </c>
      <c r="BJ45" s="20">
        <v>0.18</v>
      </c>
      <c r="BK45" s="20">
        <v>0.18</v>
      </c>
      <c r="BL45" s="20">
        <v>0.18</v>
      </c>
      <c r="BM45" s="20">
        <v>0.18</v>
      </c>
      <c r="BN45" s="20">
        <v>0.18</v>
      </c>
      <c r="BO45" s="20">
        <v>0.18</v>
      </c>
      <c r="BP45" s="20">
        <v>0.18</v>
      </c>
      <c r="BQ45" s="20">
        <v>0.18</v>
      </c>
      <c r="BR45" s="20">
        <v>0.18</v>
      </c>
      <c r="BS45" s="20">
        <v>0.18</v>
      </c>
      <c r="BT45" s="20">
        <v>0.18</v>
      </c>
      <c r="BU45" s="20">
        <v>0.18</v>
      </c>
      <c r="BV45" s="20">
        <v>0.18</v>
      </c>
      <c r="BW45" s="20">
        <v>0.18</v>
      </c>
      <c r="BX45" s="20">
        <v>0.18</v>
      </c>
      <c r="BY45" s="20">
        <v>0.18</v>
      </c>
      <c r="BZ45" s="20">
        <v>0.18</v>
      </c>
      <c r="CA45" s="20">
        <v>0.18</v>
      </c>
      <c r="CB45" s="20">
        <v>0.18</v>
      </c>
      <c r="CC45" s="20">
        <v>0.18</v>
      </c>
      <c r="CD45" s="20">
        <v>0.18</v>
      </c>
      <c r="CE45" s="20">
        <v>0.18</v>
      </c>
      <c r="CF45" s="20">
        <v>0.18</v>
      </c>
      <c r="CG45" s="20">
        <v>0.18</v>
      </c>
      <c r="CH45" s="20">
        <v>0.18</v>
      </c>
      <c r="CI45" s="20">
        <v>0.18</v>
      </c>
      <c r="CJ45" s="20">
        <v>0.18</v>
      </c>
      <c r="CK45" s="20">
        <v>0.18</v>
      </c>
      <c r="CL45" s="20">
        <v>0.18</v>
      </c>
      <c r="CM45" s="20">
        <v>0.18</v>
      </c>
      <c r="CN45" s="20">
        <v>0.18</v>
      </c>
      <c r="CO45" s="20">
        <v>0.18</v>
      </c>
      <c r="CP45" s="20">
        <v>0.18</v>
      </c>
      <c r="CQ45" s="20">
        <v>0.18</v>
      </c>
    </row>
    <row r="46" spans="2:98">
      <c r="B46" s="1" t="s">
        <v>190</v>
      </c>
      <c r="C46" s="8"/>
      <c r="D46" s="8"/>
      <c r="E46" s="8"/>
      <c r="F46" s="8"/>
      <c r="G46" s="8">
        <f t="shared" ref="G46:U46" si="180">G37/C37-1</f>
        <v>1.6180904522613067</v>
      </c>
      <c r="H46" s="8">
        <f t="shared" si="180"/>
        <v>0.18506834910620396</v>
      </c>
      <c r="I46" s="8">
        <f t="shared" si="180"/>
        <v>6.7553735926304981E-2</v>
      </c>
      <c r="J46" s="8">
        <f t="shared" si="180"/>
        <v>9.0342679127725756E-2</v>
      </c>
      <c r="K46" s="8">
        <f t="shared" si="180"/>
        <v>-0.31765834932821502</v>
      </c>
      <c r="L46" s="8">
        <f t="shared" si="180"/>
        <v>-0.32209405501330968</v>
      </c>
      <c r="M46" s="8">
        <f t="shared" si="180"/>
        <v>7.1907957813998058E-2</v>
      </c>
      <c r="N46" s="8">
        <f t="shared" si="180"/>
        <v>0.18476190476190468</v>
      </c>
      <c r="O46" s="8">
        <f t="shared" si="180"/>
        <v>0.40506329113924044</v>
      </c>
      <c r="P46" s="8">
        <f t="shared" si="180"/>
        <v>0.48298429319371738</v>
      </c>
      <c r="Q46" s="8">
        <f t="shared" si="180"/>
        <v>4.4722719141323752E-2</v>
      </c>
      <c r="R46" s="8">
        <f t="shared" si="180"/>
        <v>0.38906752411575574</v>
      </c>
      <c r="S46" s="8">
        <f t="shared" si="180"/>
        <v>0.16916916916916924</v>
      </c>
      <c r="T46" s="8">
        <f t="shared" si="180"/>
        <v>0.16946160635481022</v>
      </c>
      <c r="U46" s="8">
        <f t="shared" si="180"/>
        <v>0.19092465753424648</v>
      </c>
      <c r="V46" s="8">
        <f>V37/R37-1</f>
        <v>-0.16608796296296291</v>
      </c>
      <c r="AN46" s="7"/>
      <c r="AO46" s="8">
        <f>AO37/AN37-1</f>
        <v>3.3611774065234634E-2</v>
      </c>
      <c r="AP46" s="8">
        <f>AP37/AO37-1</f>
        <v>3.6944390994804621E-2</v>
      </c>
      <c r="AQ46" s="8">
        <f>AQ37/AP37-1</f>
        <v>4.1380590090925873E-2</v>
      </c>
      <c r="AR46" s="8">
        <f>AR37/AQ37-1</f>
        <v>-5.1140413399857421E-2</v>
      </c>
      <c r="AS46" s="20"/>
      <c r="AT46" s="20"/>
      <c r="AU46" s="20"/>
      <c r="AV46" s="20"/>
      <c r="AW46" s="20"/>
      <c r="AX46" s="20"/>
      <c r="AY46" s="20"/>
      <c r="AZ46" s="20"/>
      <c r="BA46" s="20"/>
      <c r="BB46" s="20"/>
      <c r="BC46" s="20"/>
      <c r="BD46" s="20"/>
      <c r="BE46" s="20"/>
      <c r="BF46" s="20"/>
      <c r="BG46" s="20"/>
      <c r="BH46" s="20"/>
      <c r="BI46" s="20"/>
      <c r="BJ46" s="20"/>
      <c r="BK46" s="20"/>
      <c r="BL46" s="20"/>
      <c r="BM46" s="20"/>
      <c r="BN46" s="20"/>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14"/>
      <c r="CM46" s="14"/>
      <c r="CN46" s="14"/>
      <c r="CO46" s="14"/>
      <c r="CP46" s="14"/>
      <c r="CQ46" s="14"/>
    </row>
    <row r="47" spans="2:98" ht="13.9">
      <c r="B47" s="2" t="s">
        <v>70</v>
      </c>
      <c r="C47" s="10">
        <f t="shared" ref="C47:V47" si="181">C41/C29</f>
        <v>1.8189692507579038E-2</v>
      </c>
      <c r="D47" s="10">
        <f t="shared" si="181"/>
        <v>0.29081923588671355</v>
      </c>
      <c r="E47" s="10">
        <f t="shared" si="181"/>
        <v>0.18703059168345851</v>
      </c>
      <c r="F47" s="10">
        <f t="shared" si="181"/>
        <v>0.25621321124918245</v>
      </c>
      <c r="G47" s="10">
        <f t="shared" si="181"/>
        <v>0.1818332504558263</v>
      </c>
      <c r="H47" s="10">
        <f t="shared" si="181"/>
        <v>0.18980442449503046</v>
      </c>
      <c r="I47" s="10">
        <f t="shared" si="181"/>
        <v>0.17583306373341961</v>
      </c>
      <c r="J47" s="10">
        <f t="shared" si="181"/>
        <v>0.11578490893321769</v>
      </c>
      <c r="K47" s="10">
        <f t="shared" si="181"/>
        <v>7.8513034089156261E-2</v>
      </c>
      <c r="L47" s="10">
        <f t="shared" si="181"/>
        <v>-5.0102850426094622E-2</v>
      </c>
      <c r="M47" s="10">
        <f t="shared" si="181"/>
        <v>0.19427402862985685</v>
      </c>
      <c r="N47" s="10">
        <f t="shared" si="181"/>
        <v>0.12474603819585535</v>
      </c>
      <c r="O47" s="10">
        <f t="shared" si="181"/>
        <v>0.11292613636363637</v>
      </c>
      <c r="P47" s="10">
        <f t="shared" si="181"/>
        <v>0.14121037463976946</v>
      </c>
      <c r="Q47" s="10">
        <f t="shared" si="181"/>
        <v>0.13750337018064168</v>
      </c>
      <c r="R47" s="10">
        <f t="shared" si="181"/>
        <v>0.17468228258160975</v>
      </c>
      <c r="S47" s="10">
        <f t="shared" si="181"/>
        <v>0.11533965450058449</v>
      </c>
      <c r="T47" s="10">
        <f t="shared" si="181"/>
        <v>0.14305643627140138</v>
      </c>
      <c r="U47" s="10">
        <f t="shared" si="181"/>
        <v>0.12871160953230534</v>
      </c>
      <c r="V47" s="10">
        <f t="shared" si="181"/>
        <v>0.13399474061678221</v>
      </c>
      <c r="AN47" s="7">
        <f>AN41/AN29</f>
        <v>0.14262201471230393</v>
      </c>
      <c r="AO47" s="7">
        <f>AO41/AO29</f>
        <v>0.14258954978639501</v>
      </c>
      <c r="AP47" s="7">
        <f>AP41/AP29</f>
        <v>0.14303210003867475</v>
      </c>
      <c r="AQ47" s="7">
        <f>AQ41/AQ29</f>
        <v>0.14076358203261596</v>
      </c>
      <c r="AR47" s="7">
        <f>AR41/AR29</f>
        <v>0.13042110890964556</v>
      </c>
      <c r="AS47" s="20"/>
      <c r="AT47" s="20"/>
      <c r="AU47" s="20"/>
      <c r="AV47" s="20"/>
      <c r="AW47" s="20"/>
      <c r="AX47" s="20"/>
      <c r="AY47" s="20"/>
      <c r="AZ47" s="20"/>
      <c r="BA47" s="20"/>
      <c r="BB47" s="20"/>
      <c r="BC47" s="20"/>
      <c r="BD47" s="20"/>
      <c r="BE47" s="20"/>
      <c r="BF47" s="20"/>
      <c r="BG47" s="20"/>
      <c r="BH47" s="20"/>
      <c r="BI47" s="20"/>
      <c r="BJ47" s="20"/>
      <c r="BK47" s="20"/>
      <c r="BL47" s="20"/>
      <c r="BM47" s="20"/>
      <c r="BN47" s="20"/>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14"/>
      <c r="CM47" s="14"/>
      <c r="CN47" s="14"/>
      <c r="CO47" s="14"/>
      <c r="CP47" s="14"/>
      <c r="CQ47" s="14"/>
    </row>
    <row r="48" spans="2:98">
      <c r="B48" s="1" t="s">
        <v>191</v>
      </c>
      <c r="C48" s="8"/>
      <c r="D48" s="8"/>
      <c r="E48" s="8"/>
      <c r="F48" s="8"/>
      <c r="G48" s="8">
        <f>G41/C41-1</f>
        <v>12.05952380952381</v>
      </c>
      <c r="H48" s="8">
        <f t="shared" ref="H48:U48" si="182">H41/D41-1</f>
        <v>-0.22614379084967318</v>
      </c>
      <c r="I48" s="8">
        <f t="shared" si="182"/>
        <v>6.4642507345739508E-2</v>
      </c>
      <c r="J48" s="8">
        <f t="shared" si="182"/>
        <v>-0.48883216336949586</v>
      </c>
      <c r="K48" s="8">
        <f t="shared" si="182"/>
        <v>-0.53600729261622604</v>
      </c>
      <c r="L48" s="8">
        <f t="shared" si="182"/>
        <v>-1.2880067567567568</v>
      </c>
      <c r="M48" s="8">
        <f t="shared" si="182"/>
        <v>0.2235510579576816</v>
      </c>
      <c r="N48" s="8">
        <f t="shared" si="182"/>
        <v>0.14981273408239693</v>
      </c>
      <c r="O48" s="8">
        <f t="shared" si="182"/>
        <v>0.56188605108055012</v>
      </c>
      <c r="P48" s="8">
        <f t="shared" si="182"/>
        <v>-4.0175953079178885</v>
      </c>
      <c r="Q48" s="8">
        <f t="shared" si="182"/>
        <v>-0.23308270676691734</v>
      </c>
      <c r="R48" s="8">
        <f t="shared" si="182"/>
        <v>0.5222584147665581</v>
      </c>
      <c r="S48" s="8">
        <f t="shared" si="182"/>
        <v>0.11698113207547167</v>
      </c>
      <c r="T48" s="8">
        <f t="shared" si="182"/>
        <v>9.6209912536443065E-2</v>
      </c>
      <c r="U48" s="8">
        <f t="shared" si="182"/>
        <v>-9.8039215686274161E-3</v>
      </c>
      <c r="V48" s="8">
        <f>V41/R41-1</f>
        <v>-0.20042796005706132</v>
      </c>
      <c r="AN48" s="7"/>
      <c r="AO48" s="8">
        <f>AO41/AN41-1</f>
        <v>2.1902967498822479E-2</v>
      </c>
      <c r="AP48" s="8">
        <f>AP41/AO41-1</f>
        <v>2.2816317123761198E-2</v>
      </c>
      <c r="AQ48" s="8">
        <f>AQ41/AP41-1</f>
        <v>-2.2532672374944163E-3</v>
      </c>
      <c r="AR48" s="8">
        <f>AR41/AQ41-1</f>
        <v>-6.3459801264679316E-2</v>
      </c>
      <c r="AS48" s="20"/>
      <c r="AT48" s="20"/>
      <c r="AU48" s="20"/>
      <c r="AV48" s="20"/>
      <c r="AW48" s="20"/>
      <c r="AX48" s="20"/>
      <c r="AY48" s="20"/>
      <c r="AZ48" s="20"/>
      <c r="BA48" s="20"/>
      <c r="BB48" s="20"/>
      <c r="BC48" s="20"/>
      <c r="BD48" s="20"/>
      <c r="BE48" s="20"/>
      <c r="BF48" s="20"/>
      <c r="BG48" s="20"/>
      <c r="BH48" s="20"/>
      <c r="BI48" s="20"/>
      <c r="BJ48" s="20"/>
      <c r="BK48" s="20"/>
      <c r="BL48" s="20"/>
      <c r="BM48" s="20"/>
      <c r="BN48" s="20"/>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14"/>
      <c r="CM48" s="14"/>
      <c r="CN48" s="14"/>
      <c r="CO48" s="14"/>
      <c r="CP48" s="14"/>
      <c r="CQ48" s="14"/>
    </row>
    <row r="49" spans="2:95">
      <c r="C49" s="8"/>
      <c r="D49" s="8"/>
      <c r="E49" s="8"/>
      <c r="F49" s="8"/>
      <c r="G49" s="8"/>
      <c r="H49" s="8"/>
      <c r="I49" s="8"/>
      <c r="J49" s="8"/>
      <c r="K49" s="8"/>
      <c r="L49" s="8"/>
      <c r="M49" s="8"/>
      <c r="N49" s="8"/>
      <c r="O49" s="8"/>
      <c r="P49" s="8"/>
      <c r="Q49" s="8"/>
      <c r="R49" s="8"/>
      <c r="S49" s="8"/>
      <c r="T49" s="8"/>
      <c r="U49" s="8"/>
      <c r="V49" s="8"/>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14"/>
      <c r="CM49" s="14"/>
      <c r="CN49" s="14"/>
      <c r="CO49" s="14"/>
      <c r="CP49" s="14"/>
      <c r="CQ49" s="14"/>
    </row>
    <row r="50" spans="2:95">
      <c r="B50" s="1" t="s">
        <v>101</v>
      </c>
      <c r="J50" s="1">
        <v>4794</v>
      </c>
      <c r="K50" s="1">
        <v>5717</v>
      </c>
      <c r="L50" s="1">
        <v>5745</v>
      </c>
      <c r="M50" s="1">
        <v>7782</v>
      </c>
      <c r="N50" s="1">
        <v>7776</v>
      </c>
      <c r="O50" s="1">
        <v>7101</v>
      </c>
      <c r="P50" s="1">
        <v>5504</v>
      </c>
      <c r="Q50" s="1">
        <v>6816</v>
      </c>
      <c r="R50" s="1">
        <v>9081</v>
      </c>
      <c r="S50" s="1">
        <v>9693</v>
      </c>
      <c r="T50" s="1">
        <v>7701</v>
      </c>
      <c r="U50" s="1">
        <v>7272</v>
      </c>
      <c r="V50" s="1">
        <v>6561</v>
      </c>
      <c r="AO50" s="1">
        <v>4794</v>
      </c>
      <c r="AP50" s="1">
        <v>7776</v>
      </c>
      <c r="AQ50" s="1">
        <v>9081</v>
      </c>
      <c r="AR50" s="1">
        <v>6561</v>
      </c>
      <c r="AS50" s="14"/>
      <c r="AT50" s="14" t="s">
        <v>171</v>
      </c>
      <c r="AU50" s="16">
        <v>8.5000000000000006E-2</v>
      </c>
      <c r="AV50" s="14"/>
      <c r="AW50" s="14"/>
      <c r="AX50" s="14"/>
      <c r="AY50" s="14"/>
      <c r="AZ50" s="14"/>
      <c r="BA50" s="14"/>
      <c r="BB50" s="14"/>
      <c r="BC50" s="14"/>
      <c r="BD50" s="14"/>
      <c r="BE50" s="14"/>
      <c r="BF50" s="14"/>
      <c r="BG50" s="14"/>
      <c r="BH50" s="14"/>
      <c r="BI50" s="14"/>
      <c r="BJ50" s="14"/>
      <c r="BK50" s="14"/>
      <c r="BL50" s="14"/>
      <c r="BM50" s="14"/>
      <c r="BN50" s="14"/>
      <c r="BO50" s="19"/>
      <c r="BP50" s="14"/>
      <c r="BQ50" s="14"/>
      <c r="BR50" s="14"/>
      <c r="BS50" s="14"/>
      <c r="BT50" s="14"/>
      <c r="BU50" s="14"/>
      <c r="BV50" s="14"/>
      <c r="BW50" s="14"/>
      <c r="BX50" s="14"/>
      <c r="BY50" s="14"/>
      <c r="BZ50" s="14"/>
      <c r="CA50" s="14"/>
      <c r="CB50" s="14"/>
      <c r="CC50" s="14"/>
      <c r="CD50" s="14"/>
      <c r="CE50" s="14"/>
      <c r="CF50" s="14"/>
      <c r="CG50" s="14"/>
      <c r="CH50" s="14"/>
      <c r="CI50" s="14"/>
      <c r="CJ50" s="14"/>
      <c r="CK50" s="14"/>
      <c r="CL50" s="14"/>
      <c r="CM50" s="14"/>
      <c r="CN50" s="14"/>
      <c r="CO50" s="14"/>
      <c r="CP50" s="14"/>
      <c r="CQ50" s="14"/>
    </row>
    <row r="51" spans="2:95">
      <c r="B51" s="1" t="s">
        <v>71</v>
      </c>
      <c r="J51" s="1">
        <v>8289</v>
      </c>
      <c r="K51" s="1">
        <v>7369</v>
      </c>
      <c r="L51" s="1">
        <v>6650</v>
      </c>
      <c r="M51" s="1">
        <v>5510</v>
      </c>
      <c r="N51" s="1">
        <v>3092</v>
      </c>
      <c r="O51" s="1">
        <v>3559</v>
      </c>
      <c r="P51" s="1">
        <v>4398</v>
      </c>
      <c r="Q51" s="1">
        <v>4731</v>
      </c>
      <c r="R51" s="1">
        <v>4979</v>
      </c>
      <c r="S51" s="1">
        <v>4625</v>
      </c>
      <c r="T51" s="1">
        <v>5915</v>
      </c>
      <c r="U51" s="1">
        <v>4647</v>
      </c>
      <c r="V51" s="1">
        <v>4262</v>
      </c>
      <c r="AO51" s="1">
        <v>8289</v>
      </c>
      <c r="AP51" s="1">
        <v>3092</v>
      </c>
      <c r="AQ51" s="1">
        <v>4979</v>
      </c>
      <c r="AR51" s="1">
        <v>4262</v>
      </c>
      <c r="AS51" s="14"/>
      <c r="AT51" s="14" t="s">
        <v>172</v>
      </c>
      <c r="AU51" s="16">
        <v>0.02</v>
      </c>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c r="CJ51" s="14"/>
      <c r="CK51" s="14"/>
      <c r="CL51" s="14"/>
      <c r="CM51" s="14"/>
      <c r="CN51" s="14"/>
      <c r="CO51" s="14"/>
      <c r="CP51" s="14"/>
      <c r="CQ51" s="14"/>
    </row>
    <row r="52" spans="2:95">
      <c r="B52" s="1" t="s">
        <v>94</v>
      </c>
      <c r="J52" s="1">
        <v>577</v>
      </c>
      <c r="K52" s="1">
        <v>674</v>
      </c>
      <c r="L52" s="1">
        <v>693</v>
      </c>
      <c r="M52" s="1">
        <v>736</v>
      </c>
      <c r="N52" s="1">
        <v>963</v>
      </c>
      <c r="O52" s="1">
        <v>967</v>
      </c>
      <c r="P52" s="1">
        <v>928</v>
      </c>
      <c r="Q52" s="1">
        <v>988</v>
      </c>
      <c r="R52" s="1">
        <v>1069</v>
      </c>
      <c r="S52" s="1">
        <v>1108</v>
      </c>
      <c r="T52" s="1">
        <v>987</v>
      </c>
      <c r="U52" s="1">
        <v>1038</v>
      </c>
      <c r="V52" s="1">
        <v>984</v>
      </c>
      <c r="AO52" s="1">
        <v>577</v>
      </c>
      <c r="AP52" s="1">
        <v>963</v>
      </c>
      <c r="AQ52" s="1">
        <v>1069</v>
      </c>
      <c r="AR52" s="1">
        <v>984</v>
      </c>
      <c r="AS52" s="14"/>
      <c r="AT52" s="14" t="s">
        <v>173</v>
      </c>
      <c r="AU52" s="17">
        <f>NPV(AU50,AS41:CQ41)</f>
        <v>86107.083930199835</v>
      </c>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c r="CJ52" s="14"/>
      <c r="CK52" s="14"/>
      <c r="CL52" s="14"/>
      <c r="CM52" s="14"/>
      <c r="CN52" s="14"/>
      <c r="CO52" s="14"/>
      <c r="CP52" s="14"/>
      <c r="CQ52" s="14"/>
    </row>
    <row r="53" spans="2:95">
      <c r="B53" s="1" t="s">
        <v>102</v>
      </c>
      <c r="J53" s="1">
        <v>0</v>
      </c>
      <c r="K53" s="1">
        <v>0</v>
      </c>
      <c r="L53" s="1">
        <v>0</v>
      </c>
      <c r="M53" s="1">
        <v>0</v>
      </c>
      <c r="N53" s="1">
        <v>0</v>
      </c>
      <c r="O53" s="1">
        <v>0</v>
      </c>
      <c r="P53" s="1">
        <v>1903</v>
      </c>
      <c r="Q53" s="1">
        <v>2165</v>
      </c>
      <c r="R53" s="1">
        <v>563</v>
      </c>
      <c r="S53" s="1">
        <v>307</v>
      </c>
      <c r="T53" s="1">
        <v>369</v>
      </c>
      <c r="U53" s="1">
        <v>471</v>
      </c>
      <c r="V53" s="1">
        <v>541</v>
      </c>
      <c r="AO53" s="1">
        <v>0</v>
      </c>
      <c r="AP53" s="1">
        <v>0</v>
      </c>
      <c r="AQ53" s="1">
        <v>563</v>
      </c>
      <c r="AR53" s="1">
        <v>541</v>
      </c>
      <c r="AS53" s="14"/>
      <c r="AT53" s="14" t="s">
        <v>174</v>
      </c>
      <c r="AU53" s="17">
        <v>989</v>
      </c>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14"/>
      <c r="CM53" s="14"/>
      <c r="CN53" s="14"/>
      <c r="CO53" s="14"/>
      <c r="CP53" s="14"/>
      <c r="CQ53" s="14"/>
    </row>
    <row r="54" spans="2:95">
      <c r="B54" s="1" t="s">
        <v>103</v>
      </c>
      <c r="J54" s="1">
        <v>2769</v>
      </c>
      <c r="K54" s="1">
        <v>2731</v>
      </c>
      <c r="L54" s="1">
        <v>3283</v>
      </c>
      <c r="M54" s="1">
        <v>3713</v>
      </c>
      <c r="N54" s="1">
        <v>7431</v>
      </c>
      <c r="O54" s="1">
        <v>7495</v>
      </c>
      <c r="P54" s="1">
        <v>5547</v>
      </c>
      <c r="Q54" s="1">
        <v>5066</v>
      </c>
      <c r="R54" s="1">
        <v>5433</v>
      </c>
      <c r="S54" s="1">
        <v>5202</v>
      </c>
      <c r="T54" s="1">
        <v>5319</v>
      </c>
      <c r="U54" s="1">
        <v>6003</v>
      </c>
      <c r="V54" s="1">
        <v>6422</v>
      </c>
      <c r="AO54" s="1">
        <v>2769</v>
      </c>
      <c r="AP54" s="1">
        <v>7431</v>
      </c>
      <c r="AQ54" s="1">
        <v>5433</v>
      </c>
      <c r="AR54" s="1">
        <v>6422</v>
      </c>
      <c r="AS54" s="14"/>
      <c r="AT54" s="14" t="s">
        <v>175</v>
      </c>
      <c r="AU54" s="18">
        <f>AU52/AU53</f>
        <v>87.06479669383198</v>
      </c>
      <c r="AV54" s="14"/>
      <c r="AW54" s="19"/>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c r="CJ54" s="14"/>
      <c r="CK54" s="14"/>
      <c r="CL54" s="14"/>
      <c r="CM54" s="14"/>
      <c r="CN54" s="14"/>
      <c r="CO54" s="14"/>
      <c r="CP54" s="14"/>
      <c r="CQ54" s="14"/>
    </row>
    <row r="55" spans="2:95">
      <c r="B55" s="1" t="s">
        <v>104</v>
      </c>
      <c r="J55" s="1">
        <v>33418</v>
      </c>
      <c r="K55" s="1">
        <v>35623</v>
      </c>
      <c r="L55" s="1">
        <v>35670</v>
      </c>
      <c r="M55" s="1">
        <v>35104</v>
      </c>
      <c r="N55" s="1">
        <v>36264</v>
      </c>
      <c r="O55" s="1">
        <v>35276</v>
      </c>
      <c r="P55" s="1">
        <v>33643</v>
      </c>
      <c r="Q55" s="1">
        <v>34641</v>
      </c>
      <c r="R55" s="1">
        <v>38935</v>
      </c>
      <c r="S55" s="1">
        <v>38353</v>
      </c>
      <c r="T55" s="1">
        <v>38727</v>
      </c>
      <c r="U55" s="1">
        <v>39182</v>
      </c>
      <c r="V55" s="1">
        <v>37671</v>
      </c>
      <c r="AO55" s="1">
        <v>33418</v>
      </c>
      <c r="AP55" s="1">
        <v>36264</v>
      </c>
      <c r="AQ55" s="1">
        <v>38935</v>
      </c>
      <c r="AR55" s="1">
        <v>37671</v>
      </c>
      <c r="AS55" s="14"/>
      <c r="AT55" s="14" t="s">
        <v>207</v>
      </c>
      <c r="AU55" s="18">
        <v>62.57</v>
      </c>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row>
    <row r="56" spans="2:95">
      <c r="B56" s="1" t="s">
        <v>96</v>
      </c>
      <c r="J56" s="1">
        <v>1148</v>
      </c>
      <c r="K56" s="1">
        <v>1318</v>
      </c>
      <c r="L56" s="1">
        <v>1190</v>
      </c>
      <c r="M56" s="1">
        <v>1285</v>
      </c>
      <c r="N56" s="1">
        <v>1898</v>
      </c>
      <c r="O56" s="1">
        <v>2162</v>
      </c>
      <c r="P56" s="1">
        <v>2202</v>
      </c>
      <c r="Q56" s="1">
        <v>2228</v>
      </c>
      <c r="R56" s="1">
        <v>2509</v>
      </c>
      <c r="S56" s="1">
        <v>4418</v>
      </c>
      <c r="T56" s="1">
        <v>3954</v>
      </c>
      <c r="U56" s="1">
        <v>4060</v>
      </c>
      <c r="V56" s="1">
        <v>4651</v>
      </c>
      <c r="AO56" s="1">
        <v>1148</v>
      </c>
      <c r="AP56" s="1">
        <v>1898</v>
      </c>
      <c r="AQ56" s="1">
        <v>2509</v>
      </c>
      <c r="AR56" s="1">
        <v>4651</v>
      </c>
      <c r="AS56" s="14"/>
      <c r="AT56" s="14"/>
      <c r="AU56" s="16">
        <f>AU54/AU55-1</f>
        <v>0.39147829141492685</v>
      </c>
      <c r="AV56" s="14" t="str">
        <f>IF(AU56&gt;0,"Upside","Downside")</f>
        <v>Upside</v>
      </c>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row>
    <row r="57" spans="2:95">
      <c r="B57" s="1" t="s">
        <v>109</v>
      </c>
      <c r="J57" s="1">
        <v>6089</v>
      </c>
      <c r="K57" s="1">
        <v>5994</v>
      </c>
      <c r="L57" s="1">
        <v>6968</v>
      </c>
      <c r="M57" s="1">
        <v>6753</v>
      </c>
      <c r="N57" s="1">
        <v>5018</v>
      </c>
      <c r="O57" s="1">
        <v>4632</v>
      </c>
      <c r="P57" s="1">
        <v>4543</v>
      </c>
      <c r="Q57" s="1">
        <v>3855</v>
      </c>
      <c r="R57" s="1">
        <v>3273</v>
      </c>
      <c r="S57" s="1">
        <v>3409</v>
      </c>
      <c r="T57" s="1">
        <v>4653</v>
      </c>
      <c r="U57" s="1">
        <v>4282</v>
      </c>
      <c r="V57" s="1">
        <v>4583</v>
      </c>
      <c r="AO57" s="1">
        <v>6089</v>
      </c>
      <c r="AP57" s="1">
        <v>5018</v>
      </c>
      <c r="AQ57" s="1">
        <v>3273</v>
      </c>
      <c r="AR57" s="1">
        <v>4583</v>
      </c>
      <c r="AS57" s="14"/>
      <c r="AT57" s="14"/>
      <c r="AU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c r="CJ57" s="14"/>
      <c r="CK57" s="14"/>
      <c r="CL57" s="14"/>
      <c r="CM57" s="14"/>
      <c r="CN57" s="14"/>
      <c r="CO57" s="14"/>
      <c r="CP57" s="14"/>
      <c r="CQ57" s="14"/>
    </row>
    <row r="58" spans="2:95">
      <c r="B58" s="1" t="s">
        <v>75</v>
      </c>
      <c r="J58" s="1">
        <v>1807</v>
      </c>
      <c r="K58" s="1">
        <v>1806</v>
      </c>
      <c r="L58" s="1">
        <v>1848</v>
      </c>
      <c r="M58" s="1">
        <v>1900</v>
      </c>
      <c r="N58" s="1">
        <v>1730</v>
      </c>
      <c r="O58" s="1">
        <v>1633</v>
      </c>
      <c r="P58" s="1">
        <v>1589</v>
      </c>
      <c r="Q58" s="1">
        <v>1529</v>
      </c>
      <c r="R58" s="1">
        <v>1488</v>
      </c>
      <c r="S58" s="1">
        <v>1426</v>
      </c>
      <c r="T58" s="1">
        <v>1459</v>
      </c>
      <c r="U58" s="1">
        <v>1496</v>
      </c>
      <c r="V58" s="1">
        <v>1508</v>
      </c>
      <c r="AO58" s="1">
        <v>1807</v>
      </c>
      <c r="AP58" s="1">
        <v>1730</v>
      </c>
      <c r="AQ58" s="1">
        <v>1488</v>
      </c>
      <c r="AR58" s="1">
        <v>1508</v>
      </c>
      <c r="AS58" s="14"/>
      <c r="AT58" s="14"/>
      <c r="AU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row>
    <row r="59" spans="2:95">
      <c r="B59" s="1" t="s">
        <v>76</v>
      </c>
      <c r="J59" s="1">
        <v>9135</v>
      </c>
      <c r="K59" s="1">
        <v>9117</v>
      </c>
      <c r="L59" s="1">
        <v>9564</v>
      </c>
      <c r="M59" s="1">
        <v>9550</v>
      </c>
      <c r="N59" s="1">
        <v>11209</v>
      </c>
      <c r="O59" s="1">
        <v>11195</v>
      </c>
      <c r="P59" s="1">
        <v>11067</v>
      </c>
      <c r="Q59" s="1">
        <v>10935</v>
      </c>
      <c r="R59" s="1">
        <v>11026</v>
      </c>
      <c r="S59" s="1">
        <v>10916</v>
      </c>
      <c r="T59" s="1">
        <v>10816</v>
      </c>
      <c r="U59" s="1">
        <v>10996</v>
      </c>
      <c r="V59" s="1">
        <v>10837</v>
      </c>
      <c r="AO59" s="1">
        <v>9135</v>
      </c>
      <c r="AP59" s="1">
        <v>11209</v>
      </c>
      <c r="AQ59" s="1">
        <v>11026</v>
      </c>
      <c r="AR59" s="1">
        <v>10837</v>
      </c>
      <c r="AS59" s="14"/>
      <c r="AT59" s="14"/>
      <c r="AU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c r="CJ59" s="14"/>
      <c r="CK59" s="14"/>
      <c r="CL59" s="14"/>
      <c r="CM59" s="14"/>
      <c r="CN59" s="14"/>
      <c r="CO59" s="14"/>
      <c r="CP59" s="14"/>
      <c r="CQ59" s="14"/>
    </row>
    <row r="60" spans="2:95">
      <c r="B60" s="1" t="s">
        <v>77</v>
      </c>
      <c r="J60" s="1">
        <v>1048</v>
      </c>
      <c r="K60" s="1">
        <v>938</v>
      </c>
      <c r="L60" s="1">
        <v>920</v>
      </c>
      <c r="M60" s="1">
        <v>808</v>
      </c>
      <c r="N60" s="1">
        <v>788</v>
      </c>
      <c r="O60" s="1">
        <v>730</v>
      </c>
      <c r="P60" s="1">
        <v>640</v>
      </c>
      <c r="Q60" s="1">
        <v>564</v>
      </c>
      <c r="R60" s="1">
        <v>537</v>
      </c>
      <c r="S60" s="1">
        <v>465</v>
      </c>
      <c r="T60" s="1">
        <v>403</v>
      </c>
      <c r="U60" s="1">
        <v>393</v>
      </c>
      <c r="V60" s="1">
        <v>326</v>
      </c>
      <c r="AO60" s="1">
        <v>1048</v>
      </c>
      <c r="AP60" s="1">
        <v>788</v>
      </c>
      <c r="AQ60" s="1">
        <v>537</v>
      </c>
      <c r="AR60" s="1">
        <v>326</v>
      </c>
      <c r="AS60" s="14"/>
      <c r="AT60" s="14"/>
      <c r="AU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c r="CJ60" s="14"/>
      <c r="CK60" s="14"/>
      <c r="CL60" s="14"/>
      <c r="CM60" s="14"/>
      <c r="CN60" s="14"/>
      <c r="CO60" s="14"/>
      <c r="CP60" s="14"/>
      <c r="CQ60" s="14"/>
    </row>
    <row r="61" spans="2:95">
      <c r="B61" s="1" t="s">
        <v>78</v>
      </c>
      <c r="J61" s="1">
        <v>1305</v>
      </c>
      <c r="K61" s="1">
        <v>1230</v>
      </c>
      <c r="L61" s="1">
        <v>1285</v>
      </c>
      <c r="M61" s="1">
        <v>1393</v>
      </c>
      <c r="N61" s="1">
        <v>2455</v>
      </c>
      <c r="O61" s="1">
        <v>2436</v>
      </c>
      <c r="P61" s="1">
        <v>2615</v>
      </c>
      <c r="Q61" s="1">
        <v>2922</v>
      </c>
      <c r="R61" s="1">
        <v>3273</v>
      </c>
      <c r="S61" s="1">
        <v>3425</v>
      </c>
      <c r="T61" s="1">
        <v>3713</v>
      </c>
      <c r="U61" s="1">
        <v>3671</v>
      </c>
      <c r="V61" s="1">
        <v>3265</v>
      </c>
      <c r="AO61" s="1">
        <v>1305</v>
      </c>
      <c r="AP61" s="1">
        <v>2455</v>
      </c>
      <c r="AQ61" s="1">
        <v>3273</v>
      </c>
      <c r="AR61" s="1">
        <v>3265</v>
      </c>
      <c r="AS61" s="14"/>
      <c r="AT61" s="14"/>
      <c r="AU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row>
    <row r="62" spans="2:95" ht="13.9">
      <c r="B62" s="2" t="s">
        <v>79</v>
      </c>
      <c r="J62" s="1">
        <f t="shared" ref="J62:V62" si="183">SUM(J50:J61)</f>
        <v>70379</v>
      </c>
      <c r="K62" s="1">
        <f t="shared" si="183"/>
        <v>72517</v>
      </c>
      <c r="L62" s="1">
        <f t="shared" si="183"/>
        <v>73816</v>
      </c>
      <c r="M62" s="1">
        <f t="shared" si="183"/>
        <v>74534</v>
      </c>
      <c r="N62" s="1">
        <f t="shared" si="183"/>
        <v>78624</v>
      </c>
      <c r="O62" s="1">
        <f t="shared" si="183"/>
        <v>77186</v>
      </c>
      <c r="P62" s="1">
        <f t="shared" si="183"/>
        <v>74579</v>
      </c>
      <c r="Q62" s="1">
        <f t="shared" si="183"/>
        <v>76440</v>
      </c>
      <c r="R62" s="1">
        <f t="shared" si="183"/>
        <v>82166</v>
      </c>
      <c r="S62" s="1">
        <f t="shared" si="183"/>
        <v>83347</v>
      </c>
      <c r="T62" s="1">
        <f t="shared" si="183"/>
        <v>84016</v>
      </c>
      <c r="U62" s="1">
        <f t="shared" si="183"/>
        <v>83511</v>
      </c>
      <c r="V62" s="1">
        <f t="shared" si="183"/>
        <v>81611</v>
      </c>
      <c r="AO62" s="1">
        <f t="shared" ref="AO62" si="184">SUM(AO50:AO61)</f>
        <v>70379</v>
      </c>
      <c r="AP62" s="1">
        <f t="shared" ref="AP62" si="185">SUM(AP50:AP61)</f>
        <v>78624</v>
      </c>
      <c r="AQ62" s="1">
        <f t="shared" ref="AQ62" si="186">SUM(AQ50:AQ61)</f>
        <v>82166</v>
      </c>
      <c r="AR62" s="1">
        <f t="shared" ref="AR62" si="187">SUM(AR50:AR61)</f>
        <v>81611</v>
      </c>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row>
    <row r="64" spans="2:95">
      <c r="B64" s="1" t="s">
        <v>93</v>
      </c>
      <c r="J64" s="1">
        <v>252</v>
      </c>
      <c r="K64" s="1">
        <v>191</v>
      </c>
      <c r="L64" s="1">
        <v>260</v>
      </c>
      <c r="M64" s="1">
        <v>186</v>
      </c>
      <c r="N64" s="1">
        <v>126</v>
      </c>
      <c r="O64" s="1">
        <v>142</v>
      </c>
      <c r="P64" s="1">
        <v>137</v>
      </c>
      <c r="Q64" s="1">
        <v>131</v>
      </c>
      <c r="R64" s="1">
        <v>139</v>
      </c>
      <c r="S64" s="1">
        <v>108</v>
      </c>
      <c r="T64" s="1">
        <v>133</v>
      </c>
      <c r="U64" s="1">
        <v>165</v>
      </c>
      <c r="V64" s="1">
        <v>227</v>
      </c>
      <c r="AO64" s="1">
        <v>252</v>
      </c>
      <c r="AP64" s="1">
        <v>126</v>
      </c>
      <c r="AQ64" s="1">
        <v>139</v>
      </c>
      <c r="AR64" s="1">
        <v>227</v>
      </c>
    </row>
    <row r="65" spans="1:44">
      <c r="B65" s="1" t="s">
        <v>95</v>
      </c>
      <c r="J65" s="1">
        <v>35418</v>
      </c>
      <c r="K65" s="1">
        <v>38323</v>
      </c>
      <c r="L65" s="1">
        <v>38370</v>
      </c>
      <c r="M65" s="1">
        <v>37804</v>
      </c>
      <c r="N65" s="1">
        <v>40014</v>
      </c>
      <c r="O65" s="1">
        <v>39026</v>
      </c>
      <c r="P65" s="1">
        <v>37393</v>
      </c>
      <c r="Q65" s="1">
        <v>38641</v>
      </c>
      <c r="R65" s="1">
        <v>41935</v>
      </c>
      <c r="S65" s="1">
        <v>41353</v>
      </c>
      <c r="T65" s="1">
        <v>41727</v>
      </c>
      <c r="U65" s="1">
        <v>41182</v>
      </c>
      <c r="V65" s="1">
        <v>39671</v>
      </c>
      <c r="AO65" s="1">
        <v>35418</v>
      </c>
      <c r="AP65" s="1">
        <v>40014</v>
      </c>
      <c r="AQ65" s="1">
        <v>41935</v>
      </c>
      <c r="AR65" s="1">
        <v>39671</v>
      </c>
    </row>
    <row r="66" spans="1:44">
      <c r="B66" s="1" t="s">
        <v>107</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AO66" s="1">
        <f>2648+129</f>
        <v>2777</v>
      </c>
      <c r="AP66" s="1">
        <f>4055+813</f>
        <v>4868</v>
      </c>
      <c r="AQ66" s="1">
        <v>6392</v>
      </c>
      <c r="AR66" s="1">
        <v>8478</v>
      </c>
    </row>
    <row r="67" spans="1:44">
      <c r="B67" s="1" t="s">
        <v>108</v>
      </c>
      <c r="J67" s="1">
        <v>2930</v>
      </c>
      <c r="K67" s="1">
        <v>2794</v>
      </c>
      <c r="L67" s="1">
        <v>2698</v>
      </c>
      <c r="M67" s="1">
        <v>2800</v>
      </c>
      <c r="N67" s="1">
        <v>2925</v>
      </c>
      <c r="O67" s="1">
        <v>2938</v>
      </c>
      <c r="P67" s="1">
        <v>2615</v>
      </c>
      <c r="Q67" s="1">
        <v>2618</v>
      </c>
      <c r="R67" s="1">
        <v>2973</v>
      </c>
      <c r="S67" s="1">
        <v>3116</v>
      </c>
      <c r="T67" s="1">
        <v>2954</v>
      </c>
      <c r="U67" s="1">
        <v>3093</v>
      </c>
      <c r="V67" s="1">
        <v>2939</v>
      </c>
      <c r="AO67" s="1">
        <v>2930</v>
      </c>
      <c r="AP67" s="1">
        <v>2925</v>
      </c>
      <c r="AQ67" s="1">
        <v>2973</v>
      </c>
      <c r="AR67" s="1">
        <v>2939</v>
      </c>
    </row>
    <row r="68" spans="1:44">
      <c r="B68" s="1" t="s">
        <v>144</v>
      </c>
      <c r="J68" s="1">
        <v>8939</v>
      </c>
      <c r="K68" s="1">
        <v>8942</v>
      </c>
      <c r="L68" s="1">
        <v>8945</v>
      </c>
      <c r="M68" s="1">
        <v>7949</v>
      </c>
      <c r="N68" s="1">
        <v>10417</v>
      </c>
      <c r="O68" s="1">
        <v>10481</v>
      </c>
      <c r="P68" s="1">
        <v>10549</v>
      </c>
      <c r="Q68" s="1">
        <v>10640</v>
      </c>
      <c r="R68" s="1">
        <v>9676</v>
      </c>
      <c r="S68" s="1">
        <v>9683</v>
      </c>
      <c r="T68" s="1">
        <v>9727</v>
      </c>
      <c r="U68" s="1">
        <v>9976</v>
      </c>
      <c r="V68" s="1">
        <v>9879</v>
      </c>
      <c r="AO68" s="1">
        <v>8939</v>
      </c>
      <c r="AP68" s="1">
        <v>10417</v>
      </c>
      <c r="AQ68" s="1">
        <v>9676</v>
      </c>
      <c r="AR68" s="1">
        <v>9879</v>
      </c>
    </row>
    <row r="69" spans="1:44" ht="13.9">
      <c r="B69" s="2" t="s">
        <v>112</v>
      </c>
      <c r="J69" s="1">
        <f t="shared" ref="J69:U69" si="188">SUM(J64:J68)</f>
        <v>50316</v>
      </c>
      <c r="K69" s="1">
        <f>SUM(K64:K68)</f>
        <v>53076</v>
      </c>
      <c r="L69" s="1">
        <f t="shared" si="188"/>
        <v>52911</v>
      </c>
      <c r="M69" s="1">
        <f t="shared" si="188"/>
        <v>52444</v>
      </c>
      <c r="N69" s="1">
        <f t="shared" si="188"/>
        <v>58350</v>
      </c>
      <c r="O69" s="1">
        <f>SUM(O64:O68)</f>
        <v>57328</v>
      </c>
      <c r="P69" s="1">
        <f t="shared" si="188"/>
        <v>54918</v>
      </c>
      <c r="Q69" s="1">
        <f t="shared" si="188"/>
        <v>56700</v>
      </c>
      <c r="R69" s="1">
        <f t="shared" si="188"/>
        <v>61115</v>
      </c>
      <c r="S69" s="1">
        <f t="shared" si="188"/>
        <v>62645</v>
      </c>
      <c r="T69" s="1">
        <f t="shared" si="188"/>
        <v>63394</v>
      </c>
      <c r="U69" s="1">
        <f t="shared" si="188"/>
        <v>63337</v>
      </c>
      <c r="V69" s="1">
        <f>SUM(V64:V68)</f>
        <v>61194</v>
      </c>
      <c r="AO69" s="1">
        <f t="shared" ref="AO69" si="189">SUM(AO64:AO68)</f>
        <v>50316</v>
      </c>
      <c r="AP69" s="1">
        <f t="shared" ref="AP69" si="190">SUM(AP64:AP68)</f>
        <v>58350</v>
      </c>
      <c r="AQ69" s="1">
        <f t="shared" ref="AQ69" si="191">SUM(AQ64:AQ68)</f>
        <v>61115</v>
      </c>
      <c r="AR69" s="1">
        <f>SUM(AR64:AR68)</f>
        <v>61194</v>
      </c>
    </row>
    <row r="70" spans="1:44">
      <c r="B70" s="1" t="s">
        <v>111</v>
      </c>
      <c r="J70" s="1">
        <v>20063</v>
      </c>
      <c r="K70" s="1">
        <v>19441</v>
      </c>
      <c r="L70" s="1">
        <v>20905</v>
      </c>
      <c r="M70" s="1">
        <v>22090</v>
      </c>
      <c r="N70" s="1">
        <v>20274</v>
      </c>
      <c r="O70" s="1">
        <v>19858</v>
      </c>
      <c r="P70" s="1">
        <v>19661</v>
      </c>
      <c r="Q70" s="1">
        <v>19740</v>
      </c>
      <c r="R70" s="1">
        <v>21051</v>
      </c>
      <c r="S70" s="1">
        <v>20702</v>
      </c>
      <c r="T70" s="1">
        <v>20622</v>
      </c>
      <c r="U70" s="1">
        <v>20174</v>
      </c>
      <c r="V70" s="1">
        <v>20417</v>
      </c>
      <c r="AO70" s="1">
        <v>20063</v>
      </c>
      <c r="AP70" s="1">
        <v>20274</v>
      </c>
      <c r="AQ70" s="1">
        <v>21051</v>
      </c>
      <c r="AR70" s="1">
        <v>20417</v>
      </c>
    </row>
    <row r="71" spans="1:44" ht="13.9">
      <c r="B71" s="2" t="s">
        <v>110</v>
      </c>
      <c r="J71" s="1">
        <f t="shared" ref="J71" si="192">J70+J69</f>
        <v>70379</v>
      </c>
      <c r="K71" s="1">
        <f>K70+K69</f>
        <v>72517</v>
      </c>
      <c r="L71" s="1">
        <f t="shared" ref="L71:V71" si="193">L70+L69</f>
        <v>73816</v>
      </c>
      <c r="M71" s="1">
        <f t="shared" si="193"/>
        <v>74534</v>
      </c>
      <c r="N71" s="1">
        <f t="shared" si="193"/>
        <v>78624</v>
      </c>
      <c r="O71" s="1">
        <f t="shared" si="193"/>
        <v>77186</v>
      </c>
      <c r="P71" s="1">
        <f t="shared" si="193"/>
        <v>74579</v>
      </c>
      <c r="Q71" s="1">
        <f t="shared" si="193"/>
        <v>76440</v>
      </c>
      <c r="R71" s="1">
        <f t="shared" si="193"/>
        <v>82166</v>
      </c>
      <c r="S71" s="1">
        <f t="shared" si="193"/>
        <v>83347</v>
      </c>
      <c r="T71" s="1">
        <f t="shared" si="193"/>
        <v>84016</v>
      </c>
      <c r="U71" s="1">
        <f t="shared" si="193"/>
        <v>83511</v>
      </c>
      <c r="V71" s="1">
        <f t="shared" si="193"/>
        <v>81611</v>
      </c>
      <c r="AO71" s="1">
        <f t="shared" ref="AO71" si="194">AO70+AO69</f>
        <v>70379</v>
      </c>
      <c r="AP71" s="1">
        <f t="shared" ref="AP71" si="195">AP70+AP69</f>
        <v>78624</v>
      </c>
      <c r="AQ71" s="1">
        <f t="shared" ref="AQ71" si="196">AQ70+AQ69</f>
        <v>82166</v>
      </c>
      <c r="AR71" s="1">
        <f t="shared" ref="AR71" si="197">AR70+AR69</f>
        <v>81611</v>
      </c>
    </row>
    <row r="73" spans="1:44">
      <c r="B73" s="1" t="s">
        <v>19</v>
      </c>
      <c r="C73" s="1">
        <f t="shared" ref="C73:U73" si="198">C41</f>
        <v>84</v>
      </c>
      <c r="D73" s="1">
        <f t="shared" si="198"/>
        <v>1530</v>
      </c>
      <c r="E73" s="1">
        <f t="shared" si="198"/>
        <v>1021</v>
      </c>
      <c r="F73" s="1">
        <f t="shared" si="198"/>
        <v>1567</v>
      </c>
      <c r="G73" s="1">
        <f t="shared" si="198"/>
        <v>1097</v>
      </c>
      <c r="H73" s="1">
        <f t="shared" si="198"/>
        <v>1184</v>
      </c>
      <c r="I73" s="1">
        <f t="shared" si="198"/>
        <v>1087</v>
      </c>
      <c r="J73" s="1">
        <f t="shared" si="198"/>
        <v>801</v>
      </c>
      <c r="K73" s="1">
        <f t="shared" si="198"/>
        <v>509</v>
      </c>
      <c r="L73" s="1">
        <f t="shared" si="198"/>
        <v>-341</v>
      </c>
      <c r="M73" s="1">
        <f t="shared" si="198"/>
        <v>1330</v>
      </c>
      <c r="N73" s="1">
        <f t="shared" si="198"/>
        <v>921</v>
      </c>
      <c r="O73" s="1">
        <f t="shared" si="198"/>
        <v>795</v>
      </c>
      <c r="P73" s="1">
        <f t="shared" si="198"/>
        <v>1029</v>
      </c>
      <c r="Q73" s="1">
        <f t="shared" si="198"/>
        <v>1020</v>
      </c>
      <c r="R73" s="1">
        <f t="shared" si="198"/>
        <v>1402</v>
      </c>
      <c r="S73" s="1">
        <f t="shared" si="198"/>
        <v>888</v>
      </c>
      <c r="T73" s="1">
        <f t="shared" si="198"/>
        <v>1128</v>
      </c>
      <c r="U73" s="1">
        <f t="shared" si="198"/>
        <v>1010</v>
      </c>
      <c r="V73" s="1">
        <f>V41</f>
        <v>1121</v>
      </c>
      <c r="AN73" s="1">
        <f>SUM(C73:F73)</f>
        <v>4202</v>
      </c>
      <c r="AO73" s="1">
        <f>SUM(G73:J73)</f>
        <v>4169</v>
      </c>
      <c r="AP73" s="1">
        <f>SUM(K73:N73)</f>
        <v>2419</v>
      </c>
      <c r="AQ73" s="1">
        <f>SUM(O73:R73)</f>
        <v>4246</v>
      </c>
      <c r="AR73" s="1">
        <f>SUM(S73:V73)</f>
        <v>4147</v>
      </c>
    </row>
    <row r="74" spans="1:44">
      <c r="B74" s="1" t="s">
        <v>97</v>
      </c>
      <c r="C74" s="1">
        <v>591</v>
      </c>
      <c r="D74" s="1">
        <f>1031-C74</f>
        <v>440</v>
      </c>
      <c r="E74" s="1">
        <f t="shared" ref="E74:E85" si="199">1184-SUM(C74:D74)</f>
        <v>153</v>
      </c>
      <c r="F74" s="1">
        <f>1741-SUM(C74:E74)</f>
        <v>557</v>
      </c>
      <c r="G74" s="1">
        <v>273</v>
      </c>
      <c r="H74" s="1">
        <f>442-G74</f>
        <v>169</v>
      </c>
      <c r="I74" s="1">
        <f>710-SUM(G74:H74)</f>
        <v>268</v>
      </c>
      <c r="J74" s="1">
        <f>1572-SUM(G74:I74)</f>
        <v>862</v>
      </c>
      <c r="K74" s="1">
        <v>369</v>
      </c>
      <c r="L74" s="1">
        <f>817-K74</f>
        <v>448</v>
      </c>
      <c r="M74" s="1">
        <f>1184-SUM(K74:L74)</f>
        <v>367</v>
      </c>
      <c r="N74" s="1">
        <f>1572-SUM(K74:M74)</f>
        <v>388</v>
      </c>
      <c r="O74" s="1">
        <v>442</v>
      </c>
      <c r="P74" s="1">
        <f>840-O74</f>
        <v>398</v>
      </c>
      <c r="Q74" s="1">
        <f>1286-SUM(O74:P74)</f>
        <v>446</v>
      </c>
      <c r="R74" s="1">
        <f>1682-SUM(O74:Q74)</f>
        <v>396</v>
      </c>
      <c r="S74" s="1">
        <v>321</v>
      </c>
      <c r="T74" s="1">
        <f>656-S74</f>
        <v>335</v>
      </c>
      <c r="U74" s="1">
        <f>1008-SUM(S74:T74)</f>
        <v>352</v>
      </c>
      <c r="V74" s="1">
        <f>1442-SUM(S74:U74)</f>
        <v>434</v>
      </c>
      <c r="AN74" s="1">
        <f t="shared" ref="AN74:AN92" si="200">SUM(C74:F74)</f>
        <v>1741</v>
      </c>
      <c r="AO74" s="1">
        <f t="shared" ref="AO74:AO92" si="201">SUM(G74:J74)</f>
        <v>1572</v>
      </c>
      <c r="AP74" s="1">
        <f t="shared" ref="AP74:AP92" si="202">SUM(K74:N74)</f>
        <v>1572</v>
      </c>
      <c r="AQ74" s="1">
        <f t="shared" ref="AQ74:AQ92" si="203">SUM(O74:R74)</f>
        <v>1682</v>
      </c>
      <c r="AR74" s="1">
        <f t="shared" ref="AR74:AR92" si="204">SUM(S74:V74)</f>
        <v>1442</v>
      </c>
    </row>
    <row r="75" spans="1:44">
      <c r="B75" s="1" t="s">
        <v>153</v>
      </c>
      <c r="C75" s="1">
        <v>293</v>
      </c>
      <c r="D75" s="1">
        <f>590-C75</f>
        <v>297</v>
      </c>
      <c r="E75" s="1">
        <f t="shared" si="199"/>
        <v>594</v>
      </c>
      <c r="F75" s="1">
        <f>1189-SUM(C75:E75)</f>
        <v>5</v>
      </c>
      <c r="G75" s="1">
        <v>300</v>
      </c>
      <c r="H75" s="1">
        <f>616-G75</f>
        <v>316</v>
      </c>
      <c r="I75" s="1">
        <f>939-SUM(G75:H75)</f>
        <v>323</v>
      </c>
      <c r="J75" s="1">
        <f>1317-SUM(G75:I75)</f>
        <v>378</v>
      </c>
      <c r="K75" s="1">
        <v>328</v>
      </c>
      <c r="L75" s="1">
        <f>661-K75</f>
        <v>333</v>
      </c>
      <c r="M75" s="1">
        <f>991-SUM(K75:L75)</f>
        <v>330</v>
      </c>
      <c r="N75" s="1">
        <f>1317-SUM(K75:M75)</f>
        <v>326</v>
      </c>
      <c r="O75" s="1">
        <v>270</v>
      </c>
      <c r="P75" s="1">
        <f>539-O75</f>
        <v>269</v>
      </c>
      <c r="Q75" s="1">
        <f>809-SUM(O75:P75)</f>
        <v>270</v>
      </c>
      <c r="R75" s="1">
        <f>1072-SUM(O75:Q75)</f>
        <v>263</v>
      </c>
      <c r="S75" s="1">
        <v>265</v>
      </c>
      <c r="T75" s="1">
        <f>528-S75</f>
        <v>263</v>
      </c>
      <c r="U75" s="1">
        <f>783-SUM(S75:T75)</f>
        <v>255</v>
      </c>
      <c r="V75" s="1">
        <f>1032-SUM(S75:U75)</f>
        <v>249</v>
      </c>
      <c r="AN75" s="1">
        <f t="shared" si="200"/>
        <v>1189</v>
      </c>
      <c r="AO75" s="1">
        <f t="shared" si="201"/>
        <v>1317</v>
      </c>
      <c r="AP75" s="1">
        <f t="shared" si="202"/>
        <v>1317</v>
      </c>
      <c r="AQ75" s="1">
        <f t="shared" si="203"/>
        <v>1072</v>
      </c>
      <c r="AR75" s="1">
        <f t="shared" si="204"/>
        <v>1032</v>
      </c>
    </row>
    <row r="76" spans="1:44">
      <c r="A76" s="11" t="s">
        <v>168</v>
      </c>
      <c r="B76" s="1" t="s">
        <v>154</v>
      </c>
      <c r="C76" s="1">
        <v>283</v>
      </c>
      <c r="D76" s="1">
        <f>635-C76</f>
        <v>352</v>
      </c>
      <c r="E76" s="1">
        <f t="shared" si="199"/>
        <v>549</v>
      </c>
      <c r="F76" s="1">
        <f>1376-SUM(C76:E76)</f>
        <v>192</v>
      </c>
      <c r="G76" s="1">
        <v>368</v>
      </c>
      <c r="H76" s="1">
        <f>758-G76</f>
        <v>390</v>
      </c>
      <c r="I76" s="1">
        <f>1058-SUM(G76:H76)</f>
        <v>300</v>
      </c>
      <c r="J76" s="1">
        <f>1261-SUM(G76:I76)</f>
        <v>203</v>
      </c>
      <c r="K76" s="1">
        <v>429</v>
      </c>
      <c r="L76" s="1">
        <f>741-K76</f>
        <v>312</v>
      </c>
      <c r="M76" s="1">
        <f>967-SUM(K76:L76)</f>
        <v>226</v>
      </c>
      <c r="N76" s="1">
        <f>1261-SUM(K76:M76)</f>
        <v>294</v>
      </c>
      <c r="O76" s="1">
        <v>345</v>
      </c>
      <c r="P76" s="1">
        <f>708-O76</f>
        <v>363</v>
      </c>
      <c r="Q76" s="1">
        <f>1087-SUM(O76:P76)</f>
        <v>379</v>
      </c>
      <c r="R76" s="1">
        <f>1475-SUM(O76:Q76)</f>
        <v>388</v>
      </c>
      <c r="S76" s="1">
        <v>365</v>
      </c>
      <c r="T76" s="1">
        <f>663-S76</f>
        <v>298</v>
      </c>
      <c r="U76" s="1">
        <f>947-SUM(S76:T76)</f>
        <v>284</v>
      </c>
      <c r="V76" s="1">
        <f>1230-SUM(S76:U76)</f>
        <v>283</v>
      </c>
      <c r="AN76" s="1">
        <f t="shared" si="200"/>
        <v>1376</v>
      </c>
      <c r="AO76" s="1">
        <f t="shared" si="201"/>
        <v>1261</v>
      </c>
      <c r="AP76" s="1">
        <f t="shared" si="202"/>
        <v>1261</v>
      </c>
      <c r="AQ76" s="1">
        <f t="shared" si="203"/>
        <v>1475</v>
      </c>
      <c r="AR76" s="1">
        <f t="shared" si="204"/>
        <v>1230</v>
      </c>
    </row>
    <row r="77" spans="1:44">
      <c r="B77" s="1" t="s">
        <v>155</v>
      </c>
      <c r="C77" s="1">
        <v>-79</v>
      </c>
      <c r="D77" s="1">
        <f>31-C77</f>
        <v>110</v>
      </c>
      <c r="E77" s="1">
        <f t="shared" si="199"/>
        <v>1153</v>
      </c>
      <c r="F77" s="1">
        <f>165-SUM(C77:E77)</f>
        <v>-1019</v>
      </c>
      <c r="G77" s="1">
        <v>0</v>
      </c>
      <c r="H77" s="1">
        <f>--103-G77</f>
        <v>103</v>
      </c>
      <c r="I77" s="1">
        <f>-175-SUM(G77:H77)</f>
        <v>-278</v>
      </c>
      <c r="J77" s="1">
        <f>-811-SUM(G77:I77)</f>
        <v>-636</v>
      </c>
      <c r="K77" s="1">
        <v>-16</v>
      </c>
      <c r="L77" s="1">
        <f>-457-K77</f>
        <v>-441</v>
      </c>
      <c r="M77" s="1">
        <f>-538-SUM(K77:L77)</f>
        <v>-81</v>
      </c>
      <c r="N77" s="1">
        <f>-811-SUM(K77:M77)</f>
        <v>-273</v>
      </c>
      <c r="O77" s="1">
        <v>-67</v>
      </c>
      <c r="P77" s="1">
        <f>-146-O77</f>
        <v>-79</v>
      </c>
      <c r="Q77" s="1">
        <f>-439-SUM(O77:P77)</f>
        <v>-293</v>
      </c>
      <c r="R77" s="1">
        <f>-668-SUM(O77:Q77)</f>
        <v>-229</v>
      </c>
      <c r="S77" s="1">
        <v>52</v>
      </c>
      <c r="T77" s="1">
        <f>29-S77</f>
        <v>-23</v>
      </c>
      <c r="U77" s="1">
        <f>8-SUM(S77:T77)</f>
        <v>-21</v>
      </c>
      <c r="V77" s="1">
        <f>231-SUM(S77:U77)</f>
        <v>223</v>
      </c>
      <c r="AN77" s="1">
        <f t="shared" si="200"/>
        <v>165</v>
      </c>
      <c r="AO77" s="1">
        <f t="shared" si="201"/>
        <v>-811</v>
      </c>
      <c r="AP77" s="1">
        <f t="shared" si="202"/>
        <v>-811</v>
      </c>
      <c r="AQ77" s="1">
        <f t="shared" si="203"/>
        <v>-668</v>
      </c>
      <c r="AR77" s="1">
        <f t="shared" si="204"/>
        <v>231</v>
      </c>
    </row>
    <row r="78" spans="1:44">
      <c r="B78" s="1" t="s">
        <v>156</v>
      </c>
      <c r="C78" s="1">
        <v>124</v>
      </c>
      <c r="D78" s="1">
        <f>-764-C78</f>
        <v>-888</v>
      </c>
      <c r="E78" s="1">
        <f>-973-SUM(C78:D78)</f>
        <v>-209</v>
      </c>
      <c r="F78" s="1">
        <f>-1914-SUM(C78:E78)</f>
        <v>-941</v>
      </c>
      <c r="G78" s="1">
        <v>120</v>
      </c>
      <c r="H78" s="1">
        <f>-163-G78</f>
        <v>-283</v>
      </c>
      <c r="I78" s="1">
        <f>-336-SUM(G78:H78)</f>
        <v>-173</v>
      </c>
      <c r="J78" s="1">
        <f>304-SUM(G78:I78)</f>
        <v>640</v>
      </c>
      <c r="K78" s="1">
        <v>-14</v>
      </c>
      <c r="L78" s="1">
        <f>658-K78</f>
        <v>672</v>
      </c>
      <c r="M78" s="1">
        <f>163-SUM(K78:L78)</f>
        <v>-495</v>
      </c>
      <c r="N78" s="1">
        <f>304-SUM(K78:M78)</f>
        <v>141</v>
      </c>
      <c r="O78" s="1">
        <v>-48</v>
      </c>
      <c r="P78" s="1">
        <f>-181-O78</f>
        <v>-133</v>
      </c>
      <c r="Q78" s="1">
        <f>-205-SUM(O78:P78)</f>
        <v>-24</v>
      </c>
      <c r="R78" s="1">
        <f>-201-SUM(O78:Q78)</f>
        <v>4</v>
      </c>
      <c r="S78" s="1">
        <v>49</v>
      </c>
      <c r="T78" s="1">
        <f>55-S78</f>
        <v>6</v>
      </c>
      <c r="U78" s="1">
        <f>226-SUM(S78:T78)</f>
        <v>171</v>
      </c>
      <c r="V78" s="1">
        <f>285-SUM(S78:U78)</f>
        <v>59</v>
      </c>
      <c r="AN78" s="1">
        <f t="shared" si="200"/>
        <v>-1914</v>
      </c>
      <c r="AO78" s="1">
        <f t="shared" si="201"/>
        <v>304</v>
      </c>
      <c r="AP78" s="1">
        <f t="shared" si="202"/>
        <v>304</v>
      </c>
      <c r="AQ78" s="1">
        <f t="shared" si="203"/>
        <v>-201</v>
      </c>
      <c r="AR78" s="1">
        <f t="shared" si="204"/>
        <v>285</v>
      </c>
    </row>
    <row r="79" spans="1:44">
      <c r="B79" s="1" t="s">
        <v>169</v>
      </c>
      <c r="C79" s="1">
        <v>0</v>
      </c>
      <c r="D79" s="1">
        <v>0</v>
      </c>
      <c r="E79" s="1">
        <v>0</v>
      </c>
      <c r="F79" s="1">
        <v>0</v>
      </c>
      <c r="G79" s="1">
        <v>0</v>
      </c>
      <c r="H79" s="1">
        <v>0</v>
      </c>
      <c r="I79" s="1">
        <v>0</v>
      </c>
      <c r="J79" s="1">
        <v>0</v>
      </c>
      <c r="K79" s="1">
        <v>0</v>
      </c>
      <c r="L79" s="1">
        <v>0</v>
      </c>
      <c r="M79" s="1">
        <v>0</v>
      </c>
      <c r="N79" s="1">
        <v>0</v>
      </c>
      <c r="O79" s="1">
        <v>0</v>
      </c>
      <c r="P79" s="1">
        <v>0</v>
      </c>
      <c r="Q79" s="1">
        <v>0</v>
      </c>
      <c r="R79" s="1">
        <v>-356</v>
      </c>
      <c r="S79" s="1">
        <v>0</v>
      </c>
      <c r="T79" s="1">
        <v>0</v>
      </c>
      <c r="U79" s="1">
        <v>0</v>
      </c>
      <c r="V79" s="1">
        <v>0</v>
      </c>
      <c r="AN79" s="1">
        <f t="shared" si="200"/>
        <v>0</v>
      </c>
      <c r="AO79" s="1">
        <f t="shared" si="201"/>
        <v>0</v>
      </c>
      <c r="AP79" s="1">
        <f t="shared" si="202"/>
        <v>0</v>
      </c>
      <c r="AQ79" s="1">
        <f t="shared" si="203"/>
        <v>-356</v>
      </c>
      <c r="AR79" s="1">
        <f t="shared" si="204"/>
        <v>0</v>
      </c>
    </row>
    <row r="80" spans="1:44">
      <c r="B80" s="1" t="s">
        <v>157</v>
      </c>
      <c r="C80" s="1">
        <v>0</v>
      </c>
      <c r="D80" s="1">
        <v>0</v>
      </c>
      <c r="E80" s="1">
        <v>0</v>
      </c>
      <c r="F80" s="1">
        <v>0</v>
      </c>
      <c r="G80" s="1">
        <v>0</v>
      </c>
      <c r="H80" s="1">
        <v>0</v>
      </c>
      <c r="I80" s="1">
        <v>0</v>
      </c>
      <c r="J80" s="1">
        <v>0</v>
      </c>
      <c r="K80" s="1">
        <v>0</v>
      </c>
      <c r="L80" s="1">
        <v>0</v>
      </c>
      <c r="M80" s="1">
        <v>0</v>
      </c>
      <c r="N80" s="1">
        <f>-70-SUM(K80:M80)</f>
        <v>-70</v>
      </c>
      <c r="O80" s="1">
        <v>-69</v>
      </c>
      <c r="P80" s="1">
        <f>-162-O80</f>
        <v>-93</v>
      </c>
      <c r="Q80" s="1">
        <f>-265-SUM(O80:P80)</f>
        <v>-103</v>
      </c>
      <c r="R80" s="1">
        <f>-367-SUM(O80:Q80)</f>
        <v>-102</v>
      </c>
      <c r="S80" s="1">
        <v>-75</v>
      </c>
      <c r="T80" s="1">
        <f>-197-S80</f>
        <v>-122</v>
      </c>
      <c r="U80" s="1">
        <f>-290-SUM(S80:T80)</f>
        <v>-93</v>
      </c>
      <c r="V80" s="1">
        <f>-335-SUM(S80:U80)</f>
        <v>-45</v>
      </c>
      <c r="AN80" s="1">
        <f t="shared" si="200"/>
        <v>0</v>
      </c>
      <c r="AO80" s="1">
        <f t="shared" si="201"/>
        <v>0</v>
      </c>
      <c r="AP80" s="1">
        <f t="shared" si="202"/>
        <v>-70</v>
      </c>
      <c r="AQ80" s="1">
        <f t="shared" si="203"/>
        <v>-367</v>
      </c>
      <c r="AR80" s="1">
        <f t="shared" si="204"/>
        <v>-335</v>
      </c>
    </row>
    <row r="81" spans="2:44">
      <c r="B81" s="1" t="s">
        <v>158</v>
      </c>
      <c r="C81" s="1">
        <v>0</v>
      </c>
      <c r="D81" s="1">
        <v>0</v>
      </c>
      <c r="E81" s="1">
        <v>0</v>
      </c>
      <c r="F81" s="1">
        <v>0</v>
      </c>
      <c r="G81" s="1">
        <v>0</v>
      </c>
      <c r="H81" s="1">
        <v>0</v>
      </c>
      <c r="I81" s="1">
        <v>0</v>
      </c>
      <c r="J81" s="1">
        <v>0</v>
      </c>
      <c r="K81" s="1">
        <v>0</v>
      </c>
      <c r="L81" s="1">
        <v>0</v>
      </c>
      <c r="M81" s="1">
        <v>0</v>
      </c>
      <c r="N81" s="1">
        <v>0</v>
      </c>
      <c r="O81" s="1">
        <v>0</v>
      </c>
      <c r="P81" s="1">
        <f>34-O81</f>
        <v>34</v>
      </c>
      <c r="Q81" s="1">
        <f>49-SUM(O81:P81)</f>
        <v>15</v>
      </c>
      <c r="R81" s="1">
        <f>53-SUM(O81:Q81)</f>
        <v>4</v>
      </c>
      <c r="S81" s="1">
        <v>37</v>
      </c>
      <c r="T81" s="1">
        <f>64-S81</f>
        <v>27</v>
      </c>
      <c r="U81" s="1">
        <f>92-SUM(S81:T81)</f>
        <v>28</v>
      </c>
      <c r="V81" s="1">
        <f>125-SUM(S81:U81)</f>
        <v>33</v>
      </c>
      <c r="AN81" s="1">
        <f t="shared" si="200"/>
        <v>0</v>
      </c>
      <c r="AO81" s="1">
        <f t="shared" si="201"/>
        <v>0</v>
      </c>
      <c r="AP81" s="1">
        <f t="shared" si="202"/>
        <v>0</v>
      </c>
      <c r="AQ81" s="1">
        <f t="shared" si="203"/>
        <v>53</v>
      </c>
      <c r="AR81" s="1">
        <f t="shared" si="204"/>
        <v>125</v>
      </c>
    </row>
    <row r="82" spans="2:44">
      <c r="B82" s="1" t="s">
        <v>159</v>
      </c>
      <c r="C82" s="1">
        <v>-5</v>
      </c>
      <c r="D82" s="1">
        <f>-2-C82</f>
        <v>3</v>
      </c>
      <c r="E82" s="1">
        <f>10-SUM(C82:D82)</f>
        <v>12</v>
      </c>
      <c r="F82" s="1">
        <f>47-SUM(C82:E82)</f>
        <v>37</v>
      </c>
      <c r="G82" s="1">
        <v>51</v>
      </c>
      <c r="H82" s="1">
        <f>-2-G82</f>
        <v>-53</v>
      </c>
      <c r="I82" s="1">
        <f>92-SUM(G82:H82)</f>
        <v>94</v>
      </c>
      <c r="J82" s="1">
        <f>100-SUM(G82:I82)</f>
        <v>8</v>
      </c>
      <c r="K82" s="1">
        <v>65</v>
      </c>
      <c r="L82" s="1">
        <f>295-K82</f>
        <v>230</v>
      </c>
      <c r="M82" s="1">
        <f>514-SUM(K82:L82)</f>
        <v>219</v>
      </c>
      <c r="N82" s="1">
        <f>275-SUM(K82:M82)</f>
        <v>-239</v>
      </c>
      <c r="O82" s="1">
        <v>-23</v>
      </c>
      <c r="P82" s="1">
        <f>-114-O82</f>
        <v>-91</v>
      </c>
      <c r="Q82" s="1">
        <f>-2-SUM(O82:P82)</f>
        <v>112</v>
      </c>
      <c r="R82" s="1">
        <f>-104-SUM(O82:Q82)</f>
        <v>-102</v>
      </c>
      <c r="S82" s="1">
        <v>13</v>
      </c>
      <c r="T82" s="1">
        <f>-42-S82</f>
        <v>-55</v>
      </c>
      <c r="U82" s="1">
        <f>-138-SUM(S82:T82)</f>
        <v>-96</v>
      </c>
      <c r="V82" s="1">
        <f>-3-SUM(S82:U82)</f>
        <v>135</v>
      </c>
      <c r="AN82" s="1">
        <f t="shared" si="200"/>
        <v>47</v>
      </c>
      <c r="AO82" s="1">
        <f t="shared" si="201"/>
        <v>100</v>
      </c>
      <c r="AP82" s="1">
        <f t="shared" si="202"/>
        <v>275</v>
      </c>
      <c r="AQ82" s="1">
        <f t="shared" si="203"/>
        <v>-104</v>
      </c>
      <c r="AR82" s="1">
        <f t="shared" si="204"/>
        <v>-3</v>
      </c>
    </row>
    <row r="83" spans="2:44">
      <c r="B83" s="1" t="s">
        <v>160</v>
      </c>
      <c r="C83" s="1">
        <v>0</v>
      </c>
      <c r="D83" s="1">
        <v>0</v>
      </c>
      <c r="E83" s="1">
        <v>0</v>
      </c>
      <c r="F83" s="1">
        <v>0</v>
      </c>
      <c r="G83" s="1">
        <v>0</v>
      </c>
      <c r="H83" s="1">
        <v>0</v>
      </c>
      <c r="I83" s="1">
        <v>0</v>
      </c>
      <c r="J83" s="1">
        <v>0</v>
      </c>
      <c r="K83" s="1">
        <v>0</v>
      </c>
      <c r="L83" s="1">
        <v>0</v>
      </c>
      <c r="M83" s="1">
        <v>0</v>
      </c>
      <c r="N83" s="1">
        <v>0</v>
      </c>
      <c r="O83" s="1">
        <v>0</v>
      </c>
      <c r="P83" s="1">
        <f>-1521-O83</f>
        <v>-1521</v>
      </c>
      <c r="Q83" s="1">
        <f>-5705-SUM(O83:P83)</f>
        <v>-4184</v>
      </c>
      <c r="R83" s="1">
        <f>-11470-SUM(O83:Q83)</f>
        <v>-5765</v>
      </c>
      <c r="S83" s="1">
        <v>-5345</v>
      </c>
      <c r="T83" s="1">
        <f>-11065-S83</f>
        <v>-5720</v>
      </c>
      <c r="U83" s="1">
        <f>-17173-SUM(S83:T83)</f>
        <v>-6108</v>
      </c>
      <c r="V83" s="1">
        <f>-24498-SUM(S83:U83)</f>
        <v>-7325</v>
      </c>
      <c r="AN83" s="1">
        <f t="shared" si="200"/>
        <v>0</v>
      </c>
      <c r="AO83" s="1">
        <f t="shared" si="201"/>
        <v>0</v>
      </c>
      <c r="AP83" s="1">
        <f t="shared" si="202"/>
        <v>0</v>
      </c>
      <c r="AQ83" s="1">
        <f t="shared" si="203"/>
        <v>-11470</v>
      </c>
      <c r="AR83" s="1">
        <f t="shared" si="204"/>
        <v>-24498</v>
      </c>
    </row>
    <row r="84" spans="2:44">
      <c r="B84" s="1" t="s">
        <v>161</v>
      </c>
      <c r="C84" s="1">
        <v>0</v>
      </c>
      <c r="D84" s="1">
        <v>0</v>
      </c>
      <c r="E84" s="1">
        <v>0</v>
      </c>
      <c r="F84" s="1">
        <v>0</v>
      </c>
      <c r="G84" s="1">
        <v>0</v>
      </c>
      <c r="H84" s="1">
        <v>0</v>
      </c>
      <c r="I84" s="1">
        <v>0</v>
      </c>
      <c r="J84" s="1">
        <v>0</v>
      </c>
      <c r="K84" s="1">
        <v>0</v>
      </c>
      <c r="L84" s="1">
        <v>0</v>
      </c>
      <c r="M84" s="1">
        <v>0</v>
      </c>
      <c r="N84" s="1">
        <v>0</v>
      </c>
      <c r="O84" s="1">
        <v>0</v>
      </c>
      <c r="P84" s="1">
        <f>302-O84</f>
        <v>302</v>
      </c>
      <c r="Q84" s="1">
        <f>3676-SUM(O84:P84)</f>
        <v>3374</v>
      </c>
      <c r="R84" s="1">
        <f>10795-SUM(O84:Q84)</f>
        <v>7119</v>
      </c>
      <c r="S84" s="1">
        <v>5232</v>
      </c>
      <c r="T84" s="1">
        <f>11175-S84</f>
        <v>5943</v>
      </c>
      <c r="U84" s="1">
        <f>17159-SUM(S84:T84)</f>
        <v>5984</v>
      </c>
      <c r="V84" s="1">
        <f>24352-SUM(S84:U84)</f>
        <v>7193</v>
      </c>
      <c r="AN84" s="1">
        <f t="shared" si="200"/>
        <v>0</v>
      </c>
      <c r="AO84" s="1">
        <f t="shared" si="201"/>
        <v>0</v>
      </c>
      <c r="AP84" s="1">
        <f t="shared" si="202"/>
        <v>0</v>
      </c>
      <c r="AQ84" s="1">
        <f t="shared" si="203"/>
        <v>10795</v>
      </c>
      <c r="AR84" s="1">
        <f t="shared" si="204"/>
        <v>24352</v>
      </c>
    </row>
    <row r="85" spans="2:44">
      <c r="B85" s="1" t="s">
        <v>162</v>
      </c>
      <c r="C85" s="1">
        <f>77-21+51+21</f>
        <v>128</v>
      </c>
      <c r="D85" s="1">
        <f>47-48+114-55-C85</f>
        <v>-70</v>
      </c>
      <c r="E85" s="1">
        <f t="shared" si="199"/>
        <v>1126</v>
      </c>
      <c r="F85" s="1">
        <f>-100-1120-171-4-230+1038-SUM(C85:E85)</f>
        <v>-1771</v>
      </c>
      <c r="G85" s="1">
        <f>-97-34-33-287</f>
        <v>-451</v>
      </c>
      <c r="H85" s="1">
        <f>47-48+114-55-G85</f>
        <v>509</v>
      </c>
      <c r="I85" s="1">
        <f>-155-50+18-892-SUM(G85:H85)</f>
        <v>-1137</v>
      </c>
      <c r="J85" s="1">
        <f>-222-1178+486-31+73+199-SUM(G85:I85)</f>
        <v>406</v>
      </c>
      <c r="K85" s="1">
        <f>-50-29+17-391</f>
        <v>-453</v>
      </c>
      <c r="L85" s="1">
        <f>-67-27+86-408-K85</f>
        <v>37</v>
      </c>
      <c r="M85" s="1">
        <f>-89-55+109-522-SUM(K85:L85)</f>
        <v>-141</v>
      </c>
      <c r="N85" s="1">
        <f>-163-1230+118-35+856-SUM(K85:M85)</f>
        <v>103</v>
      </c>
      <c r="O85" s="1">
        <f>-3+3-475</f>
        <v>-475</v>
      </c>
      <c r="P85" s="1">
        <f>36-12-1177-O85</f>
        <v>-678</v>
      </c>
      <c r="Q85" s="1">
        <f>-35-6-865-SUM(O85:P85)</f>
        <v>247</v>
      </c>
      <c r="R85" s="1">
        <f>-114-1188+203+7-222-SUM(O85:Q85)</f>
        <v>-408</v>
      </c>
      <c r="S85" s="1">
        <f>-39-22+176</f>
        <v>115</v>
      </c>
      <c r="T85" s="1">
        <f>82-11-511-S85</f>
        <v>-555</v>
      </c>
      <c r="U85" s="1">
        <f>31+24-647-SUM(S85:T85)</f>
        <v>-152</v>
      </c>
      <c r="V85" s="1">
        <f>85-1131-8+83+413-SUM(S85:U85)</f>
        <v>34</v>
      </c>
      <c r="AN85" s="1">
        <f t="shared" si="200"/>
        <v>-587</v>
      </c>
      <c r="AO85" s="1">
        <f t="shared" si="201"/>
        <v>-673</v>
      </c>
      <c r="AP85" s="1">
        <f t="shared" si="202"/>
        <v>-454</v>
      </c>
      <c r="AQ85" s="1">
        <f t="shared" si="203"/>
        <v>-1314</v>
      </c>
      <c r="AR85" s="1">
        <f t="shared" si="204"/>
        <v>-558</v>
      </c>
    </row>
    <row r="86" spans="2:44" ht="13.9">
      <c r="B86" s="2" t="s">
        <v>163</v>
      </c>
      <c r="C86" s="1">
        <f t="shared" ref="C86:R86" si="205">C73+SUM(C74:C85)</f>
        <v>1419</v>
      </c>
      <c r="D86" s="1">
        <f t="shared" si="205"/>
        <v>1774</v>
      </c>
      <c r="E86" s="1">
        <f t="shared" si="205"/>
        <v>4399</v>
      </c>
      <c r="F86" s="1">
        <f t="shared" si="205"/>
        <v>-1373</v>
      </c>
      <c r="G86" s="1">
        <f>G73+SUM(G74:G85)</f>
        <v>1758</v>
      </c>
      <c r="H86" s="1">
        <f t="shared" si="205"/>
        <v>2335</v>
      </c>
      <c r="I86" s="1">
        <f t="shared" si="205"/>
        <v>484</v>
      </c>
      <c r="J86" s="1">
        <f t="shared" si="205"/>
        <v>2662</v>
      </c>
      <c r="K86" s="1">
        <f t="shared" si="205"/>
        <v>1217</v>
      </c>
      <c r="L86" s="1">
        <f t="shared" si="205"/>
        <v>1250</v>
      </c>
      <c r="M86" s="1">
        <f t="shared" si="205"/>
        <v>1755</v>
      </c>
      <c r="N86" s="1">
        <f t="shared" si="205"/>
        <v>1591</v>
      </c>
      <c r="O86" s="1">
        <f t="shared" si="205"/>
        <v>1170</v>
      </c>
      <c r="P86" s="1">
        <f t="shared" si="205"/>
        <v>-200</v>
      </c>
      <c r="Q86" s="1">
        <f>Q73+SUM(Q74:Q85)</f>
        <v>1259</v>
      </c>
      <c r="R86" s="1">
        <f t="shared" si="205"/>
        <v>2614</v>
      </c>
      <c r="S86" s="1">
        <f>S73+SUM(S74:S85)</f>
        <v>1917</v>
      </c>
      <c r="T86" s="1">
        <f t="shared" ref="T86:V86" si="206">T73+SUM(T74:T85)</f>
        <v>1525</v>
      </c>
      <c r="U86" s="1">
        <f t="shared" si="206"/>
        <v>1614</v>
      </c>
      <c r="V86" s="1">
        <f t="shared" si="206"/>
        <v>2394</v>
      </c>
      <c r="AN86" s="1">
        <f t="shared" si="200"/>
        <v>6219</v>
      </c>
      <c r="AO86" s="1">
        <f t="shared" si="201"/>
        <v>7239</v>
      </c>
      <c r="AP86" s="1">
        <f t="shared" si="202"/>
        <v>5813</v>
      </c>
      <c r="AQ86" s="1">
        <f t="shared" si="203"/>
        <v>4843</v>
      </c>
      <c r="AR86" s="1">
        <f t="shared" si="204"/>
        <v>7450</v>
      </c>
    </row>
    <row r="88" spans="2:44">
      <c r="B88" s="1" t="s">
        <v>163</v>
      </c>
      <c r="C88" s="1">
        <f t="shared" ref="C88:R88" si="207">C86</f>
        <v>1419</v>
      </c>
      <c r="D88" s="1">
        <f t="shared" si="207"/>
        <v>1774</v>
      </c>
      <c r="E88" s="1">
        <f t="shared" si="207"/>
        <v>4399</v>
      </c>
      <c r="F88" s="1">
        <f t="shared" si="207"/>
        <v>-1373</v>
      </c>
      <c r="G88" s="1">
        <f t="shared" si="207"/>
        <v>1758</v>
      </c>
      <c r="H88" s="1">
        <f t="shared" si="207"/>
        <v>2335</v>
      </c>
      <c r="I88" s="1">
        <f t="shared" si="207"/>
        <v>484</v>
      </c>
      <c r="J88" s="1">
        <f t="shared" si="207"/>
        <v>2662</v>
      </c>
      <c r="K88" s="1">
        <f t="shared" si="207"/>
        <v>1217</v>
      </c>
      <c r="L88" s="1">
        <f t="shared" si="207"/>
        <v>1250</v>
      </c>
      <c r="M88" s="1">
        <f t="shared" si="207"/>
        <v>1755</v>
      </c>
      <c r="N88" s="1">
        <f t="shared" si="207"/>
        <v>1591</v>
      </c>
      <c r="O88" s="1">
        <f t="shared" si="207"/>
        <v>1170</v>
      </c>
      <c r="P88" s="1">
        <f t="shared" si="207"/>
        <v>-200</v>
      </c>
      <c r="Q88" s="1">
        <f t="shared" si="207"/>
        <v>1259</v>
      </c>
      <c r="R88" s="1">
        <f t="shared" si="207"/>
        <v>2614</v>
      </c>
      <c r="S88" s="1">
        <f>S86</f>
        <v>1917</v>
      </c>
      <c r="T88" s="1">
        <f t="shared" ref="T88:V88" si="208">T86</f>
        <v>1525</v>
      </c>
      <c r="U88" s="1">
        <f t="shared" si="208"/>
        <v>1614</v>
      </c>
      <c r="V88" s="1">
        <f t="shared" si="208"/>
        <v>2394</v>
      </c>
      <c r="AN88" s="1">
        <f t="shared" si="200"/>
        <v>6219</v>
      </c>
      <c r="AO88" s="1">
        <f t="shared" si="201"/>
        <v>7239</v>
      </c>
      <c r="AP88" s="1">
        <f t="shared" si="202"/>
        <v>5813</v>
      </c>
      <c r="AQ88" s="1">
        <f t="shared" si="203"/>
        <v>4843</v>
      </c>
      <c r="AR88" s="1">
        <f t="shared" si="204"/>
        <v>7450</v>
      </c>
    </row>
    <row r="89" spans="2:44">
      <c r="B89" s="1" t="s">
        <v>164</v>
      </c>
      <c r="C89" s="1">
        <f>-206+119</f>
        <v>-87</v>
      </c>
      <c r="D89" s="1">
        <f>-399+120-C89</f>
        <v>-192</v>
      </c>
      <c r="E89" s="1">
        <f>-640+120-SUM(C89:D89)</f>
        <v>-241</v>
      </c>
      <c r="F89" s="1">
        <f>-866+120-SUM(C89:E89)</f>
        <v>-226</v>
      </c>
      <c r="G89" s="1">
        <v>-221</v>
      </c>
      <c r="H89" s="1">
        <f>-468+1-G89</f>
        <v>-246</v>
      </c>
      <c r="I89" s="1">
        <f>-695+3-SUM(G89:H89)</f>
        <v>-225</v>
      </c>
      <c r="J89" s="1">
        <f>-908+5-SUM(G89:I89)</f>
        <v>-211</v>
      </c>
      <c r="K89" s="1">
        <f>-191+3</f>
        <v>-188</v>
      </c>
      <c r="L89" s="1">
        <f>-366+5-K89</f>
        <v>-173</v>
      </c>
      <c r="M89" s="1">
        <f>-548+5-SUM(K89:L89)</f>
        <v>-182</v>
      </c>
      <c r="N89" s="1">
        <f>-706+5-SUM(K89:M89)</f>
        <v>-158</v>
      </c>
      <c r="O89" s="1">
        <f>-170+1</f>
        <v>-169</v>
      </c>
      <c r="P89" s="1">
        <f>-320+40-O89</f>
        <v>-111</v>
      </c>
      <c r="Q89" s="1">
        <f>-478+44-SUM(O89:P89)</f>
        <v>-154</v>
      </c>
      <c r="R89" s="1">
        <f>-623+45-SUM(O89:Q89)</f>
        <v>-144</v>
      </c>
      <c r="S89" s="1">
        <v>-154</v>
      </c>
      <c r="T89" s="1">
        <f>-311-S89</f>
        <v>-157</v>
      </c>
      <c r="U89" s="1">
        <f>-480-SUM(S89:T89)</f>
        <v>-169</v>
      </c>
      <c r="V89" s="1">
        <f>-683+1-SUM(S89:U89)</f>
        <v>-202</v>
      </c>
      <c r="AN89" s="1">
        <f t="shared" si="200"/>
        <v>-746</v>
      </c>
      <c r="AO89" s="1">
        <f t="shared" si="201"/>
        <v>-903</v>
      </c>
      <c r="AP89" s="1">
        <f t="shared" si="202"/>
        <v>-701</v>
      </c>
      <c r="AQ89" s="1">
        <f t="shared" si="203"/>
        <v>-578</v>
      </c>
      <c r="AR89" s="1">
        <f t="shared" si="204"/>
        <v>-682</v>
      </c>
    </row>
    <row r="90" spans="2:44" ht="13.9">
      <c r="B90" s="2" t="s">
        <v>165</v>
      </c>
      <c r="C90" s="1">
        <f t="shared" ref="C90:U90" si="209">C88+C89</f>
        <v>1332</v>
      </c>
      <c r="D90" s="1">
        <f t="shared" si="209"/>
        <v>1582</v>
      </c>
      <c r="E90" s="1">
        <f t="shared" si="209"/>
        <v>4158</v>
      </c>
      <c r="F90" s="1">
        <f t="shared" si="209"/>
        <v>-1599</v>
      </c>
      <c r="G90" s="1">
        <f t="shared" si="209"/>
        <v>1537</v>
      </c>
      <c r="H90" s="1">
        <f t="shared" si="209"/>
        <v>2089</v>
      </c>
      <c r="I90" s="1">
        <f t="shared" si="209"/>
        <v>259</v>
      </c>
      <c r="J90" s="1">
        <f t="shared" si="209"/>
        <v>2451</v>
      </c>
      <c r="K90" s="1">
        <f t="shared" si="209"/>
        <v>1029</v>
      </c>
      <c r="L90" s="1">
        <f t="shared" si="209"/>
        <v>1077</v>
      </c>
      <c r="M90" s="1">
        <f t="shared" si="209"/>
        <v>1573</v>
      </c>
      <c r="N90" s="1">
        <f t="shared" si="209"/>
        <v>1433</v>
      </c>
      <c r="O90" s="1">
        <f t="shared" si="209"/>
        <v>1001</v>
      </c>
      <c r="P90" s="1">
        <f t="shared" si="209"/>
        <v>-311</v>
      </c>
      <c r="Q90" s="1">
        <f t="shared" si="209"/>
        <v>1105</v>
      </c>
      <c r="R90" s="1">
        <f t="shared" si="209"/>
        <v>2470</v>
      </c>
      <c r="S90" s="1">
        <f t="shared" si="209"/>
        <v>1763</v>
      </c>
      <c r="T90" s="1">
        <f t="shared" si="209"/>
        <v>1368</v>
      </c>
      <c r="U90" s="1">
        <f t="shared" si="209"/>
        <v>1445</v>
      </c>
      <c r="V90" s="1">
        <f>V88+V89</f>
        <v>2192</v>
      </c>
      <c r="AN90" s="1">
        <f t="shared" si="200"/>
        <v>5473</v>
      </c>
      <c r="AO90" s="1">
        <f t="shared" si="201"/>
        <v>6336</v>
      </c>
      <c r="AP90" s="1">
        <f t="shared" si="202"/>
        <v>5112</v>
      </c>
      <c r="AQ90" s="1">
        <f t="shared" si="203"/>
        <v>4265</v>
      </c>
      <c r="AR90" s="1">
        <f>SUM(S90:V90)</f>
        <v>6768</v>
      </c>
    </row>
    <row r="91" spans="2:44">
      <c r="B91" s="1" t="s">
        <v>166</v>
      </c>
      <c r="C91" s="1">
        <f t="shared" ref="C91:R91" si="210">C42</f>
        <v>1185</v>
      </c>
      <c r="D91" s="1">
        <f t="shared" si="210"/>
        <v>1184</v>
      </c>
      <c r="E91" s="1">
        <f t="shared" si="210"/>
        <v>1190</v>
      </c>
      <c r="F91" s="1">
        <f t="shared" si="210"/>
        <v>1174</v>
      </c>
      <c r="G91" s="1">
        <f t="shared" si="210"/>
        <v>1190</v>
      </c>
      <c r="H91" s="1">
        <f t="shared" si="210"/>
        <v>1186</v>
      </c>
      <c r="I91" s="1">
        <f t="shared" si="210"/>
        <v>1187</v>
      </c>
      <c r="J91" s="1">
        <f t="shared" si="210"/>
        <v>1174</v>
      </c>
      <c r="K91" s="1">
        <f t="shared" si="210"/>
        <v>1163</v>
      </c>
      <c r="L91" s="1">
        <f t="shared" si="210"/>
        <v>1158</v>
      </c>
      <c r="M91" s="1">
        <f t="shared" si="210"/>
        <v>1157</v>
      </c>
      <c r="N91" s="1">
        <f t="shared" si="210"/>
        <v>1131</v>
      </c>
      <c r="O91" s="1">
        <f t="shared" si="210"/>
        <v>1134</v>
      </c>
      <c r="P91" s="1">
        <f t="shared" si="210"/>
        <v>1114</v>
      </c>
      <c r="Q91" s="1">
        <f t="shared" si="210"/>
        <v>1098</v>
      </c>
      <c r="R91" s="1">
        <f t="shared" si="210"/>
        <v>1071</v>
      </c>
      <c r="S91" s="1">
        <f>S42</f>
        <v>1072</v>
      </c>
      <c r="T91" s="1">
        <f t="shared" ref="T91:V91" si="211">T42</f>
        <v>1047</v>
      </c>
      <c r="U91" s="1">
        <f t="shared" si="211"/>
        <v>1024</v>
      </c>
      <c r="V91" s="1">
        <f t="shared" si="211"/>
        <v>989</v>
      </c>
      <c r="AN91" s="1">
        <f t="shared" si="200"/>
        <v>4733</v>
      </c>
      <c r="AO91" s="1">
        <f t="shared" si="201"/>
        <v>4737</v>
      </c>
      <c r="AP91" s="1">
        <f t="shared" si="202"/>
        <v>4609</v>
      </c>
      <c r="AQ91" s="1">
        <f t="shared" si="203"/>
        <v>4417</v>
      </c>
      <c r="AR91" s="1">
        <f t="shared" si="204"/>
        <v>4132</v>
      </c>
    </row>
    <row r="92" spans="2:44">
      <c r="B92" s="1" t="s">
        <v>167</v>
      </c>
      <c r="C92" s="6">
        <f t="shared" ref="C92:Q92" si="212">C90/C91</f>
        <v>1.1240506329113924</v>
      </c>
      <c r="D92" s="6">
        <f t="shared" si="212"/>
        <v>1.3361486486486487</v>
      </c>
      <c r="E92" s="6">
        <f t="shared" si="212"/>
        <v>3.4941176470588236</v>
      </c>
      <c r="F92" s="6">
        <f t="shared" si="212"/>
        <v>-1.3620102214650767</v>
      </c>
      <c r="G92" s="6">
        <f t="shared" si="212"/>
        <v>1.2915966386554623</v>
      </c>
      <c r="H92" s="6">
        <f t="shared" si="212"/>
        <v>1.7613827993254638</v>
      </c>
      <c r="I92" s="6">
        <f t="shared" si="212"/>
        <v>0.21819713563605728</v>
      </c>
      <c r="J92" s="6">
        <f t="shared" si="212"/>
        <v>2.0877342419080067</v>
      </c>
      <c r="K92" s="6">
        <f t="shared" si="212"/>
        <v>0.88478073946689595</v>
      </c>
      <c r="L92" s="6">
        <f t="shared" si="212"/>
        <v>0.93005181347150256</v>
      </c>
      <c r="M92" s="6">
        <f t="shared" si="212"/>
        <v>1.3595505617977528</v>
      </c>
      <c r="N92" s="6">
        <f t="shared" si="212"/>
        <v>1.2670203359858532</v>
      </c>
      <c r="O92" s="6">
        <f t="shared" si="212"/>
        <v>0.88271604938271608</v>
      </c>
      <c r="P92" s="6">
        <f t="shared" si="212"/>
        <v>-0.27917414721723521</v>
      </c>
      <c r="Q92" s="6">
        <f t="shared" si="212"/>
        <v>1.0063752276867031</v>
      </c>
      <c r="R92" s="6">
        <f>R90/R91</f>
        <v>2.3062558356676002</v>
      </c>
      <c r="S92" s="6">
        <f>S90/S91</f>
        <v>1.6445895522388059</v>
      </c>
      <c r="T92" s="6">
        <f t="shared" ref="T92:V92" si="213">T90/T91</f>
        <v>1.3065902578796562</v>
      </c>
      <c r="U92" s="6">
        <f t="shared" si="213"/>
        <v>1.4111328125</v>
      </c>
      <c r="V92" s="6">
        <f t="shared" si="213"/>
        <v>2.2163801820020224</v>
      </c>
      <c r="AN92" s="1">
        <f t="shared" si="200"/>
        <v>4.5923067071537886</v>
      </c>
      <c r="AO92" s="1">
        <f t="shared" si="201"/>
        <v>5.3589108155249896</v>
      </c>
      <c r="AP92" s="1">
        <f t="shared" si="202"/>
        <v>4.4414034507220048</v>
      </c>
      <c r="AQ92" s="1">
        <f t="shared" si="203"/>
        <v>3.9161729655197841</v>
      </c>
      <c r="AR92" s="1">
        <f t="shared" si="204"/>
        <v>6.5786928046204842</v>
      </c>
    </row>
    <row r="94" spans="2:44">
      <c r="B94" s="1" t="s">
        <v>478</v>
      </c>
      <c r="C94" s="7">
        <f t="shared" ref="C94:V94" si="214">C90/C29</f>
        <v>0.28843655262018192</v>
      </c>
      <c r="D94" s="7">
        <f t="shared" si="214"/>
        <v>0.3007032883482228</v>
      </c>
      <c r="E94" s="7">
        <f t="shared" si="214"/>
        <v>0.76167796299688584</v>
      </c>
      <c r="F94" s="7">
        <f t="shared" si="214"/>
        <v>-0.26144538914323084</v>
      </c>
      <c r="G94" s="7">
        <f t="shared" si="214"/>
        <v>0.25476545665506384</v>
      </c>
      <c r="H94" s="7">
        <f t="shared" si="214"/>
        <v>0.3348829753126002</v>
      </c>
      <c r="I94" s="7">
        <f t="shared" si="214"/>
        <v>4.1895826593335489E-2</v>
      </c>
      <c r="J94" s="7">
        <f t="shared" si="214"/>
        <v>0.35429314830875974</v>
      </c>
      <c r="K94" s="7">
        <f t="shared" si="214"/>
        <v>0.15872281351226283</v>
      </c>
      <c r="L94" s="7">
        <f t="shared" si="214"/>
        <v>0.15824272700558331</v>
      </c>
      <c r="M94" s="7">
        <f t="shared" si="214"/>
        <v>0.22976920829681566</v>
      </c>
      <c r="N94" s="7">
        <f t="shared" si="214"/>
        <v>0.19409454151428959</v>
      </c>
      <c r="O94" s="7">
        <f t="shared" si="214"/>
        <v>0.14218749999999999</v>
      </c>
      <c r="P94" s="7">
        <f t="shared" si="214"/>
        <v>-4.2678742966927405E-2</v>
      </c>
      <c r="Q94" s="7">
        <f t="shared" si="214"/>
        <v>0.14896198436236183</v>
      </c>
      <c r="R94" s="7">
        <f t="shared" si="214"/>
        <v>0.30774981310740096</v>
      </c>
      <c r="S94" s="7">
        <f t="shared" si="214"/>
        <v>0.22899077802311987</v>
      </c>
      <c r="T94" s="7">
        <f t="shared" si="214"/>
        <v>0.17349397590361446</v>
      </c>
      <c r="U94" s="7">
        <f t="shared" si="214"/>
        <v>0.18414680769720912</v>
      </c>
      <c r="V94" s="7">
        <f t="shared" si="214"/>
        <v>0.26201290939517091</v>
      </c>
    </row>
    <row r="96" spans="2:44">
      <c r="AK96" s="6"/>
    </row>
  </sheetData>
  <pageMargins left="0.7" right="0.7" top="0.75" bottom="0.75" header="0.3" footer="0.3"/>
  <ignoredErrors>
    <ignoredError sqref="AN26:AP26 AN42:AQ42 N80 AN79:AR79 AN80:AO81 AP81 AN83:AP84"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2:DX257"/>
  <sheetViews>
    <sheetView tabSelected="1" zoomScale="90" zoomScaleNormal="84" workbookViewId="0">
      <selection activeCell="R24" sqref="R24"/>
    </sheetView>
  </sheetViews>
  <sheetFormatPr defaultColWidth="9.1328125" defaultRowHeight="13.5"/>
  <cols>
    <col min="1" max="1" width="3.1328125" style="1" customWidth="1"/>
    <col min="2" max="2" width="9" style="1" customWidth="1"/>
    <col min="3" max="9" width="9.1328125" style="1"/>
    <col min="10" max="10" width="9.1328125" style="1" customWidth="1"/>
    <col min="11" max="11" width="10" style="1" customWidth="1"/>
    <col min="12" max="15" width="9.1328125" style="1"/>
    <col min="16" max="16" width="3.265625" style="1" customWidth="1"/>
    <col min="17" max="17" width="9.1328125" style="1" customWidth="1"/>
    <col min="18" max="18" width="8.73046875" style="1" bestFit="1" customWidth="1"/>
    <col min="19" max="43" width="9.1328125" style="1"/>
    <col min="44" max="44" width="13" style="1" customWidth="1"/>
    <col min="45" max="45" width="9.1328125" style="1"/>
    <col min="46" max="46" width="9.265625" style="1" customWidth="1"/>
    <col min="47" max="52" width="9.1328125" style="1"/>
    <col min="53" max="53" width="10.86328125" style="1" customWidth="1"/>
    <col min="54" max="16384" width="9.1328125" style="1"/>
  </cols>
  <sheetData>
    <row r="2" spans="2:128" ht="13.9">
      <c r="B2" s="2" t="s">
        <v>143</v>
      </c>
      <c r="Q2" s="2" t="s">
        <v>152</v>
      </c>
      <c r="AS2" s="21" t="s">
        <v>462</v>
      </c>
      <c r="AT2" s="22">
        <f>MAX(AT7:AT256)</f>
        <v>4.2600373482726273E-2</v>
      </c>
      <c r="AV2" s="1" t="s">
        <v>479</v>
      </c>
      <c r="AX2" s="5">
        <f>AT4*3</f>
        <v>4.9241284517129877E-2</v>
      </c>
      <c r="AY2" s="1" t="s">
        <v>477</v>
      </c>
      <c r="DX2" s="1" t="s">
        <v>471</v>
      </c>
    </row>
    <row r="3" spans="2:128" ht="13.9">
      <c r="B3" s="2"/>
      <c r="AS3" s="21" t="s">
        <v>461</v>
      </c>
      <c r="AT3" s="22">
        <f>MIN(AT7:AT256)</f>
        <v>-5.7831192458239089E-2</v>
      </c>
      <c r="AV3" s="1" t="s">
        <v>480</v>
      </c>
      <c r="AX3" s="5"/>
    </row>
    <row r="4" spans="2:128" ht="13.9">
      <c r="B4" s="2" t="s">
        <v>170</v>
      </c>
      <c r="Q4" s="1" t="s">
        <v>202</v>
      </c>
      <c r="AS4" s="21" t="s">
        <v>475</v>
      </c>
      <c r="AT4" s="22">
        <f>_xlfn.STDEV.S(AT5:AT256)</f>
        <v>1.6413761505709959E-2</v>
      </c>
    </row>
    <row r="5" spans="2:128" ht="13.9">
      <c r="R5" s="1" t="s">
        <v>187</v>
      </c>
      <c r="AN5" s="2" t="s">
        <v>470</v>
      </c>
      <c r="AO5" s="2"/>
      <c r="AP5" s="2"/>
      <c r="AQ5" s="2"/>
      <c r="AS5" s="21" t="s">
        <v>460</v>
      </c>
      <c r="AT5" s="22">
        <f>AVERAGE(AT7:AT256)</f>
        <v>-4.1893908261100675E-4</v>
      </c>
    </row>
    <row r="6" spans="2:128">
      <c r="R6" s="1" t="s">
        <v>490</v>
      </c>
    </row>
    <row r="7" spans="2:128">
      <c r="AN7" s="21" t="s">
        <v>469</v>
      </c>
      <c r="AO7" s="21" t="s">
        <v>468</v>
      </c>
      <c r="AP7" s="21" t="s">
        <v>467</v>
      </c>
      <c r="AQ7" s="21" t="s">
        <v>466</v>
      </c>
      <c r="AR7" s="21" t="s">
        <v>465</v>
      </c>
      <c r="AS7" s="21" t="s">
        <v>464</v>
      </c>
      <c r="AT7" s="21" t="s">
        <v>463</v>
      </c>
    </row>
    <row r="8" spans="2:128">
      <c r="Q8" s="1" t="s">
        <v>485</v>
      </c>
      <c r="AN8" s="23">
        <v>70.86</v>
      </c>
      <c r="AO8" s="23">
        <v>71.709999999999994</v>
      </c>
      <c r="AP8" s="23">
        <v>70.547600000000003</v>
      </c>
      <c r="AQ8" s="23">
        <v>71</v>
      </c>
      <c r="AR8" s="23">
        <v>6678611</v>
      </c>
      <c r="AS8" s="23" t="s">
        <v>459</v>
      </c>
      <c r="AT8" s="24">
        <f t="shared" ref="AT8:AT71" si="0">AN8/AQ8-1</f>
        <v>-1.9718309859154681E-3</v>
      </c>
    </row>
    <row r="9" spans="2:128">
      <c r="R9" s="1" t="s">
        <v>486</v>
      </c>
      <c r="AN9" s="23">
        <v>70.97</v>
      </c>
      <c r="AO9" s="23">
        <v>71.66</v>
      </c>
      <c r="AP9" s="23">
        <v>70.504999999999995</v>
      </c>
      <c r="AQ9" s="23">
        <v>71.55</v>
      </c>
      <c r="AR9" s="23">
        <v>9911035</v>
      </c>
      <c r="AS9" s="23" t="s">
        <v>458</v>
      </c>
      <c r="AT9" s="24">
        <f t="shared" si="0"/>
        <v>-8.1062194269740928E-3</v>
      </c>
    </row>
    <row r="10" spans="2:128">
      <c r="AN10" s="23">
        <v>70.19</v>
      </c>
      <c r="AO10" s="23">
        <v>70.41</v>
      </c>
      <c r="AP10" s="23">
        <v>68.55</v>
      </c>
      <c r="AQ10" s="23">
        <v>68.62</v>
      </c>
      <c r="AR10" s="23">
        <v>14484685</v>
      </c>
      <c r="AS10" s="23" t="s">
        <v>457</v>
      </c>
      <c r="AT10" s="24">
        <f t="shared" si="0"/>
        <v>2.2879626930923935E-2</v>
      </c>
    </row>
    <row r="11" spans="2:128">
      <c r="Q11" s="1" t="s">
        <v>481</v>
      </c>
      <c r="AN11" s="23">
        <v>69.67</v>
      </c>
      <c r="AO11" s="23">
        <v>70.81</v>
      </c>
      <c r="AP11" s="23">
        <v>69.25</v>
      </c>
      <c r="AQ11" s="23">
        <v>69.435000000000002</v>
      </c>
      <c r="AR11" s="23">
        <v>7453575</v>
      </c>
      <c r="AS11" s="23" t="s">
        <v>456</v>
      </c>
      <c r="AT11" s="24">
        <f t="shared" si="0"/>
        <v>3.3844602865988893E-3</v>
      </c>
    </row>
    <row r="12" spans="2:128">
      <c r="R12" s="1" t="s">
        <v>482</v>
      </c>
      <c r="AN12" s="23">
        <v>70</v>
      </c>
      <c r="AO12" s="23">
        <v>70.48</v>
      </c>
      <c r="AP12" s="23">
        <v>68.819999999999993</v>
      </c>
      <c r="AQ12" s="23">
        <v>69.099999999999994</v>
      </c>
      <c r="AR12" s="23">
        <v>6876430</v>
      </c>
      <c r="AS12" s="23" t="s">
        <v>455</v>
      </c>
      <c r="AT12" s="24">
        <f t="shared" si="0"/>
        <v>1.3024602026049381E-2</v>
      </c>
    </row>
    <row r="13" spans="2:128">
      <c r="R13" s="1" t="s">
        <v>483</v>
      </c>
      <c r="AN13" s="23">
        <v>68.88</v>
      </c>
      <c r="AO13" s="23">
        <v>69.459999999999994</v>
      </c>
      <c r="AP13" s="23">
        <v>68.290000000000006</v>
      </c>
      <c r="AQ13" s="23">
        <v>69.069999999999993</v>
      </c>
      <c r="AR13" s="23">
        <v>7520849</v>
      </c>
      <c r="AS13" s="23" t="s">
        <v>454</v>
      </c>
      <c r="AT13" s="24">
        <f t="shared" si="0"/>
        <v>-2.7508324887794977E-3</v>
      </c>
    </row>
    <row r="14" spans="2:128">
      <c r="Q14" s="1" t="s">
        <v>484</v>
      </c>
      <c r="AN14" s="23">
        <v>69.650000000000006</v>
      </c>
      <c r="AO14" s="23">
        <v>70.22</v>
      </c>
      <c r="AP14" s="23">
        <v>67.98</v>
      </c>
      <c r="AQ14" s="23">
        <v>68.67</v>
      </c>
      <c r="AR14" s="23">
        <v>7971219</v>
      </c>
      <c r="AS14" s="23" t="s">
        <v>453</v>
      </c>
      <c r="AT14" s="24">
        <f t="shared" si="0"/>
        <v>1.4271151885830946E-2</v>
      </c>
    </row>
    <row r="15" spans="2:128">
      <c r="R15" s="1" t="s">
        <v>487</v>
      </c>
      <c r="AN15" s="23">
        <v>68.95</v>
      </c>
      <c r="AO15" s="23">
        <v>69.14</v>
      </c>
      <c r="AP15" s="23">
        <v>67.52</v>
      </c>
      <c r="AQ15" s="23">
        <v>67.81</v>
      </c>
      <c r="AR15" s="23">
        <v>9828715</v>
      </c>
      <c r="AS15" s="23" t="s">
        <v>452</v>
      </c>
      <c r="AT15" s="24">
        <f t="shared" si="0"/>
        <v>1.6811679693260695E-2</v>
      </c>
    </row>
    <row r="16" spans="2:128">
      <c r="R16" s="1" t="s">
        <v>488</v>
      </c>
      <c r="AN16" s="23">
        <v>66.91</v>
      </c>
      <c r="AO16" s="23">
        <v>68.91</v>
      </c>
      <c r="AP16" s="23">
        <v>66.7</v>
      </c>
      <c r="AQ16" s="23">
        <v>68.33</v>
      </c>
      <c r="AR16" s="23">
        <v>9778264</v>
      </c>
      <c r="AS16" s="23" t="s">
        <v>451</v>
      </c>
      <c r="AT16" s="24">
        <f t="shared" si="0"/>
        <v>-2.0781501536660363E-2</v>
      </c>
    </row>
    <row r="17" spans="17:46">
      <c r="AN17" s="23">
        <v>68.62</v>
      </c>
      <c r="AO17" s="23">
        <v>69.38</v>
      </c>
      <c r="AP17" s="23">
        <v>67.905000000000001</v>
      </c>
      <c r="AQ17" s="23">
        <v>68.87</v>
      </c>
      <c r="AR17" s="23">
        <v>11545839</v>
      </c>
      <c r="AS17" s="23" t="s">
        <v>450</v>
      </c>
      <c r="AT17" s="24">
        <f t="shared" si="0"/>
        <v>-3.6300275882096278E-3</v>
      </c>
    </row>
    <row r="18" spans="17:46">
      <c r="Q18" s="14" t="s">
        <v>492</v>
      </c>
      <c r="R18" s="14"/>
      <c r="AN18" s="23">
        <v>67.98</v>
      </c>
      <c r="AO18" s="23">
        <v>68.95</v>
      </c>
      <c r="AP18" s="23">
        <v>67.165000000000006</v>
      </c>
      <c r="AQ18" s="23">
        <v>68.41</v>
      </c>
      <c r="AR18" s="23">
        <v>12133067</v>
      </c>
      <c r="AS18" s="23" t="s">
        <v>449</v>
      </c>
      <c r="AT18" s="24">
        <f t="shared" si="0"/>
        <v>-6.2856307557374036E-3</v>
      </c>
    </row>
    <row r="19" spans="17:46">
      <c r="Q19" s="14" t="s">
        <v>493</v>
      </c>
      <c r="R19" s="14"/>
      <c r="AN19" s="23">
        <v>68.16</v>
      </c>
      <c r="AO19" s="23">
        <v>69.97</v>
      </c>
      <c r="AP19" s="23">
        <v>66.989999999999995</v>
      </c>
      <c r="AQ19" s="23">
        <v>69.02</v>
      </c>
      <c r="AR19" s="23">
        <v>15035191</v>
      </c>
      <c r="AS19" s="23" t="s">
        <v>448</v>
      </c>
      <c r="AT19" s="24">
        <f t="shared" si="0"/>
        <v>-1.2460156476383655E-2</v>
      </c>
    </row>
    <row r="20" spans="17:46">
      <c r="Q20" s="14" t="s">
        <v>491</v>
      </c>
      <c r="R20" s="14"/>
      <c r="AN20" s="23">
        <v>70.48</v>
      </c>
      <c r="AO20" s="23">
        <v>70.98</v>
      </c>
      <c r="AP20" s="23">
        <v>67.825000000000003</v>
      </c>
      <c r="AQ20" s="23">
        <v>67.97</v>
      </c>
      <c r="AR20" s="23">
        <v>16388274</v>
      </c>
      <c r="AS20" s="23" t="s">
        <v>447</v>
      </c>
      <c r="AT20" s="24">
        <f t="shared" si="0"/>
        <v>3.6928056495512784E-2</v>
      </c>
    </row>
    <row r="21" spans="17:46">
      <c r="Q21" s="14"/>
      <c r="R21" s="14" t="s">
        <v>496</v>
      </c>
      <c r="AN21" s="23">
        <v>68.08</v>
      </c>
      <c r="AO21" s="23">
        <v>69.86</v>
      </c>
      <c r="AP21" s="23">
        <v>67.659000000000006</v>
      </c>
      <c r="AQ21" s="23">
        <v>68.819999999999993</v>
      </c>
      <c r="AR21" s="23">
        <v>11226928</v>
      </c>
      <c r="AS21" s="23" t="s">
        <v>446</v>
      </c>
      <c r="AT21" s="24">
        <f t="shared" si="0"/>
        <v>-1.075268817204289E-2</v>
      </c>
    </row>
    <row r="22" spans="17:46">
      <c r="Q22" s="14"/>
      <c r="R22" s="14" t="s">
        <v>494</v>
      </c>
      <c r="AN22" s="23">
        <v>69.5</v>
      </c>
      <c r="AO22" s="23">
        <v>69.69</v>
      </c>
      <c r="AP22" s="23">
        <v>67.7</v>
      </c>
      <c r="AQ22" s="23">
        <v>67.98</v>
      </c>
      <c r="AR22" s="23">
        <v>14464271</v>
      </c>
      <c r="AS22" s="23" t="s">
        <v>445</v>
      </c>
      <c r="AT22" s="24">
        <f t="shared" si="0"/>
        <v>2.235951750514853E-2</v>
      </c>
    </row>
    <row r="23" spans="17:46">
      <c r="Q23" s="14"/>
      <c r="R23" s="14" t="s">
        <v>495</v>
      </c>
      <c r="AN23" s="23">
        <v>67.48</v>
      </c>
      <c r="AO23" s="23">
        <v>69.08</v>
      </c>
      <c r="AP23" s="23">
        <v>66.34</v>
      </c>
      <c r="AQ23" s="23">
        <v>69</v>
      </c>
      <c r="AR23" s="23">
        <v>20179966</v>
      </c>
      <c r="AS23" s="23" t="s">
        <v>444</v>
      </c>
      <c r="AT23" s="24">
        <f t="shared" si="0"/>
        <v>-2.2028985507246301E-2</v>
      </c>
    </row>
    <row r="24" spans="17:46">
      <c r="Q24" s="14"/>
      <c r="R24" s="14" t="s">
        <v>497</v>
      </c>
      <c r="AN24" s="23">
        <v>69.75</v>
      </c>
      <c r="AO24" s="23">
        <v>71.569999999999993</v>
      </c>
      <c r="AP24" s="23">
        <v>69.5</v>
      </c>
      <c r="AQ24" s="23">
        <v>71.099999999999994</v>
      </c>
      <c r="AR24" s="23">
        <v>15753699</v>
      </c>
      <c r="AS24" s="23" t="s">
        <v>443</v>
      </c>
      <c r="AT24" s="24">
        <f t="shared" si="0"/>
        <v>-1.8987341772151778E-2</v>
      </c>
    </row>
    <row r="25" spans="17:46">
      <c r="AN25" s="23">
        <v>71.05</v>
      </c>
      <c r="AO25" s="23">
        <v>71.12</v>
      </c>
      <c r="AP25" s="23">
        <v>69.682000000000002</v>
      </c>
      <c r="AQ25" s="23">
        <v>70.5</v>
      </c>
      <c r="AR25" s="23">
        <v>13601324</v>
      </c>
      <c r="AS25" s="23" t="s">
        <v>442</v>
      </c>
      <c r="AT25" s="24">
        <f t="shared" si="0"/>
        <v>7.8014184397163788E-3</v>
      </c>
    </row>
    <row r="26" spans="17:46">
      <c r="AN26" s="23">
        <v>70.73</v>
      </c>
      <c r="AO26" s="23">
        <v>72.55</v>
      </c>
      <c r="AP26" s="23">
        <v>70.58</v>
      </c>
      <c r="AQ26" s="23">
        <v>72.150000000000006</v>
      </c>
      <c r="AR26" s="23">
        <v>11661160</v>
      </c>
      <c r="AS26" s="23" t="s">
        <v>441</v>
      </c>
      <c r="AT26" s="24">
        <f t="shared" si="0"/>
        <v>-1.9681219681219719E-2</v>
      </c>
    </row>
    <row r="27" spans="17:46">
      <c r="AN27" s="23">
        <v>72.05</v>
      </c>
      <c r="AO27" s="23">
        <v>74.48</v>
      </c>
      <c r="AP27" s="23">
        <v>71.77</v>
      </c>
      <c r="AQ27" s="23">
        <v>74.33</v>
      </c>
      <c r="AR27" s="23">
        <v>15296804</v>
      </c>
      <c r="AS27" s="23" t="s">
        <v>440</v>
      </c>
      <c r="AT27" s="24">
        <f t="shared" si="0"/>
        <v>-3.0674021256558603E-2</v>
      </c>
    </row>
    <row r="28" spans="17:46">
      <c r="AN28" s="23">
        <v>74.069999999999993</v>
      </c>
      <c r="AO28" s="23">
        <v>77.568299999999994</v>
      </c>
      <c r="AP28" s="23">
        <v>72.7</v>
      </c>
      <c r="AQ28" s="23">
        <v>77.135000000000005</v>
      </c>
      <c r="AR28" s="23">
        <v>20647167</v>
      </c>
      <c r="AS28" s="23" t="s">
        <v>439</v>
      </c>
      <c r="AT28" s="24">
        <f t="shared" si="0"/>
        <v>-3.9735528618655702E-2</v>
      </c>
    </row>
    <row r="29" spans="17:46">
      <c r="AN29" s="23">
        <v>75.25</v>
      </c>
      <c r="AO29" s="23">
        <v>75.88</v>
      </c>
      <c r="AP29" s="23">
        <v>73.97</v>
      </c>
      <c r="AQ29" s="23">
        <v>75.245000000000005</v>
      </c>
      <c r="AR29" s="23">
        <v>12873277</v>
      </c>
      <c r="AS29" s="23" t="s">
        <v>438</v>
      </c>
      <c r="AT29" s="24">
        <f t="shared" si="0"/>
        <v>6.6449597979856279E-5</v>
      </c>
    </row>
    <row r="30" spans="17:46">
      <c r="AN30" s="23">
        <v>74.95</v>
      </c>
      <c r="AO30" s="23">
        <v>77.48</v>
      </c>
      <c r="AP30" s="23">
        <v>74.75</v>
      </c>
      <c r="AQ30" s="23">
        <v>77.44</v>
      </c>
      <c r="AR30" s="23">
        <v>15171686</v>
      </c>
      <c r="AS30" s="23" t="s">
        <v>437</v>
      </c>
      <c r="AT30" s="24">
        <f t="shared" si="0"/>
        <v>-3.2153925619834656E-2</v>
      </c>
    </row>
    <row r="31" spans="17:46">
      <c r="AN31" s="23">
        <v>77.63</v>
      </c>
      <c r="AO31" s="23">
        <v>78.17</v>
      </c>
      <c r="AP31" s="23">
        <v>76.849999999999994</v>
      </c>
      <c r="AQ31" s="23">
        <v>78.12</v>
      </c>
      <c r="AR31" s="23">
        <v>9319311</v>
      </c>
      <c r="AS31" s="23" t="s">
        <v>436</v>
      </c>
      <c r="AT31" s="24">
        <f t="shared" si="0"/>
        <v>-6.2724014336918987E-3</v>
      </c>
    </row>
    <row r="32" spans="17:46">
      <c r="AN32" s="23">
        <v>78.36</v>
      </c>
      <c r="AO32" s="23">
        <v>79</v>
      </c>
      <c r="AP32" s="23">
        <v>77.534999999999997</v>
      </c>
      <c r="AQ32" s="23">
        <v>78.5</v>
      </c>
      <c r="AR32" s="23">
        <v>9082256</v>
      </c>
      <c r="AS32" s="23" t="s">
        <v>435</v>
      </c>
      <c r="AT32" s="24">
        <f t="shared" si="0"/>
        <v>-1.7834394904459039E-3</v>
      </c>
    </row>
    <row r="33" spans="9:46">
      <c r="I33" s="1" t="s">
        <v>476</v>
      </c>
      <c r="AN33" s="23">
        <v>78.62</v>
      </c>
      <c r="AO33" s="23">
        <v>78.760000000000005</v>
      </c>
      <c r="AP33" s="23">
        <v>77.500600000000006</v>
      </c>
      <c r="AQ33" s="23">
        <v>78.2</v>
      </c>
      <c r="AR33" s="23">
        <v>11281243</v>
      </c>
      <c r="AS33" s="23" t="s">
        <v>434</v>
      </c>
      <c r="AT33" s="24">
        <f t="shared" si="0"/>
        <v>5.3708439897699467E-3</v>
      </c>
    </row>
    <row r="34" spans="9:46">
      <c r="AN34" s="23">
        <v>77.97</v>
      </c>
      <c r="AO34" s="23">
        <v>78.33</v>
      </c>
      <c r="AP34" s="23">
        <v>76.63</v>
      </c>
      <c r="AQ34" s="23">
        <v>76.900000000000006</v>
      </c>
      <c r="AR34" s="23">
        <v>10504560</v>
      </c>
      <c r="AS34" s="23" t="s">
        <v>433</v>
      </c>
      <c r="AT34" s="24">
        <f t="shared" si="0"/>
        <v>1.3914174252275702E-2</v>
      </c>
    </row>
    <row r="35" spans="9:46">
      <c r="AN35" s="23">
        <v>76.59</v>
      </c>
      <c r="AO35" s="23">
        <v>76.924999999999997</v>
      </c>
      <c r="AP35" s="23">
        <v>75.73</v>
      </c>
      <c r="AQ35" s="23">
        <v>76.37</v>
      </c>
      <c r="AR35" s="23">
        <v>9958597</v>
      </c>
      <c r="AS35" s="23" t="s">
        <v>432</v>
      </c>
      <c r="AT35" s="24">
        <f t="shared" si="0"/>
        <v>2.8807123215921493E-3</v>
      </c>
    </row>
    <row r="36" spans="9:46">
      <c r="AN36" s="23">
        <v>76.27</v>
      </c>
      <c r="AO36" s="23">
        <v>76.849999999999994</v>
      </c>
      <c r="AP36" s="23">
        <v>75.3</v>
      </c>
      <c r="AQ36" s="23">
        <v>75.42</v>
      </c>
      <c r="AR36" s="23">
        <v>11782529</v>
      </c>
      <c r="AS36" s="23" t="s">
        <v>431</v>
      </c>
      <c r="AT36" s="24">
        <f t="shared" si="0"/>
        <v>1.1270220100769057E-2</v>
      </c>
    </row>
    <row r="37" spans="9:46">
      <c r="AN37" s="23">
        <v>76.209999999999994</v>
      </c>
      <c r="AO37" s="23">
        <v>77.849999999999994</v>
      </c>
      <c r="AP37" s="23">
        <v>76.040000000000006</v>
      </c>
      <c r="AQ37" s="23">
        <v>77.814999999999998</v>
      </c>
      <c r="AR37" s="23">
        <v>15769395</v>
      </c>
      <c r="AS37" s="23" t="s">
        <v>430</v>
      </c>
      <c r="AT37" s="24">
        <f t="shared" si="0"/>
        <v>-2.0625843346398609E-2</v>
      </c>
    </row>
    <row r="38" spans="9:46">
      <c r="AN38" s="23">
        <v>78.239999999999995</v>
      </c>
      <c r="AO38" s="23">
        <v>78.92</v>
      </c>
      <c r="AP38" s="23">
        <v>77.61</v>
      </c>
      <c r="AQ38" s="23">
        <v>78.16</v>
      </c>
      <c r="AR38" s="23">
        <v>11815591</v>
      </c>
      <c r="AS38" s="23" t="s">
        <v>429</v>
      </c>
      <c r="AT38" s="24">
        <f t="shared" si="0"/>
        <v>1.0235414534287557E-3</v>
      </c>
    </row>
    <row r="39" spans="9:46">
      <c r="AN39" s="23">
        <v>77.31</v>
      </c>
      <c r="AO39" s="23">
        <v>79.489999999999995</v>
      </c>
      <c r="AP39" s="23">
        <v>77.23</v>
      </c>
      <c r="AQ39" s="23">
        <v>79</v>
      </c>
      <c r="AR39" s="23">
        <v>13597269</v>
      </c>
      <c r="AS39" s="23" t="s">
        <v>428</v>
      </c>
      <c r="AT39" s="24">
        <f t="shared" si="0"/>
        <v>-2.1392405063291098E-2</v>
      </c>
    </row>
    <row r="40" spans="9:46">
      <c r="AN40" s="23">
        <v>78.569999999999993</v>
      </c>
      <c r="AO40" s="23">
        <v>79.739999999999995</v>
      </c>
      <c r="AP40" s="23">
        <v>78.11</v>
      </c>
      <c r="AQ40" s="23">
        <v>79.680000000000007</v>
      </c>
      <c r="AR40" s="23">
        <v>14440462</v>
      </c>
      <c r="AS40" s="23" t="s">
        <v>427</v>
      </c>
      <c r="AT40" s="24">
        <f t="shared" si="0"/>
        <v>-1.3930722891566383E-2</v>
      </c>
    </row>
    <row r="41" spans="9:46">
      <c r="AN41" s="23">
        <v>79.2</v>
      </c>
      <c r="AO41" s="23">
        <v>79.5</v>
      </c>
      <c r="AP41" s="23">
        <v>77.67</v>
      </c>
      <c r="AQ41" s="23">
        <v>78.209999999999994</v>
      </c>
      <c r="AR41" s="23">
        <v>23646046</v>
      </c>
      <c r="AS41" s="23" t="s">
        <v>426</v>
      </c>
      <c r="AT41" s="24">
        <f t="shared" si="0"/>
        <v>1.2658227848101333E-2</v>
      </c>
    </row>
    <row r="42" spans="9:46">
      <c r="AN42" s="23">
        <v>77.724999999999994</v>
      </c>
      <c r="AO42" s="23">
        <v>82.69</v>
      </c>
      <c r="AP42" s="23">
        <v>77.38</v>
      </c>
      <c r="AQ42" s="23">
        <v>82.26</v>
      </c>
      <c r="AR42" s="23">
        <v>58801889</v>
      </c>
      <c r="AS42" s="23" t="s">
        <v>425</v>
      </c>
      <c r="AT42" s="24">
        <f t="shared" si="0"/>
        <v>-5.5130075370775744E-2</v>
      </c>
    </row>
    <row r="43" spans="9:46">
      <c r="AN43" s="23">
        <v>89.51</v>
      </c>
      <c r="AO43" s="23">
        <v>89.71</v>
      </c>
      <c r="AP43" s="23">
        <v>86</v>
      </c>
      <c r="AQ43" s="23">
        <v>86.5</v>
      </c>
      <c r="AR43" s="23">
        <v>11215041</v>
      </c>
      <c r="AS43" s="23" t="s">
        <v>424</v>
      </c>
      <c r="AT43" s="24">
        <f t="shared" si="0"/>
        <v>3.4797687861271687E-2</v>
      </c>
    </row>
    <row r="44" spans="9:46">
      <c r="AN44" s="23">
        <v>88.58</v>
      </c>
      <c r="AO44" s="23">
        <v>90.4</v>
      </c>
      <c r="AP44" s="23">
        <v>88.54</v>
      </c>
      <c r="AQ44" s="23">
        <v>89.57</v>
      </c>
      <c r="AR44" s="23">
        <v>8338934</v>
      </c>
      <c r="AS44" s="23" t="s">
        <v>423</v>
      </c>
      <c r="AT44" s="24">
        <f t="shared" si="0"/>
        <v>-1.1052807859774472E-2</v>
      </c>
    </row>
    <row r="45" spans="9:46">
      <c r="AN45" s="23">
        <v>89.57</v>
      </c>
      <c r="AO45" s="23">
        <v>90.924999999999997</v>
      </c>
      <c r="AP45" s="23">
        <v>88.84</v>
      </c>
      <c r="AQ45" s="23">
        <v>89.51</v>
      </c>
      <c r="AR45" s="23">
        <v>7708468</v>
      </c>
      <c r="AS45" s="23" t="s">
        <v>422</v>
      </c>
      <c r="AT45" s="24">
        <f t="shared" si="0"/>
        <v>6.7031616579149578E-4</v>
      </c>
    </row>
    <row r="46" spans="9:46">
      <c r="AN46" s="23">
        <v>88.76</v>
      </c>
      <c r="AO46" s="23">
        <v>89.415000000000006</v>
      </c>
      <c r="AP46" s="23">
        <v>88.17</v>
      </c>
      <c r="AQ46" s="23">
        <v>88.17</v>
      </c>
      <c r="AR46" s="23">
        <v>5234468</v>
      </c>
      <c r="AS46" s="23" t="s">
        <v>421</v>
      </c>
      <c r="AT46" s="24">
        <f t="shared" si="0"/>
        <v>6.6916184643304177E-3</v>
      </c>
    </row>
    <row r="47" spans="9:46">
      <c r="AN47" s="23">
        <v>88.19</v>
      </c>
      <c r="AO47" s="23">
        <v>89.83</v>
      </c>
      <c r="AP47" s="23">
        <v>86.88</v>
      </c>
      <c r="AQ47" s="23">
        <v>89.76</v>
      </c>
      <c r="AR47" s="23">
        <v>8665994</v>
      </c>
      <c r="AS47" s="23" t="s">
        <v>420</v>
      </c>
      <c r="AT47" s="24">
        <f t="shared" si="0"/>
        <v>-1.74910873440286E-2</v>
      </c>
    </row>
    <row r="48" spans="9:46">
      <c r="AN48" s="23">
        <v>90.24</v>
      </c>
      <c r="AO48" s="23">
        <v>90.29</v>
      </c>
      <c r="AP48" s="23">
        <v>87.39</v>
      </c>
      <c r="AQ48" s="23">
        <v>87.545000000000002</v>
      </c>
      <c r="AR48" s="23">
        <v>6923826</v>
      </c>
      <c r="AS48" s="23" t="s">
        <v>419</v>
      </c>
      <c r="AT48" s="24">
        <f t="shared" si="0"/>
        <v>3.0784168142098167E-2</v>
      </c>
    </row>
    <row r="49" spans="5:46">
      <c r="AN49" s="23">
        <v>89.11</v>
      </c>
      <c r="AO49" s="23">
        <v>90.024000000000001</v>
      </c>
      <c r="AP49" s="23">
        <v>88.84</v>
      </c>
      <c r="AQ49" s="23">
        <v>89.59</v>
      </c>
      <c r="AR49" s="23">
        <v>6004674</v>
      </c>
      <c r="AS49" s="23" t="s">
        <v>418</v>
      </c>
      <c r="AT49" s="24">
        <f t="shared" si="0"/>
        <v>-5.3577408192878595E-3</v>
      </c>
    </row>
    <row r="50" spans="5:46">
      <c r="AN50" s="23">
        <v>89.73</v>
      </c>
      <c r="AO50" s="23">
        <v>89.78</v>
      </c>
      <c r="AP50" s="23">
        <v>88.24</v>
      </c>
      <c r="AQ50" s="23">
        <v>89.76</v>
      </c>
      <c r="AR50" s="23">
        <v>7540610</v>
      </c>
      <c r="AS50" s="23" t="s">
        <v>417</v>
      </c>
      <c r="AT50" s="24">
        <f t="shared" si="0"/>
        <v>-3.3422459893051037E-4</v>
      </c>
    </row>
    <row r="51" spans="5:46">
      <c r="AN51" s="23">
        <v>89.85</v>
      </c>
      <c r="AO51" s="23">
        <v>90.37</v>
      </c>
      <c r="AP51" s="23">
        <v>89.139799999999994</v>
      </c>
      <c r="AQ51" s="23">
        <v>90</v>
      </c>
      <c r="AR51" s="23">
        <v>7345739</v>
      </c>
      <c r="AS51" s="23" t="s">
        <v>416</v>
      </c>
      <c r="AT51" s="24">
        <f t="shared" si="0"/>
        <v>-1.6666666666667052E-3</v>
      </c>
    </row>
    <row r="52" spans="5:46">
      <c r="AN52" s="23">
        <v>89.77</v>
      </c>
      <c r="AO52" s="23">
        <v>92.21</v>
      </c>
      <c r="AP52" s="23">
        <v>89.39</v>
      </c>
      <c r="AQ52" s="23">
        <v>92.21</v>
      </c>
      <c r="AR52" s="23">
        <v>12629343</v>
      </c>
      <c r="AS52" s="23" t="s">
        <v>415</v>
      </c>
      <c r="AT52" s="24">
        <f t="shared" si="0"/>
        <v>-2.646133824964747E-2</v>
      </c>
    </row>
    <row r="53" spans="5:46">
      <c r="AN53" s="23">
        <v>91.81</v>
      </c>
      <c r="AO53" s="23">
        <v>93.245000000000005</v>
      </c>
      <c r="AP53" s="23">
        <v>90.004999999999995</v>
      </c>
      <c r="AQ53" s="23">
        <v>90.76</v>
      </c>
      <c r="AR53" s="23">
        <v>16499703</v>
      </c>
      <c r="AS53" s="23" t="s">
        <v>414</v>
      </c>
      <c r="AT53" s="24">
        <f t="shared" si="0"/>
        <v>1.1568973115910097E-2</v>
      </c>
    </row>
    <row r="54" spans="5:46">
      <c r="AN54" s="23">
        <v>88.92</v>
      </c>
      <c r="AO54" s="23">
        <v>90.373000000000005</v>
      </c>
      <c r="AP54" s="23">
        <v>88.85</v>
      </c>
      <c r="AQ54" s="23">
        <v>89.96</v>
      </c>
      <c r="AR54" s="23">
        <v>5816351</v>
      </c>
      <c r="AS54" s="23" t="s">
        <v>413</v>
      </c>
      <c r="AT54" s="24">
        <f t="shared" si="0"/>
        <v>-1.156069364161838E-2</v>
      </c>
    </row>
    <row r="55" spans="5:46">
      <c r="AN55" s="23">
        <v>89.64</v>
      </c>
      <c r="AO55" s="23">
        <v>90.19</v>
      </c>
      <c r="AP55" s="23">
        <v>88.47</v>
      </c>
      <c r="AQ55" s="23">
        <v>88.72</v>
      </c>
      <c r="AR55" s="23">
        <v>10024081</v>
      </c>
      <c r="AS55" s="23" t="s">
        <v>412</v>
      </c>
      <c r="AT55" s="24">
        <f t="shared" si="0"/>
        <v>1.0369702434625871E-2</v>
      </c>
    </row>
    <row r="56" spans="5:46">
      <c r="AN56" s="23">
        <v>87.18</v>
      </c>
      <c r="AO56" s="23">
        <v>87.4</v>
      </c>
      <c r="AP56" s="23">
        <v>84.75</v>
      </c>
      <c r="AQ56" s="23">
        <v>85.29</v>
      </c>
      <c r="AR56" s="23">
        <v>8958442</v>
      </c>
      <c r="AS56" s="23" t="s">
        <v>411</v>
      </c>
      <c r="AT56" s="24">
        <f t="shared" si="0"/>
        <v>2.2159690467815629E-2</v>
      </c>
    </row>
    <row r="57" spans="5:46">
      <c r="AN57" s="23">
        <v>83.99</v>
      </c>
      <c r="AO57" s="23">
        <v>84.12</v>
      </c>
      <c r="AP57" s="23">
        <v>81.790000000000006</v>
      </c>
      <c r="AQ57" s="23">
        <v>82.19</v>
      </c>
      <c r="AR57" s="23">
        <v>7402380</v>
      </c>
      <c r="AS57" s="23" t="s">
        <v>410</v>
      </c>
      <c r="AT57" s="24">
        <f t="shared" si="0"/>
        <v>2.1900474510281098E-2</v>
      </c>
    </row>
    <row r="58" spans="5:46">
      <c r="AN58" s="23">
        <v>83.36</v>
      </c>
      <c r="AO58" s="23">
        <v>87.09</v>
      </c>
      <c r="AP58" s="23">
        <v>82.24</v>
      </c>
      <c r="AQ58" s="23">
        <v>86.79</v>
      </c>
      <c r="AR58" s="23">
        <v>11341216</v>
      </c>
      <c r="AS58" s="23" t="s">
        <v>409</v>
      </c>
      <c r="AT58" s="24">
        <f t="shared" si="0"/>
        <v>-3.9520682106233496E-2</v>
      </c>
    </row>
    <row r="59" spans="5:46">
      <c r="AN59" s="23">
        <v>87.94</v>
      </c>
      <c r="AO59" s="23">
        <v>88.23</v>
      </c>
      <c r="AP59" s="23">
        <v>86.79</v>
      </c>
      <c r="AQ59" s="23">
        <v>88.06</v>
      </c>
      <c r="AR59" s="23">
        <v>7400030</v>
      </c>
      <c r="AS59" s="23" t="s">
        <v>408</v>
      </c>
      <c r="AT59" s="24">
        <f t="shared" si="0"/>
        <v>-1.3627072450602684E-3</v>
      </c>
    </row>
    <row r="60" spans="5:46">
      <c r="AN60" s="23">
        <v>87.97</v>
      </c>
      <c r="AO60" s="23">
        <v>89.97</v>
      </c>
      <c r="AP60" s="23">
        <v>87.6</v>
      </c>
      <c r="AQ60" s="23">
        <v>89.53</v>
      </c>
      <c r="AR60" s="23">
        <v>6080796</v>
      </c>
      <c r="AS60" s="23" t="s">
        <v>407</v>
      </c>
      <c r="AT60" s="24">
        <f t="shared" si="0"/>
        <v>-1.7424327041215215E-2</v>
      </c>
    </row>
    <row r="61" spans="5:46">
      <c r="E61" s="5"/>
      <c r="AN61" s="23">
        <v>89.53</v>
      </c>
      <c r="AO61" s="23">
        <v>90.09</v>
      </c>
      <c r="AP61" s="23">
        <v>87.72</v>
      </c>
      <c r="AQ61" s="23">
        <v>88.02</v>
      </c>
      <c r="AR61" s="23">
        <v>7869184</v>
      </c>
      <c r="AS61" s="23" t="s">
        <v>406</v>
      </c>
      <c r="AT61" s="24">
        <f t="shared" si="0"/>
        <v>1.7155192001817809E-2</v>
      </c>
    </row>
    <row r="62" spans="5:46">
      <c r="AN62" s="23">
        <v>87.6</v>
      </c>
      <c r="AO62" s="23">
        <v>87.7</v>
      </c>
      <c r="AP62" s="23">
        <v>86.31</v>
      </c>
      <c r="AQ62" s="23">
        <v>86.73</v>
      </c>
      <c r="AR62" s="23">
        <v>6136427</v>
      </c>
      <c r="AS62" s="23" t="s">
        <v>405</v>
      </c>
      <c r="AT62" s="24">
        <f t="shared" si="0"/>
        <v>1.0031131096506218E-2</v>
      </c>
    </row>
    <row r="63" spans="5:46">
      <c r="AN63" s="23">
        <v>86.18</v>
      </c>
      <c r="AO63" s="23">
        <v>86.94</v>
      </c>
      <c r="AP63" s="23">
        <v>84.82</v>
      </c>
      <c r="AQ63" s="23">
        <v>85.834999999999994</v>
      </c>
      <c r="AR63" s="23">
        <v>6227776</v>
      </c>
      <c r="AS63" s="23" t="s">
        <v>404</v>
      </c>
      <c r="AT63" s="24">
        <f t="shared" si="0"/>
        <v>4.0193394303025265E-3</v>
      </c>
    </row>
    <row r="64" spans="5:46">
      <c r="AN64" s="23">
        <v>85.35</v>
      </c>
      <c r="AO64" s="23">
        <v>85.9</v>
      </c>
      <c r="AP64" s="23">
        <v>85.05</v>
      </c>
      <c r="AQ64" s="23">
        <v>85.734999999999999</v>
      </c>
      <c r="AR64" s="23">
        <v>4533202</v>
      </c>
      <c r="AS64" s="23" t="s">
        <v>403</v>
      </c>
      <c r="AT64" s="24">
        <f t="shared" si="0"/>
        <v>-4.490581442817998E-3</v>
      </c>
    </row>
    <row r="65" spans="40:46">
      <c r="AN65" s="23">
        <v>85.43</v>
      </c>
      <c r="AO65" s="23">
        <v>86.067499999999995</v>
      </c>
      <c r="AP65" s="23">
        <v>84.66</v>
      </c>
      <c r="AQ65" s="23">
        <v>85.69</v>
      </c>
      <c r="AR65" s="23">
        <v>5855039</v>
      </c>
      <c r="AS65" s="23" t="s">
        <v>402</v>
      </c>
      <c r="AT65" s="24">
        <f t="shared" si="0"/>
        <v>-3.0341930213559909E-3</v>
      </c>
    </row>
    <row r="66" spans="40:46">
      <c r="AN66" s="23">
        <v>86.86</v>
      </c>
      <c r="AO66" s="23">
        <v>87.655000000000001</v>
      </c>
      <c r="AP66" s="23">
        <v>86.202699999999993</v>
      </c>
      <c r="AQ66" s="23">
        <v>87.36</v>
      </c>
      <c r="AR66" s="23">
        <v>5124993</v>
      </c>
      <c r="AS66" s="23" t="s">
        <v>401</v>
      </c>
      <c r="AT66" s="24">
        <f t="shared" si="0"/>
        <v>-5.7234432234432031E-3</v>
      </c>
    </row>
    <row r="67" spans="40:46">
      <c r="AN67" s="23">
        <v>88.14</v>
      </c>
      <c r="AO67" s="23">
        <v>88.73</v>
      </c>
      <c r="AP67" s="23">
        <v>87.26</v>
      </c>
      <c r="AQ67" s="23">
        <v>87.6</v>
      </c>
      <c r="AR67" s="23">
        <v>4802170</v>
      </c>
      <c r="AS67" s="23" t="s">
        <v>400</v>
      </c>
      <c r="AT67" s="24">
        <f t="shared" si="0"/>
        <v>6.164383561643838E-3</v>
      </c>
    </row>
    <row r="68" spans="40:46">
      <c r="AN68" s="23">
        <v>88.25</v>
      </c>
      <c r="AO68" s="23">
        <v>88.33</v>
      </c>
      <c r="AP68" s="23">
        <v>86.59</v>
      </c>
      <c r="AQ68" s="23">
        <v>86.9</v>
      </c>
      <c r="AR68" s="23">
        <v>3276344</v>
      </c>
      <c r="AS68" s="23" t="s">
        <v>399</v>
      </c>
      <c r="AT68" s="24">
        <f t="shared" si="0"/>
        <v>1.5535097813578869E-2</v>
      </c>
    </row>
    <row r="69" spans="40:46">
      <c r="AN69" s="23">
        <v>86.9</v>
      </c>
      <c r="AO69" s="23">
        <v>87.24</v>
      </c>
      <c r="AP69" s="23">
        <v>85.97</v>
      </c>
      <c r="AQ69" s="23">
        <v>86.47</v>
      </c>
      <c r="AR69" s="23">
        <v>5633131</v>
      </c>
      <c r="AS69" s="23" t="s">
        <v>398</v>
      </c>
      <c r="AT69" s="24">
        <f t="shared" si="0"/>
        <v>4.9728229443739558E-3</v>
      </c>
    </row>
    <row r="70" spans="40:46">
      <c r="AN70" s="23">
        <v>87.13</v>
      </c>
      <c r="AO70" s="23">
        <v>88.23</v>
      </c>
      <c r="AP70" s="23">
        <v>84.5</v>
      </c>
      <c r="AQ70" s="23">
        <v>84.91</v>
      </c>
      <c r="AR70" s="23">
        <v>22052710</v>
      </c>
      <c r="AS70" s="23" t="s">
        <v>397</v>
      </c>
      <c r="AT70" s="24">
        <f t="shared" si="0"/>
        <v>2.6145330349782059E-2</v>
      </c>
    </row>
    <row r="71" spans="40:46">
      <c r="AN71" s="23">
        <v>86.78</v>
      </c>
      <c r="AO71" s="23">
        <v>88.42</v>
      </c>
      <c r="AP71" s="23">
        <v>86.16</v>
      </c>
      <c r="AQ71" s="23">
        <v>86.28</v>
      </c>
      <c r="AR71" s="23">
        <v>9522428</v>
      </c>
      <c r="AS71" s="23" t="s">
        <v>396</v>
      </c>
      <c r="AT71" s="24">
        <f t="shared" si="0"/>
        <v>5.7950857672692813E-3</v>
      </c>
    </row>
    <row r="72" spans="40:46">
      <c r="AN72" s="23">
        <v>85.45</v>
      </c>
      <c r="AO72" s="23">
        <v>91.09</v>
      </c>
      <c r="AP72" s="23">
        <v>85.176400000000001</v>
      </c>
      <c r="AQ72" s="23">
        <v>90.694999999999993</v>
      </c>
      <c r="AR72" s="23">
        <v>12583697</v>
      </c>
      <c r="AS72" s="23" t="s">
        <v>395</v>
      </c>
      <c r="AT72" s="24">
        <f t="shared" ref="AT72:AT135" si="1">AN72/AQ72-1</f>
        <v>-5.7831192458239089E-2</v>
      </c>
    </row>
    <row r="73" spans="40:46">
      <c r="AN73" s="23">
        <v>90.86</v>
      </c>
      <c r="AO73" s="23">
        <v>92</v>
      </c>
      <c r="AP73" s="23">
        <v>90.23</v>
      </c>
      <c r="AQ73" s="23">
        <v>90.9</v>
      </c>
      <c r="AR73" s="23">
        <v>8395584</v>
      </c>
      <c r="AS73" s="23" t="s">
        <v>394</v>
      </c>
      <c r="AT73" s="24">
        <f t="shared" si="1"/>
        <v>-4.4004400440056379E-4</v>
      </c>
    </row>
    <row r="74" spans="40:46">
      <c r="AN74" s="23">
        <v>91.3</v>
      </c>
      <c r="AO74" s="23">
        <v>91.46</v>
      </c>
      <c r="AP74" s="23">
        <v>89.52</v>
      </c>
      <c r="AQ74" s="23">
        <v>90.79</v>
      </c>
      <c r="AR74" s="23">
        <v>7402470</v>
      </c>
      <c r="AS74" s="23" t="s">
        <v>393</v>
      </c>
      <c r="AT74" s="24">
        <f t="shared" si="1"/>
        <v>5.6173587399492853E-3</v>
      </c>
    </row>
    <row r="75" spans="40:46">
      <c r="AN75" s="23">
        <v>91.02</v>
      </c>
      <c r="AO75" s="23">
        <v>91.185000000000002</v>
      </c>
      <c r="AP75" s="23">
        <v>89.82</v>
      </c>
      <c r="AQ75" s="23">
        <v>90.42</v>
      </c>
      <c r="AR75" s="23">
        <v>8358050</v>
      </c>
      <c r="AS75" s="23" t="s">
        <v>392</v>
      </c>
      <c r="AT75" s="24">
        <f t="shared" si="1"/>
        <v>6.6357000663568311E-3</v>
      </c>
    </row>
    <row r="76" spans="40:46">
      <c r="AN76" s="23">
        <v>89.4</v>
      </c>
      <c r="AO76" s="23">
        <v>91.17</v>
      </c>
      <c r="AP76" s="23">
        <v>89.334999999999994</v>
      </c>
      <c r="AQ76" s="23">
        <v>90.43</v>
      </c>
      <c r="AR76" s="23">
        <v>4711138</v>
      </c>
      <c r="AS76" s="23" t="s">
        <v>391</v>
      </c>
      <c r="AT76" s="24">
        <f t="shared" si="1"/>
        <v>-1.1390025434037443E-2</v>
      </c>
    </row>
    <row r="77" spans="40:46">
      <c r="AN77" s="23">
        <v>90.75</v>
      </c>
      <c r="AO77" s="23">
        <v>91.03</v>
      </c>
      <c r="AP77" s="23">
        <v>87.84</v>
      </c>
      <c r="AQ77" s="23">
        <v>88.62</v>
      </c>
      <c r="AR77" s="23">
        <v>6657199</v>
      </c>
      <c r="AS77" s="23" t="s">
        <v>390</v>
      </c>
      <c r="AT77" s="24">
        <f t="shared" si="1"/>
        <v>2.4035206499661399E-2</v>
      </c>
    </row>
    <row r="78" spans="40:46">
      <c r="AN78" s="23">
        <v>88.76</v>
      </c>
      <c r="AO78" s="23">
        <v>90</v>
      </c>
      <c r="AP78" s="23">
        <v>88.375</v>
      </c>
      <c r="AQ78" s="23">
        <v>89.94</v>
      </c>
      <c r="AR78" s="23">
        <v>6697466</v>
      </c>
      <c r="AS78" s="23" t="s">
        <v>389</v>
      </c>
      <c r="AT78" s="24">
        <f t="shared" si="1"/>
        <v>-1.3119857682899583E-2</v>
      </c>
    </row>
    <row r="79" spans="40:46">
      <c r="AN79" s="23">
        <v>90</v>
      </c>
      <c r="AO79" s="23">
        <v>93.66</v>
      </c>
      <c r="AP79" s="23">
        <v>89.73</v>
      </c>
      <c r="AQ79" s="23">
        <v>92.25</v>
      </c>
      <c r="AR79" s="23">
        <v>10714196</v>
      </c>
      <c r="AS79" s="23" t="s">
        <v>388</v>
      </c>
      <c r="AT79" s="24">
        <f t="shared" si="1"/>
        <v>-2.4390243902439046E-2</v>
      </c>
    </row>
    <row r="80" spans="40:46">
      <c r="AN80" s="23">
        <v>89.88</v>
      </c>
      <c r="AO80" s="23">
        <v>90.04</v>
      </c>
      <c r="AP80" s="23">
        <v>88.545000000000002</v>
      </c>
      <c r="AQ80" s="23">
        <v>89.49</v>
      </c>
      <c r="AR80" s="23">
        <v>6955544</v>
      </c>
      <c r="AS80" s="23" t="s">
        <v>387</v>
      </c>
      <c r="AT80" s="24">
        <f t="shared" si="1"/>
        <v>4.3580288300368863E-3</v>
      </c>
    </row>
    <row r="81" spans="40:46">
      <c r="AN81" s="23">
        <v>89.045000000000002</v>
      </c>
      <c r="AO81" s="23">
        <v>90.27</v>
      </c>
      <c r="AP81" s="23">
        <v>88.27</v>
      </c>
      <c r="AQ81" s="23">
        <v>89.59</v>
      </c>
      <c r="AR81" s="23">
        <v>9025551</v>
      </c>
      <c r="AS81" s="23" t="s">
        <v>386</v>
      </c>
      <c r="AT81" s="24">
        <f t="shared" si="1"/>
        <v>-6.0832682218997514E-3</v>
      </c>
    </row>
    <row r="82" spans="40:46">
      <c r="AN82" s="23">
        <v>89.33</v>
      </c>
      <c r="AO82" s="23">
        <v>90.14</v>
      </c>
      <c r="AP82" s="23">
        <v>85.24</v>
      </c>
      <c r="AQ82" s="23">
        <v>85.68</v>
      </c>
      <c r="AR82" s="23">
        <v>15535961</v>
      </c>
      <c r="AS82" s="23" t="s">
        <v>385</v>
      </c>
      <c r="AT82" s="24">
        <f t="shared" si="1"/>
        <v>4.2600373482726273E-2</v>
      </c>
    </row>
    <row r="83" spans="40:46">
      <c r="AN83" s="23">
        <v>85.14</v>
      </c>
      <c r="AO83" s="23">
        <v>86.4</v>
      </c>
      <c r="AP83" s="23">
        <v>84.614999999999995</v>
      </c>
      <c r="AQ83" s="23">
        <v>86.4</v>
      </c>
      <c r="AR83" s="23">
        <v>8189778</v>
      </c>
      <c r="AS83" s="23" t="s">
        <v>384</v>
      </c>
      <c r="AT83" s="24">
        <f t="shared" si="1"/>
        <v>-1.4583333333333393E-2</v>
      </c>
    </row>
    <row r="84" spans="40:46">
      <c r="AN84" s="23">
        <v>86.53</v>
      </c>
      <c r="AO84" s="23">
        <v>87.47</v>
      </c>
      <c r="AP84" s="23">
        <v>85.84</v>
      </c>
      <c r="AQ84" s="23">
        <v>86.55</v>
      </c>
      <c r="AR84" s="23">
        <v>7273536</v>
      </c>
      <c r="AS84" s="23" t="s">
        <v>383</v>
      </c>
      <c r="AT84" s="24">
        <f t="shared" si="1"/>
        <v>-2.3108030040430716E-4</v>
      </c>
    </row>
    <row r="85" spans="40:46">
      <c r="AN85" s="23">
        <v>86.77</v>
      </c>
      <c r="AO85" s="23">
        <v>87.08</v>
      </c>
      <c r="AP85" s="23">
        <v>85.82</v>
      </c>
      <c r="AQ85" s="23">
        <v>86.39</v>
      </c>
      <c r="AR85" s="23">
        <v>4469740</v>
      </c>
      <c r="AS85" s="23" t="s">
        <v>382</v>
      </c>
      <c r="AT85" s="24">
        <f t="shared" si="1"/>
        <v>4.3986572519967293E-3</v>
      </c>
    </row>
    <row r="86" spans="40:46">
      <c r="AN86" s="23">
        <v>86.57</v>
      </c>
      <c r="AO86" s="23">
        <v>87.66</v>
      </c>
      <c r="AP86" s="23">
        <v>86.27</v>
      </c>
      <c r="AQ86" s="23">
        <v>87.55</v>
      </c>
      <c r="AR86" s="23">
        <v>5477894</v>
      </c>
      <c r="AS86" s="23" t="s">
        <v>381</v>
      </c>
      <c r="AT86" s="24">
        <f t="shared" si="1"/>
        <v>-1.1193603655054285E-2</v>
      </c>
    </row>
    <row r="87" spans="40:46">
      <c r="AN87" s="23">
        <v>86.94</v>
      </c>
      <c r="AO87" s="23">
        <v>88.18</v>
      </c>
      <c r="AP87" s="23">
        <v>86.9</v>
      </c>
      <c r="AQ87" s="23">
        <v>87.4</v>
      </c>
      <c r="AR87" s="23">
        <v>5610415</v>
      </c>
      <c r="AS87" s="23" t="s">
        <v>380</v>
      </c>
      <c r="AT87" s="24">
        <f t="shared" si="1"/>
        <v>-5.2631578947369695E-3</v>
      </c>
    </row>
    <row r="88" spans="40:46">
      <c r="AN88" s="23">
        <v>87.77</v>
      </c>
      <c r="AO88" s="23">
        <v>88.74</v>
      </c>
      <c r="AP88" s="23">
        <v>86.97</v>
      </c>
      <c r="AQ88" s="23">
        <v>87.99</v>
      </c>
      <c r="AR88" s="23">
        <v>12998272</v>
      </c>
      <c r="AS88" s="23" t="s">
        <v>379</v>
      </c>
      <c r="AT88" s="24">
        <f t="shared" si="1"/>
        <v>-2.5002841231958062E-3</v>
      </c>
    </row>
    <row r="89" spans="40:46">
      <c r="AN89" s="23">
        <v>86.77</v>
      </c>
      <c r="AO89" s="23">
        <v>86.8</v>
      </c>
      <c r="AP89" s="23">
        <v>84.57</v>
      </c>
      <c r="AQ89" s="23">
        <v>84.68</v>
      </c>
      <c r="AR89" s="23">
        <v>6785992</v>
      </c>
      <c r="AS89" s="23" t="s">
        <v>378</v>
      </c>
      <c r="AT89" s="24">
        <f t="shared" si="1"/>
        <v>2.4681152574397514E-2</v>
      </c>
    </row>
    <row r="90" spans="40:46">
      <c r="AN90" s="23">
        <v>84.82</v>
      </c>
      <c r="AO90" s="23">
        <v>85.49</v>
      </c>
      <c r="AP90" s="23">
        <v>84.21</v>
      </c>
      <c r="AQ90" s="23">
        <v>85.16</v>
      </c>
      <c r="AR90" s="23">
        <v>7250051</v>
      </c>
      <c r="AS90" s="23" t="s">
        <v>377</v>
      </c>
      <c r="AT90" s="24">
        <f t="shared" si="1"/>
        <v>-3.9924847346172188E-3</v>
      </c>
    </row>
    <row r="91" spans="40:46">
      <c r="AN91" s="23">
        <v>84.74</v>
      </c>
      <c r="AO91" s="23">
        <v>85.6</v>
      </c>
      <c r="AP91" s="23">
        <v>84.24</v>
      </c>
      <c r="AQ91" s="23">
        <v>84.51</v>
      </c>
      <c r="AR91" s="23">
        <v>6076348</v>
      </c>
      <c r="AS91" s="23" t="s">
        <v>376</v>
      </c>
      <c r="AT91" s="24">
        <f t="shared" si="1"/>
        <v>2.7215714116670675E-3</v>
      </c>
    </row>
    <row r="92" spans="40:46">
      <c r="AN92" s="23">
        <v>84.09</v>
      </c>
      <c r="AO92" s="23">
        <v>84.234999999999999</v>
      </c>
      <c r="AP92" s="23">
        <v>82.5</v>
      </c>
      <c r="AQ92" s="23">
        <v>82.99</v>
      </c>
      <c r="AR92" s="23">
        <v>12442731</v>
      </c>
      <c r="AS92" s="23" t="s">
        <v>375</v>
      </c>
      <c r="AT92" s="24">
        <f t="shared" si="1"/>
        <v>1.3254608989034855E-2</v>
      </c>
    </row>
    <row r="93" spans="40:46">
      <c r="AN93" s="23">
        <v>84.67</v>
      </c>
      <c r="AO93" s="23">
        <v>86.84</v>
      </c>
      <c r="AP93" s="23">
        <v>84.575000000000003</v>
      </c>
      <c r="AQ93" s="23">
        <v>86.055000000000007</v>
      </c>
      <c r="AR93" s="23">
        <v>10152571</v>
      </c>
      <c r="AS93" s="23" t="s">
        <v>374</v>
      </c>
      <c r="AT93" s="24">
        <f t="shared" si="1"/>
        <v>-1.6094358259252872E-2</v>
      </c>
    </row>
    <row r="94" spans="40:46">
      <c r="AN94" s="23">
        <v>85.83</v>
      </c>
      <c r="AO94" s="23">
        <v>86.2</v>
      </c>
      <c r="AP94" s="23">
        <v>85.101399999999998</v>
      </c>
      <c r="AQ94" s="23">
        <v>85.35</v>
      </c>
      <c r="AR94" s="23">
        <v>8083167</v>
      </c>
      <c r="AS94" s="23" t="s">
        <v>373</v>
      </c>
      <c r="AT94" s="24">
        <f t="shared" si="1"/>
        <v>5.6239015817223237E-3</v>
      </c>
    </row>
    <row r="95" spans="40:46">
      <c r="AN95" s="23">
        <v>85.79</v>
      </c>
      <c r="AO95" s="23">
        <v>87.472499999999997</v>
      </c>
      <c r="AP95" s="23">
        <v>85.474999999999994</v>
      </c>
      <c r="AQ95" s="23">
        <v>87.06</v>
      </c>
      <c r="AR95" s="23">
        <v>8468252</v>
      </c>
      <c r="AS95" s="23" t="s">
        <v>372</v>
      </c>
      <c r="AT95" s="24">
        <f t="shared" si="1"/>
        <v>-1.4587640707557914E-2</v>
      </c>
    </row>
    <row r="96" spans="40:46">
      <c r="AN96" s="23">
        <v>87.31</v>
      </c>
      <c r="AO96" s="23">
        <v>87.9</v>
      </c>
      <c r="AP96" s="23">
        <v>86.08</v>
      </c>
      <c r="AQ96" s="23">
        <v>86.8</v>
      </c>
      <c r="AR96" s="23">
        <v>9256571</v>
      </c>
      <c r="AS96" s="23" t="s">
        <v>371</v>
      </c>
      <c r="AT96" s="24">
        <f t="shared" si="1"/>
        <v>5.8755760368665033E-3</v>
      </c>
    </row>
    <row r="97" spans="40:46">
      <c r="AN97" s="23">
        <v>86.4</v>
      </c>
      <c r="AO97" s="23">
        <v>87.92</v>
      </c>
      <c r="AP97" s="23">
        <v>85.674599999999998</v>
      </c>
      <c r="AQ97" s="23">
        <v>86.88</v>
      </c>
      <c r="AR97" s="23">
        <v>10036908</v>
      </c>
      <c r="AS97" s="23" t="s">
        <v>370</v>
      </c>
      <c r="AT97" s="24">
        <f t="shared" si="1"/>
        <v>-5.5248618784529135E-3</v>
      </c>
    </row>
    <row r="98" spans="40:46">
      <c r="AN98" s="23">
        <v>86.94</v>
      </c>
      <c r="AO98" s="23">
        <v>87.47</v>
      </c>
      <c r="AP98" s="23">
        <v>83.38</v>
      </c>
      <c r="AQ98" s="23">
        <v>84.07</v>
      </c>
      <c r="AR98" s="23">
        <v>15459383</v>
      </c>
      <c r="AS98" s="23" t="s">
        <v>369</v>
      </c>
      <c r="AT98" s="24">
        <f t="shared" si="1"/>
        <v>3.4138218151540389E-2</v>
      </c>
    </row>
    <row r="99" spans="40:46">
      <c r="AN99" s="23">
        <v>83.01</v>
      </c>
      <c r="AO99" s="23">
        <v>83.07</v>
      </c>
      <c r="AP99" s="23">
        <v>81.349999999999994</v>
      </c>
      <c r="AQ99" s="23">
        <v>81.459999999999994</v>
      </c>
      <c r="AR99" s="23">
        <v>8144180</v>
      </c>
      <c r="AS99" s="23" t="s">
        <v>368</v>
      </c>
      <c r="AT99" s="24">
        <f t="shared" si="1"/>
        <v>1.9027743677878961E-2</v>
      </c>
    </row>
    <row r="100" spans="40:46">
      <c r="AN100" s="23">
        <v>81.349999999999994</v>
      </c>
      <c r="AO100" s="23">
        <v>82.74</v>
      </c>
      <c r="AP100" s="23">
        <v>81.13</v>
      </c>
      <c r="AQ100" s="23">
        <v>81.694999999999993</v>
      </c>
      <c r="AR100" s="23">
        <v>7994293</v>
      </c>
      <c r="AS100" s="23" t="s">
        <v>367</v>
      </c>
      <c r="AT100" s="24">
        <f t="shared" si="1"/>
        <v>-4.2230246649122005E-3</v>
      </c>
    </row>
    <row r="101" spans="40:46">
      <c r="AN101" s="23">
        <v>81.41</v>
      </c>
      <c r="AO101" s="23">
        <v>81.69</v>
      </c>
      <c r="AP101" s="23">
        <v>79.995000000000005</v>
      </c>
      <c r="AQ101" s="23">
        <v>81.344999999999999</v>
      </c>
      <c r="AR101" s="23">
        <v>11546541</v>
      </c>
      <c r="AS101" s="23" t="s">
        <v>366</v>
      </c>
      <c r="AT101" s="24">
        <f t="shared" si="1"/>
        <v>7.9906570778787156E-4</v>
      </c>
    </row>
    <row r="102" spans="40:46">
      <c r="AN102" s="23">
        <v>79.25</v>
      </c>
      <c r="AO102" s="23">
        <v>79.41</v>
      </c>
      <c r="AP102" s="23">
        <v>77.738</v>
      </c>
      <c r="AQ102" s="23">
        <v>77.738</v>
      </c>
      <c r="AR102" s="23">
        <v>6573919</v>
      </c>
      <c r="AS102" s="23" t="s">
        <v>365</v>
      </c>
      <c r="AT102" s="24">
        <f t="shared" si="1"/>
        <v>1.944994725874083E-2</v>
      </c>
    </row>
    <row r="103" spans="40:46">
      <c r="AN103" s="23">
        <v>78.13</v>
      </c>
      <c r="AO103" s="23">
        <v>78.44</v>
      </c>
      <c r="AP103" s="23">
        <v>77</v>
      </c>
      <c r="AQ103" s="23">
        <v>77.260000000000005</v>
      </c>
      <c r="AR103" s="23">
        <v>10257036</v>
      </c>
      <c r="AS103" s="23" t="s">
        <v>364</v>
      </c>
      <c r="AT103" s="24">
        <f t="shared" si="1"/>
        <v>1.1260678229355392E-2</v>
      </c>
    </row>
    <row r="104" spans="40:46">
      <c r="AN104" s="23">
        <v>77.25</v>
      </c>
      <c r="AO104" s="23">
        <v>78.308899999999994</v>
      </c>
      <c r="AP104" s="23">
        <v>76.459999999999994</v>
      </c>
      <c r="AQ104" s="23">
        <v>77.864999999999995</v>
      </c>
      <c r="AR104" s="23">
        <v>16473606</v>
      </c>
      <c r="AS104" s="23" t="s">
        <v>363</v>
      </c>
      <c r="AT104" s="24">
        <f t="shared" si="1"/>
        <v>-7.8982854941244129E-3</v>
      </c>
    </row>
    <row r="105" spans="40:46">
      <c r="AN105" s="23">
        <v>79.3</v>
      </c>
      <c r="AO105" s="23">
        <v>79.819999999999993</v>
      </c>
      <c r="AP105" s="23">
        <v>78.3</v>
      </c>
      <c r="AQ105" s="23">
        <v>78.489999999999995</v>
      </c>
      <c r="AR105" s="23">
        <v>13919255</v>
      </c>
      <c r="AS105" s="23" t="s">
        <v>362</v>
      </c>
      <c r="AT105" s="24">
        <f t="shared" si="1"/>
        <v>1.0319785959994832E-2</v>
      </c>
    </row>
    <row r="106" spans="40:46">
      <c r="AN106" s="23">
        <v>78.22</v>
      </c>
      <c r="AO106" s="23">
        <v>79.709999999999994</v>
      </c>
      <c r="AP106" s="23">
        <v>77.989999999999995</v>
      </c>
      <c r="AQ106" s="23">
        <v>79.03</v>
      </c>
      <c r="AR106" s="23">
        <v>14910497</v>
      </c>
      <c r="AS106" s="23" t="s">
        <v>361</v>
      </c>
      <c r="AT106" s="24">
        <f t="shared" si="1"/>
        <v>-1.0249272428191847E-2</v>
      </c>
    </row>
    <row r="107" spans="40:46">
      <c r="AN107" s="23">
        <v>80.28</v>
      </c>
      <c r="AO107" s="23">
        <v>81.25</v>
      </c>
      <c r="AP107" s="23">
        <v>76.81</v>
      </c>
      <c r="AQ107" s="23">
        <v>78.040000000000006</v>
      </c>
      <c r="AR107" s="23">
        <v>35206386</v>
      </c>
      <c r="AS107" s="23" t="s">
        <v>360</v>
      </c>
      <c r="AT107" s="24">
        <f t="shared" si="1"/>
        <v>2.8703229113275164E-2</v>
      </c>
    </row>
    <row r="108" spans="40:46">
      <c r="AN108" s="23">
        <v>83.59</v>
      </c>
      <c r="AO108" s="23">
        <v>83.7</v>
      </c>
      <c r="AP108" s="23">
        <v>81.88</v>
      </c>
      <c r="AQ108" s="23">
        <v>82.03</v>
      </c>
      <c r="AR108" s="23">
        <v>15243510</v>
      </c>
      <c r="AS108" s="23" t="s">
        <v>359</v>
      </c>
      <c r="AT108" s="24">
        <f t="shared" si="1"/>
        <v>1.9017432646592836E-2</v>
      </c>
    </row>
    <row r="109" spans="40:46">
      <c r="AN109" s="23">
        <v>81.7</v>
      </c>
      <c r="AO109" s="23">
        <v>82.8</v>
      </c>
      <c r="AP109" s="23">
        <v>81.400000000000006</v>
      </c>
      <c r="AQ109" s="23">
        <v>82.01</v>
      </c>
      <c r="AR109" s="23">
        <v>7201013</v>
      </c>
      <c r="AS109" s="23" t="s">
        <v>358</v>
      </c>
      <c r="AT109" s="24">
        <f t="shared" si="1"/>
        <v>-3.7800268259968739E-3</v>
      </c>
    </row>
    <row r="110" spans="40:46">
      <c r="AN110" s="23">
        <v>81.39</v>
      </c>
      <c r="AO110" s="23">
        <v>82.48</v>
      </c>
      <c r="AP110" s="23">
        <v>80.92</v>
      </c>
      <c r="AQ110" s="23">
        <v>81.234999999999999</v>
      </c>
      <c r="AR110" s="23">
        <v>7398779</v>
      </c>
      <c r="AS110" s="23" t="s">
        <v>357</v>
      </c>
      <c r="AT110" s="24">
        <f t="shared" si="1"/>
        <v>1.9080445620729414E-3</v>
      </c>
    </row>
    <row r="111" spans="40:46">
      <c r="AN111" s="23">
        <v>80.83</v>
      </c>
      <c r="AO111" s="23">
        <v>82.24</v>
      </c>
      <c r="AP111" s="23">
        <v>80.09</v>
      </c>
      <c r="AQ111" s="23">
        <v>81.239999999999995</v>
      </c>
      <c r="AR111" s="23">
        <v>7632139</v>
      </c>
      <c r="AS111" s="23" t="s">
        <v>356</v>
      </c>
      <c r="AT111" s="24">
        <f t="shared" si="1"/>
        <v>-5.0467749876907941E-3</v>
      </c>
    </row>
    <row r="112" spans="40:46">
      <c r="AN112" s="23">
        <v>80.91</v>
      </c>
      <c r="AO112" s="23">
        <v>81.42</v>
      </c>
      <c r="AP112" s="23">
        <v>80.040000000000006</v>
      </c>
      <c r="AQ112" s="23">
        <v>80.05</v>
      </c>
      <c r="AR112" s="23">
        <v>7571253</v>
      </c>
      <c r="AS112" s="23" t="s">
        <v>355</v>
      </c>
      <c r="AT112" s="24">
        <f t="shared" si="1"/>
        <v>1.0743285446595863E-2</v>
      </c>
    </row>
    <row r="113" spans="40:46">
      <c r="AN113" s="23">
        <v>80.56</v>
      </c>
      <c r="AO113" s="23">
        <v>81.36</v>
      </c>
      <c r="AP113" s="23">
        <v>80.040000000000006</v>
      </c>
      <c r="AQ113" s="23">
        <v>80.314999999999998</v>
      </c>
      <c r="AR113" s="23">
        <v>7450264</v>
      </c>
      <c r="AS113" s="23" t="s">
        <v>354</v>
      </c>
      <c r="AT113" s="24">
        <f t="shared" si="1"/>
        <v>3.0504887007409831E-3</v>
      </c>
    </row>
    <row r="114" spans="40:46">
      <c r="AN114" s="23">
        <v>80.94</v>
      </c>
      <c r="AO114" s="23">
        <v>80.97</v>
      </c>
      <c r="AP114" s="23">
        <v>78.94</v>
      </c>
      <c r="AQ114" s="23">
        <v>79.5</v>
      </c>
      <c r="AR114" s="23">
        <v>8844338</v>
      </c>
      <c r="AS114" s="23" t="s">
        <v>353</v>
      </c>
      <c r="AT114" s="24">
        <f t="shared" si="1"/>
        <v>1.8113207547169718E-2</v>
      </c>
    </row>
    <row r="115" spans="40:46">
      <c r="AN115" s="23">
        <v>79.819999999999993</v>
      </c>
      <c r="AO115" s="23">
        <v>80.900000000000006</v>
      </c>
      <c r="AP115" s="23">
        <v>79.224999999999994</v>
      </c>
      <c r="AQ115" s="23">
        <v>80.75</v>
      </c>
      <c r="AR115" s="23">
        <v>8653971</v>
      </c>
      <c r="AS115" s="23" t="s">
        <v>352</v>
      </c>
      <c r="AT115" s="24">
        <f t="shared" si="1"/>
        <v>-1.1517027863777174E-2</v>
      </c>
    </row>
    <row r="116" spans="40:46">
      <c r="AN116" s="23">
        <v>80.819999999999993</v>
      </c>
      <c r="AO116" s="23">
        <v>80.849999999999994</v>
      </c>
      <c r="AP116" s="23">
        <v>79.45</v>
      </c>
      <c r="AQ116" s="23">
        <v>79.81</v>
      </c>
      <c r="AR116" s="23">
        <v>5434792</v>
      </c>
      <c r="AS116" s="23" t="s">
        <v>351</v>
      </c>
      <c r="AT116" s="24">
        <f t="shared" si="1"/>
        <v>1.2655055757423872E-2</v>
      </c>
    </row>
    <row r="117" spans="40:46">
      <c r="AN117" s="23">
        <v>79.55</v>
      </c>
      <c r="AO117" s="23">
        <v>81.06</v>
      </c>
      <c r="AP117" s="23">
        <v>78.650000000000006</v>
      </c>
      <c r="AQ117" s="23">
        <v>80.150000000000006</v>
      </c>
      <c r="AR117" s="23">
        <v>7291606</v>
      </c>
      <c r="AS117" s="23" t="s">
        <v>350</v>
      </c>
      <c r="AT117" s="24">
        <f t="shared" si="1"/>
        <v>-7.4859638178416121E-3</v>
      </c>
    </row>
    <row r="118" spans="40:46">
      <c r="AN118" s="23">
        <v>80.67</v>
      </c>
      <c r="AO118" s="23">
        <v>80.98</v>
      </c>
      <c r="AP118" s="23">
        <v>79.819999999999993</v>
      </c>
      <c r="AQ118" s="23">
        <v>80.34</v>
      </c>
      <c r="AR118" s="23">
        <v>5865449</v>
      </c>
      <c r="AS118" s="23" t="s">
        <v>349</v>
      </c>
      <c r="AT118" s="24">
        <f t="shared" si="1"/>
        <v>4.1075429424943799E-3</v>
      </c>
    </row>
    <row r="119" spans="40:46">
      <c r="AN119" s="23">
        <v>80.510000000000005</v>
      </c>
      <c r="AO119" s="23">
        <v>80.726299999999995</v>
      </c>
      <c r="AP119" s="23">
        <v>79.16</v>
      </c>
      <c r="AQ119" s="23">
        <v>79.540000000000006</v>
      </c>
      <c r="AR119" s="23">
        <v>7744777</v>
      </c>
      <c r="AS119" s="23" t="s">
        <v>348</v>
      </c>
      <c r="AT119" s="24">
        <f t="shared" si="1"/>
        <v>1.2195121951219523E-2</v>
      </c>
    </row>
    <row r="120" spans="40:46">
      <c r="AN120" s="23">
        <v>78.98</v>
      </c>
      <c r="AO120" s="23">
        <v>80.075000000000003</v>
      </c>
      <c r="AP120" s="23">
        <v>78.53</v>
      </c>
      <c r="AQ120" s="23">
        <v>79.94</v>
      </c>
      <c r="AR120" s="23">
        <v>11326106</v>
      </c>
      <c r="AS120" s="23" t="s">
        <v>347</v>
      </c>
      <c r="AT120" s="24">
        <f t="shared" si="1"/>
        <v>-1.2009006755066221E-2</v>
      </c>
    </row>
    <row r="121" spans="40:46">
      <c r="AN121" s="23">
        <v>81.650000000000006</v>
      </c>
      <c r="AO121" s="23">
        <v>82</v>
      </c>
      <c r="AP121" s="23">
        <v>80.849999999999994</v>
      </c>
      <c r="AQ121" s="23">
        <v>80.88</v>
      </c>
      <c r="AR121" s="23">
        <v>6925969</v>
      </c>
      <c r="AS121" s="23" t="s">
        <v>346</v>
      </c>
      <c r="AT121" s="24">
        <f t="shared" si="1"/>
        <v>9.5202769535114307E-3</v>
      </c>
    </row>
    <row r="122" spans="40:46">
      <c r="AN122" s="23">
        <v>81.16</v>
      </c>
      <c r="AO122" s="23">
        <v>81.399900000000002</v>
      </c>
      <c r="AP122" s="23">
        <v>79.575000000000003</v>
      </c>
      <c r="AQ122" s="23">
        <v>79.989999999999995</v>
      </c>
      <c r="AR122" s="23">
        <v>8618496</v>
      </c>
      <c r="AS122" s="23" t="s">
        <v>345</v>
      </c>
      <c r="AT122" s="24">
        <f t="shared" si="1"/>
        <v>1.462682835354423E-2</v>
      </c>
    </row>
    <row r="123" spans="40:46">
      <c r="AN123" s="23">
        <v>80.260000000000005</v>
      </c>
      <c r="AO123" s="23">
        <v>80.489999999999995</v>
      </c>
      <c r="AP123" s="23">
        <v>78.614999999999995</v>
      </c>
      <c r="AQ123" s="23">
        <v>79.290000000000006</v>
      </c>
      <c r="AR123" s="23">
        <v>9206569</v>
      </c>
      <c r="AS123" s="23" t="s">
        <v>344</v>
      </c>
      <c r="AT123" s="24">
        <f t="shared" si="1"/>
        <v>1.2233572960020256E-2</v>
      </c>
    </row>
    <row r="124" spans="40:46">
      <c r="AN124" s="23">
        <v>79.36</v>
      </c>
      <c r="AO124" s="23">
        <v>79.53</v>
      </c>
      <c r="AP124" s="23">
        <v>77.984999999999999</v>
      </c>
      <c r="AQ124" s="23">
        <v>78.16</v>
      </c>
      <c r="AR124" s="23">
        <v>10083594</v>
      </c>
      <c r="AS124" s="23" t="s">
        <v>343</v>
      </c>
      <c r="AT124" s="24">
        <f t="shared" si="1"/>
        <v>1.535312180143289E-2</v>
      </c>
    </row>
    <row r="125" spans="40:46">
      <c r="AN125" s="23">
        <v>77.31</v>
      </c>
      <c r="AO125" s="23">
        <v>77.400000000000006</v>
      </c>
      <c r="AP125" s="23">
        <v>76.040000000000006</v>
      </c>
      <c r="AQ125" s="23">
        <v>76.53</v>
      </c>
      <c r="AR125" s="23">
        <v>9121261</v>
      </c>
      <c r="AS125" s="23" t="s">
        <v>342</v>
      </c>
      <c r="AT125" s="24">
        <f t="shared" si="1"/>
        <v>1.0192081536652298E-2</v>
      </c>
    </row>
    <row r="126" spans="40:46">
      <c r="AN126" s="23">
        <v>77.44</v>
      </c>
      <c r="AO126" s="23">
        <v>77.77</v>
      </c>
      <c r="AP126" s="23">
        <v>76.180000000000007</v>
      </c>
      <c r="AQ126" s="23">
        <v>77.47</v>
      </c>
      <c r="AR126" s="23">
        <v>8073322</v>
      </c>
      <c r="AS126" s="23" t="s">
        <v>341</v>
      </c>
      <c r="AT126" s="24">
        <f t="shared" si="1"/>
        <v>-3.8724667613265762E-4</v>
      </c>
    </row>
    <row r="127" spans="40:46">
      <c r="AN127" s="23">
        <v>77.47</v>
      </c>
      <c r="AO127" s="23">
        <v>79.010000000000005</v>
      </c>
      <c r="AP127" s="23">
        <v>76.39</v>
      </c>
      <c r="AQ127" s="23">
        <v>78.209999999999994</v>
      </c>
      <c r="AR127" s="23">
        <v>10608717</v>
      </c>
      <c r="AS127" s="23" t="s">
        <v>340</v>
      </c>
      <c r="AT127" s="24">
        <f t="shared" si="1"/>
        <v>-9.4617056642372077E-3</v>
      </c>
    </row>
    <row r="128" spans="40:46">
      <c r="AN128" s="23">
        <v>78.03</v>
      </c>
      <c r="AO128" s="23">
        <v>78.595200000000006</v>
      </c>
      <c r="AP128" s="23">
        <v>77.239999999999995</v>
      </c>
      <c r="AQ128" s="23">
        <v>77.87</v>
      </c>
      <c r="AR128" s="23">
        <v>6853835</v>
      </c>
      <c r="AS128" s="23" t="s">
        <v>339</v>
      </c>
      <c r="AT128" s="24">
        <f t="shared" si="1"/>
        <v>2.0547065622189553E-3</v>
      </c>
    </row>
    <row r="129" spans="40:46">
      <c r="AN129" s="23">
        <v>77.88</v>
      </c>
      <c r="AO129" s="23">
        <v>80.629900000000006</v>
      </c>
      <c r="AP129" s="23">
        <v>77.73</v>
      </c>
      <c r="AQ129" s="23">
        <v>80.400000000000006</v>
      </c>
      <c r="AR129" s="23">
        <v>11575282</v>
      </c>
      <c r="AS129" s="23" t="s">
        <v>338</v>
      </c>
      <c r="AT129" s="24">
        <f t="shared" si="1"/>
        <v>-3.1343283582089709E-2</v>
      </c>
    </row>
    <row r="130" spans="40:46">
      <c r="AN130" s="23">
        <v>80.08</v>
      </c>
      <c r="AO130" s="23">
        <v>80.430000000000007</v>
      </c>
      <c r="AP130" s="23">
        <v>78.47</v>
      </c>
      <c r="AQ130" s="23">
        <v>78.944999999999993</v>
      </c>
      <c r="AR130" s="23">
        <v>13316657</v>
      </c>
      <c r="AS130" s="23" t="s">
        <v>337</v>
      </c>
      <c r="AT130" s="24">
        <f t="shared" si="1"/>
        <v>1.4377097979606068E-2</v>
      </c>
    </row>
    <row r="131" spans="40:46">
      <c r="AN131" s="23">
        <v>77.36</v>
      </c>
      <c r="AO131" s="23">
        <v>79.260000000000005</v>
      </c>
      <c r="AP131" s="23">
        <v>77.34</v>
      </c>
      <c r="AQ131" s="23">
        <v>78.23</v>
      </c>
      <c r="AR131" s="23">
        <v>13822395</v>
      </c>
      <c r="AS131" s="23" t="s">
        <v>336</v>
      </c>
      <c r="AT131" s="24">
        <f t="shared" si="1"/>
        <v>-1.1121053304358974E-2</v>
      </c>
    </row>
    <row r="132" spans="40:46">
      <c r="AN132" s="23">
        <v>78.34</v>
      </c>
      <c r="AO132" s="23">
        <v>78.83</v>
      </c>
      <c r="AP132" s="23">
        <v>77.67</v>
      </c>
      <c r="AQ132" s="23">
        <v>77.88</v>
      </c>
      <c r="AR132" s="23">
        <v>14724836</v>
      </c>
      <c r="AS132" s="23" t="s">
        <v>335</v>
      </c>
      <c r="AT132" s="24">
        <f t="shared" si="1"/>
        <v>5.9065228556756111E-3</v>
      </c>
    </row>
    <row r="133" spans="40:46">
      <c r="AN133" s="23">
        <v>77.67</v>
      </c>
      <c r="AO133" s="23">
        <v>78.8</v>
      </c>
      <c r="AP133" s="23">
        <v>77.349999999999994</v>
      </c>
      <c r="AQ133" s="23">
        <v>77.53</v>
      </c>
      <c r="AR133" s="23">
        <v>12839810</v>
      </c>
      <c r="AS133" s="23" t="s">
        <v>334</v>
      </c>
      <c r="AT133" s="24">
        <f t="shared" si="1"/>
        <v>1.8057526118921974E-3</v>
      </c>
    </row>
    <row r="134" spans="40:46">
      <c r="AN134" s="23">
        <v>76.760000000000005</v>
      </c>
      <c r="AO134" s="23">
        <v>77.569999999999993</v>
      </c>
      <c r="AP134" s="23">
        <v>75.462000000000003</v>
      </c>
      <c r="AQ134" s="23">
        <v>77.31</v>
      </c>
      <c r="AR134" s="23">
        <v>27274648</v>
      </c>
      <c r="AS134" s="23" t="s">
        <v>333</v>
      </c>
      <c r="AT134" s="24">
        <f t="shared" si="1"/>
        <v>-7.1142154960548432E-3</v>
      </c>
    </row>
    <row r="135" spans="40:46">
      <c r="AN135" s="23">
        <v>77.569999999999993</v>
      </c>
      <c r="AO135" s="23">
        <v>78.245000000000005</v>
      </c>
      <c r="AP135" s="23">
        <v>74.81</v>
      </c>
      <c r="AQ135" s="23">
        <v>75</v>
      </c>
      <c r="AR135" s="23">
        <v>21662377</v>
      </c>
      <c r="AS135" s="23" t="s">
        <v>332</v>
      </c>
      <c r="AT135" s="24">
        <f t="shared" si="1"/>
        <v>3.4266666666666667E-2</v>
      </c>
    </row>
    <row r="136" spans="40:46">
      <c r="AN136" s="23">
        <v>73.12</v>
      </c>
      <c r="AO136" s="23">
        <v>73.87</v>
      </c>
      <c r="AP136" s="23">
        <v>71.36</v>
      </c>
      <c r="AQ136" s="23">
        <v>71.45</v>
      </c>
      <c r="AR136" s="23">
        <v>13498163</v>
      </c>
      <c r="AS136" s="23" t="s">
        <v>331</v>
      </c>
      <c r="AT136" s="24">
        <f t="shared" ref="AT136:AT199" si="2">AN136/AQ136-1</f>
        <v>2.3372988103568915E-2</v>
      </c>
    </row>
    <row r="137" spans="40:46">
      <c r="AN137" s="23">
        <v>71.77</v>
      </c>
      <c r="AO137" s="23">
        <v>72.17</v>
      </c>
      <c r="AP137" s="23">
        <v>71.12</v>
      </c>
      <c r="AQ137" s="23">
        <v>71.930000000000007</v>
      </c>
      <c r="AR137" s="23">
        <v>6187212</v>
      </c>
      <c r="AS137" s="23" t="s">
        <v>330</v>
      </c>
      <c r="AT137" s="24">
        <f t="shared" si="2"/>
        <v>-2.224384818573788E-3</v>
      </c>
    </row>
    <row r="138" spans="40:46">
      <c r="AN138" s="23">
        <v>71.069999999999993</v>
      </c>
      <c r="AO138" s="23">
        <v>71.239999999999995</v>
      </c>
      <c r="AP138" s="23">
        <v>70.069900000000004</v>
      </c>
      <c r="AQ138" s="23">
        <v>70.459999999999994</v>
      </c>
      <c r="AR138" s="23">
        <v>6494997</v>
      </c>
      <c r="AS138" s="23" t="s">
        <v>329</v>
      </c>
      <c r="AT138" s="24">
        <f t="shared" si="2"/>
        <v>8.6573942662504511E-3</v>
      </c>
    </row>
    <row r="139" spans="40:46">
      <c r="AN139" s="23">
        <v>70.099999999999994</v>
      </c>
      <c r="AO139" s="23">
        <v>70.620199999999997</v>
      </c>
      <c r="AP139" s="23">
        <v>69.860100000000003</v>
      </c>
      <c r="AQ139" s="23">
        <v>70.040000000000006</v>
      </c>
      <c r="AR139" s="23">
        <v>7572594</v>
      </c>
      <c r="AS139" s="23" t="s">
        <v>328</v>
      </c>
      <c r="AT139" s="24">
        <f t="shared" si="2"/>
        <v>8.5665334094775503E-4</v>
      </c>
    </row>
    <row r="140" spans="40:46">
      <c r="AN140" s="23">
        <v>70.36</v>
      </c>
      <c r="AO140" s="23">
        <v>70.38</v>
      </c>
      <c r="AP140" s="23">
        <v>69.040000000000006</v>
      </c>
      <c r="AQ140" s="23">
        <v>69.14</v>
      </c>
      <c r="AR140" s="23">
        <v>8376713</v>
      </c>
      <c r="AS140" s="23" t="s">
        <v>327</v>
      </c>
      <c r="AT140" s="24">
        <f t="shared" si="2"/>
        <v>1.7645357246167226E-2</v>
      </c>
    </row>
    <row r="141" spans="40:46">
      <c r="AN141" s="23">
        <v>69.349999999999994</v>
      </c>
      <c r="AO141" s="23">
        <v>69.7</v>
      </c>
      <c r="AP141" s="23">
        <v>67.760000000000005</v>
      </c>
      <c r="AQ141" s="23">
        <v>69.16</v>
      </c>
      <c r="AR141" s="23">
        <v>12344870</v>
      </c>
      <c r="AS141" s="23" t="s">
        <v>326</v>
      </c>
      <c r="AT141" s="24">
        <f t="shared" si="2"/>
        <v>2.7472527472527375E-3</v>
      </c>
    </row>
    <row r="142" spans="40:46">
      <c r="AN142" s="23">
        <v>68.849999999999994</v>
      </c>
      <c r="AO142" s="23">
        <v>69.739999999999995</v>
      </c>
      <c r="AP142" s="23">
        <v>67.150000000000006</v>
      </c>
      <c r="AQ142" s="23">
        <v>69.34</v>
      </c>
      <c r="AR142" s="23">
        <v>12317452</v>
      </c>
      <c r="AS142" s="23" t="s">
        <v>325</v>
      </c>
      <c r="AT142" s="24">
        <f t="shared" si="2"/>
        <v>-7.0666282088261978E-3</v>
      </c>
    </row>
    <row r="143" spans="40:46">
      <c r="AN143" s="23">
        <v>69.349999999999994</v>
      </c>
      <c r="AO143" s="23">
        <v>70.650000000000006</v>
      </c>
      <c r="AP143" s="23">
        <v>68.25</v>
      </c>
      <c r="AQ143" s="23">
        <v>70.391999999999996</v>
      </c>
      <c r="AR143" s="23">
        <v>11869340</v>
      </c>
      <c r="AS143" s="23" t="s">
        <v>324</v>
      </c>
      <c r="AT143" s="24">
        <f t="shared" si="2"/>
        <v>-1.4802818502102522E-2</v>
      </c>
    </row>
    <row r="144" spans="40:46">
      <c r="AN144" s="23">
        <v>68.89</v>
      </c>
      <c r="AO144" s="23">
        <v>72.05</v>
      </c>
      <c r="AP144" s="23">
        <v>68.55</v>
      </c>
      <c r="AQ144" s="23">
        <v>71.94</v>
      </c>
      <c r="AR144" s="23">
        <v>12315821</v>
      </c>
      <c r="AS144" s="23" t="s">
        <v>323</v>
      </c>
      <c r="AT144" s="24">
        <f t="shared" si="2"/>
        <v>-4.2396441479010227E-2</v>
      </c>
    </row>
    <row r="145" spans="40:46">
      <c r="AN145" s="23">
        <v>72.03</v>
      </c>
      <c r="AO145" s="23">
        <v>74.400000000000006</v>
      </c>
      <c r="AP145" s="23">
        <v>71.015000000000001</v>
      </c>
      <c r="AQ145" s="23">
        <v>73.66</v>
      </c>
      <c r="AR145" s="23">
        <v>11473844</v>
      </c>
      <c r="AS145" s="23" t="s">
        <v>322</v>
      </c>
      <c r="AT145" s="24">
        <f t="shared" si="2"/>
        <v>-2.2128699429812548E-2</v>
      </c>
    </row>
    <row r="146" spans="40:46">
      <c r="AN146" s="23">
        <v>72.61</v>
      </c>
      <c r="AO146" s="23">
        <v>73.239999999999995</v>
      </c>
      <c r="AP146" s="23">
        <v>71.59</v>
      </c>
      <c r="AQ146" s="23">
        <v>71.605000000000004</v>
      </c>
      <c r="AR146" s="23">
        <v>8368990</v>
      </c>
      <c r="AS146" s="23" t="s">
        <v>321</v>
      </c>
      <c r="AT146" s="24">
        <f t="shared" si="2"/>
        <v>1.4035332728161487E-2</v>
      </c>
    </row>
    <row r="147" spans="40:46">
      <c r="AN147" s="23">
        <v>72</v>
      </c>
      <c r="AO147" s="23">
        <v>72.948400000000007</v>
      </c>
      <c r="AP147" s="23">
        <v>71.400000000000006</v>
      </c>
      <c r="AQ147" s="23">
        <v>71.754999999999995</v>
      </c>
      <c r="AR147" s="23">
        <v>8571345</v>
      </c>
      <c r="AS147" s="23" t="s">
        <v>320</v>
      </c>
      <c r="AT147" s="24">
        <f t="shared" si="2"/>
        <v>3.4143962093233782E-3</v>
      </c>
    </row>
    <row r="148" spans="40:46">
      <c r="AN148" s="23">
        <v>72.430000000000007</v>
      </c>
      <c r="AO148" s="23">
        <v>73.69</v>
      </c>
      <c r="AP148" s="23">
        <v>71.760000000000005</v>
      </c>
      <c r="AQ148" s="23">
        <v>73.510000000000005</v>
      </c>
      <c r="AR148" s="23">
        <v>9634963</v>
      </c>
      <c r="AS148" s="23" t="s">
        <v>319</v>
      </c>
      <c r="AT148" s="24">
        <f t="shared" si="2"/>
        <v>-1.4691878655965107E-2</v>
      </c>
    </row>
    <row r="149" spans="40:46">
      <c r="AN149" s="23">
        <v>73.16</v>
      </c>
      <c r="AO149" s="23">
        <v>73.930000000000007</v>
      </c>
      <c r="AP149" s="23">
        <v>71.25</v>
      </c>
      <c r="AQ149" s="23">
        <v>71.400000000000006</v>
      </c>
      <c r="AR149" s="23">
        <v>13181591</v>
      </c>
      <c r="AS149" s="23" t="s">
        <v>318</v>
      </c>
      <c r="AT149" s="24">
        <f t="shared" si="2"/>
        <v>2.4649859943977503E-2</v>
      </c>
    </row>
    <row r="150" spans="40:46">
      <c r="AN150" s="23">
        <v>70.430000000000007</v>
      </c>
      <c r="AO150" s="23">
        <v>71.5899</v>
      </c>
      <c r="AP150" s="23">
        <v>70.025000000000006</v>
      </c>
      <c r="AQ150" s="23">
        <v>71.27</v>
      </c>
      <c r="AR150" s="23">
        <v>9277660</v>
      </c>
      <c r="AS150" s="23" t="s">
        <v>317</v>
      </c>
      <c r="AT150" s="24">
        <f t="shared" si="2"/>
        <v>-1.1786165286936878E-2</v>
      </c>
    </row>
    <row r="151" spans="40:46">
      <c r="AN151" s="23">
        <v>71.59</v>
      </c>
      <c r="AO151" s="23">
        <v>72.349999999999994</v>
      </c>
      <c r="AP151" s="23">
        <v>71.3</v>
      </c>
      <c r="AQ151" s="23">
        <v>71.75</v>
      </c>
      <c r="AR151" s="23">
        <v>9396932</v>
      </c>
      <c r="AS151" s="23" t="s">
        <v>316</v>
      </c>
      <c r="AT151" s="24">
        <f t="shared" si="2"/>
        <v>-2.2299651567944112E-3</v>
      </c>
    </row>
    <row r="152" spans="40:46">
      <c r="AN152" s="23">
        <v>72.040000000000006</v>
      </c>
      <c r="AO152" s="23">
        <v>73.03</v>
      </c>
      <c r="AP152" s="23">
        <v>71.67</v>
      </c>
      <c r="AQ152" s="23">
        <v>72.069999999999993</v>
      </c>
      <c r="AR152" s="23">
        <v>9062957</v>
      </c>
      <c r="AS152" s="23" t="s">
        <v>315</v>
      </c>
      <c r="AT152" s="24">
        <f t="shared" si="2"/>
        <v>-4.162619675314172E-4</v>
      </c>
    </row>
    <row r="153" spans="40:46">
      <c r="AN153" s="23">
        <v>71.7</v>
      </c>
      <c r="AO153" s="23">
        <v>72.069900000000004</v>
      </c>
      <c r="AP153" s="23">
        <v>70.84</v>
      </c>
      <c r="AQ153" s="23">
        <v>72</v>
      </c>
      <c r="AR153" s="23">
        <v>8222231</v>
      </c>
      <c r="AS153" s="23" t="s">
        <v>314</v>
      </c>
      <c r="AT153" s="24">
        <f t="shared" si="2"/>
        <v>-4.1666666666666519E-3</v>
      </c>
    </row>
    <row r="154" spans="40:46">
      <c r="AN154" s="23">
        <v>71.52</v>
      </c>
      <c r="AO154" s="23">
        <v>73.25</v>
      </c>
      <c r="AP154" s="23">
        <v>70.92</v>
      </c>
      <c r="AQ154" s="23">
        <v>71.739999999999995</v>
      </c>
      <c r="AR154" s="23">
        <v>11811123</v>
      </c>
      <c r="AS154" s="23" t="s">
        <v>313</v>
      </c>
      <c r="AT154" s="24">
        <f t="shared" si="2"/>
        <v>-3.0666294954000417E-3</v>
      </c>
    </row>
    <row r="155" spans="40:46">
      <c r="AN155" s="23">
        <v>71.459999999999994</v>
      </c>
      <c r="AO155" s="23">
        <v>72.77</v>
      </c>
      <c r="AP155" s="23">
        <v>70.87</v>
      </c>
      <c r="AQ155" s="23">
        <v>72.064999999999998</v>
      </c>
      <c r="AR155" s="23">
        <v>10455485</v>
      </c>
      <c r="AS155" s="23" t="s">
        <v>312</v>
      </c>
      <c r="AT155" s="24">
        <f t="shared" si="2"/>
        <v>-8.3951987788802862E-3</v>
      </c>
    </row>
    <row r="156" spans="40:46">
      <c r="AN156" s="23">
        <v>71.89</v>
      </c>
      <c r="AO156" s="23">
        <v>72.56</v>
      </c>
      <c r="AP156" s="23">
        <v>69.430000000000007</v>
      </c>
      <c r="AQ156" s="23">
        <v>70</v>
      </c>
      <c r="AR156" s="23">
        <v>23545969</v>
      </c>
      <c r="AS156" s="23" t="s">
        <v>311</v>
      </c>
      <c r="AT156" s="24">
        <f t="shared" si="2"/>
        <v>2.6999999999999913E-2</v>
      </c>
    </row>
    <row r="157" spans="40:46">
      <c r="AN157" s="23">
        <v>69.430000000000007</v>
      </c>
      <c r="AO157" s="23">
        <v>69.459999999999994</v>
      </c>
      <c r="AP157" s="23">
        <v>68.17</v>
      </c>
      <c r="AQ157" s="23">
        <v>68.22</v>
      </c>
      <c r="AR157" s="23">
        <v>9578068</v>
      </c>
      <c r="AS157" s="23" t="s">
        <v>310</v>
      </c>
      <c r="AT157" s="24">
        <f t="shared" si="2"/>
        <v>1.7736734095573192E-2</v>
      </c>
    </row>
    <row r="158" spans="40:46">
      <c r="AN158" s="23">
        <v>67.959999999999994</v>
      </c>
      <c r="AO158" s="23">
        <v>68.55</v>
      </c>
      <c r="AP158" s="23">
        <v>67.37</v>
      </c>
      <c r="AQ158" s="23">
        <v>67.37</v>
      </c>
      <c r="AR158" s="23">
        <v>9526778</v>
      </c>
      <c r="AS158" s="23" t="s">
        <v>309</v>
      </c>
      <c r="AT158" s="24">
        <f t="shared" si="2"/>
        <v>8.7576072435799901E-3</v>
      </c>
    </row>
    <row r="159" spans="40:46">
      <c r="AN159" s="23">
        <v>67.94</v>
      </c>
      <c r="AO159" s="23">
        <v>68.12</v>
      </c>
      <c r="AP159" s="23">
        <v>67.05</v>
      </c>
      <c r="AQ159" s="23">
        <v>67.16</v>
      </c>
      <c r="AR159" s="23">
        <v>12968279</v>
      </c>
      <c r="AS159" s="23" t="s">
        <v>308</v>
      </c>
      <c r="AT159" s="24">
        <f t="shared" si="2"/>
        <v>1.1614055985705862E-2</v>
      </c>
    </row>
    <row r="160" spans="40:46">
      <c r="AN160" s="23">
        <v>66.14</v>
      </c>
      <c r="AO160" s="23">
        <v>66.39</v>
      </c>
      <c r="AP160" s="23">
        <v>64.66</v>
      </c>
      <c r="AQ160" s="23">
        <v>65.06</v>
      </c>
      <c r="AR160" s="23">
        <v>8944776</v>
      </c>
      <c r="AS160" s="23" t="s">
        <v>307</v>
      </c>
      <c r="AT160" s="24">
        <f t="shared" si="2"/>
        <v>1.6600061481709227E-2</v>
      </c>
    </row>
    <row r="161" spans="40:46">
      <c r="AN161" s="23">
        <v>65.11</v>
      </c>
      <c r="AO161" s="23">
        <v>65.64</v>
      </c>
      <c r="AP161" s="23">
        <v>63.72</v>
      </c>
      <c r="AQ161" s="23">
        <v>64</v>
      </c>
      <c r="AR161" s="23">
        <v>8638603</v>
      </c>
      <c r="AS161" s="23" t="s">
        <v>306</v>
      </c>
      <c r="AT161" s="24">
        <f t="shared" si="2"/>
        <v>1.7343749999999991E-2</v>
      </c>
    </row>
    <row r="162" spans="40:46">
      <c r="AN162" s="23">
        <v>63.46</v>
      </c>
      <c r="AO162" s="23">
        <v>65.13</v>
      </c>
      <c r="AP162" s="23">
        <v>63.284999999999997</v>
      </c>
      <c r="AQ162" s="23">
        <v>64.95</v>
      </c>
      <c r="AR162" s="23">
        <v>7519467</v>
      </c>
      <c r="AS162" s="23" t="s">
        <v>305</v>
      </c>
      <c r="AT162" s="24">
        <f t="shared" si="2"/>
        <v>-2.2940723633564364E-2</v>
      </c>
    </row>
    <row r="163" spans="40:46">
      <c r="AN163" s="23">
        <v>64.72</v>
      </c>
      <c r="AO163" s="23">
        <v>65.5</v>
      </c>
      <c r="AP163" s="23">
        <v>64.47</v>
      </c>
      <c r="AQ163" s="23">
        <v>64.8</v>
      </c>
      <c r="AR163" s="23">
        <v>8605324</v>
      </c>
      <c r="AS163" s="23" t="s">
        <v>304</v>
      </c>
      <c r="AT163" s="24">
        <f t="shared" si="2"/>
        <v>-1.2345679012345512E-3</v>
      </c>
    </row>
    <row r="164" spans="40:46">
      <c r="AN164" s="23">
        <v>64.28</v>
      </c>
      <c r="AO164" s="23">
        <v>64.674999999999997</v>
      </c>
      <c r="AP164" s="23">
        <v>63.1</v>
      </c>
      <c r="AQ164" s="23">
        <v>63.55</v>
      </c>
      <c r="AR164" s="23">
        <v>9761208</v>
      </c>
      <c r="AS164" s="23" t="s">
        <v>303</v>
      </c>
      <c r="AT164" s="24">
        <f t="shared" si="2"/>
        <v>1.14870180959874E-2</v>
      </c>
    </row>
    <row r="165" spans="40:46">
      <c r="AN165" s="23">
        <v>62.74</v>
      </c>
      <c r="AO165" s="23">
        <v>65.010000000000005</v>
      </c>
      <c r="AP165" s="23">
        <v>62.64</v>
      </c>
      <c r="AQ165" s="23">
        <v>63.344999999999999</v>
      </c>
      <c r="AR165" s="23">
        <v>13464354</v>
      </c>
      <c r="AS165" s="23" t="s">
        <v>302</v>
      </c>
      <c r="AT165" s="24">
        <f t="shared" si="2"/>
        <v>-9.5508722077511932E-3</v>
      </c>
    </row>
    <row r="166" spans="40:46">
      <c r="AN166" s="23">
        <v>62.75</v>
      </c>
      <c r="AO166" s="23">
        <v>63.58</v>
      </c>
      <c r="AP166" s="23">
        <v>60.3</v>
      </c>
      <c r="AQ166" s="23">
        <v>60.6</v>
      </c>
      <c r="AR166" s="23">
        <v>14358874</v>
      </c>
      <c r="AS166" s="23" t="s">
        <v>301</v>
      </c>
      <c r="AT166" s="24">
        <f t="shared" si="2"/>
        <v>3.5478547854785436E-2</v>
      </c>
    </row>
    <row r="167" spans="40:46">
      <c r="AN167" s="23">
        <v>60.46</v>
      </c>
      <c r="AO167" s="23">
        <v>61.055</v>
      </c>
      <c r="AP167" s="23">
        <v>58.65</v>
      </c>
      <c r="AQ167" s="23">
        <v>60.7</v>
      </c>
      <c r="AR167" s="23">
        <v>17445401</v>
      </c>
      <c r="AS167" s="23" t="s">
        <v>300</v>
      </c>
      <c r="AT167" s="24">
        <f t="shared" si="2"/>
        <v>-3.9538714991763646E-3</v>
      </c>
    </row>
    <row r="168" spans="40:46">
      <c r="AN168" s="23">
        <v>61.98</v>
      </c>
      <c r="AO168" s="23">
        <v>64.040000000000006</v>
      </c>
      <c r="AP168" s="23">
        <v>60.89</v>
      </c>
      <c r="AQ168" s="23">
        <v>64</v>
      </c>
      <c r="AR168" s="23">
        <v>23117055</v>
      </c>
      <c r="AS168" s="23" t="s">
        <v>299</v>
      </c>
      <c r="AT168" s="24">
        <f t="shared" si="2"/>
        <v>-3.1562500000000049E-2</v>
      </c>
    </row>
    <row r="169" spans="40:46">
      <c r="AN169" s="23">
        <v>65.31</v>
      </c>
      <c r="AO169" s="23">
        <v>67.3</v>
      </c>
      <c r="AP169" s="23">
        <v>65.02</v>
      </c>
      <c r="AQ169" s="23">
        <v>65.78</v>
      </c>
      <c r="AR169" s="23">
        <v>19086364</v>
      </c>
      <c r="AS169" s="23" t="s">
        <v>298</v>
      </c>
      <c r="AT169" s="24">
        <f t="shared" si="2"/>
        <v>-7.1450288841593546E-3</v>
      </c>
    </row>
    <row r="170" spans="40:46">
      <c r="AN170" s="23">
        <v>65.78</v>
      </c>
      <c r="AO170" s="23">
        <v>66.989999999999995</v>
      </c>
      <c r="AP170" s="23">
        <v>64.17</v>
      </c>
      <c r="AQ170" s="23">
        <v>65</v>
      </c>
      <c r="AR170" s="23">
        <v>25825919</v>
      </c>
      <c r="AS170" s="23" t="s">
        <v>297</v>
      </c>
      <c r="AT170" s="24">
        <f t="shared" si="2"/>
        <v>1.2000000000000011E-2</v>
      </c>
    </row>
    <row r="171" spans="40:46">
      <c r="AN171" s="23">
        <v>64</v>
      </c>
      <c r="AO171" s="23">
        <v>65.06</v>
      </c>
      <c r="AP171" s="23">
        <v>62.43</v>
      </c>
      <c r="AQ171" s="23">
        <v>62.774999999999999</v>
      </c>
      <c r="AR171" s="23">
        <v>44232794</v>
      </c>
      <c r="AS171" s="23" t="s">
        <v>296</v>
      </c>
      <c r="AT171" s="24">
        <f t="shared" si="2"/>
        <v>1.9514137793707809E-2</v>
      </c>
    </row>
    <row r="172" spans="40:46">
      <c r="AN172" s="23">
        <v>58.94</v>
      </c>
      <c r="AO172" s="23">
        <v>59.1</v>
      </c>
      <c r="AP172" s="23">
        <v>58.07</v>
      </c>
      <c r="AQ172" s="23">
        <v>58.5</v>
      </c>
      <c r="AR172" s="23">
        <v>12346842</v>
      </c>
      <c r="AS172" s="23" t="s">
        <v>295</v>
      </c>
      <c r="AT172" s="24">
        <f t="shared" si="2"/>
        <v>7.5213675213674502E-3</v>
      </c>
    </row>
    <row r="173" spans="40:46">
      <c r="AN173" s="23">
        <v>58.29</v>
      </c>
      <c r="AO173" s="23">
        <v>58.31</v>
      </c>
      <c r="AP173" s="23">
        <v>56.97</v>
      </c>
      <c r="AQ173" s="23">
        <v>57.6</v>
      </c>
      <c r="AR173" s="23">
        <v>11323434</v>
      </c>
      <c r="AS173" s="23" t="s">
        <v>294</v>
      </c>
      <c r="AT173" s="24">
        <f t="shared" si="2"/>
        <v>1.1979166666666652E-2</v>
      </c>
    </row>
    <row r="174" spans="40:46">
      <c r="AN174" s="23">
        <v>57.22</v>
      </c>
      <c r="AO174" s="23">
        <v>58.65</v>
      </c>
      <c r="AP174" s="23">
        <v>57.2</v>
      </c>
      <c r="AQ174" s="23">
        <v>58.16</v>
      </c>
      <c r="AR174" s="23">
        <v>12515747</v>
      </c>
      <c r="AS174" s="23" t="s">
        <v>293</v>
      </c>
      <c r="AT174" s="24">
        <f t="shared" si="2"/>
        <v>-1.6162310866574936E-2</v>
      </c>
    </row>
    <row r="175" spans="40:46">
      <c r="AN175" s="23">
        <v>58.07</v>
      </c>
      <c r="AO175" s="23">
        <v>59.66</v>
      </c>
      <c r="AP175" s="23">
        <v>57.98</v>
      </c>
      <c r="AQ175" s="23">
        <v>59.55</v>
      </c>
      <c r="AR175" s="23">
        <v>11801729</v>
      </c>
      <c r="AS175" s="23" t="s">
        <v>292</v>
      </c>
      <c r="AT175" s="24">
        <f t="shared" si="2"/>
        <v>-2.4853064651553236E-2</v>
      </c>
    </row>
    <row r="176" spans="40:46">
      <c r="AN176" s="23">
        <v>59.71</v>
      </c>
      <c r="AO176" s="23">
        <v>60.95</v>
      </c>
      <c r="AP176" s="23">
        <v>59.69</v>
      </c>
      <c r="AQ176" s="23">
        <v>60.72</v>
      </c>
      <c r="AR176" s="23">
        <v>7572010</v>
      </c>
      <c r="AS176" s="23" t="s">
        <v>291</v>
      </c>
      <c r="AT176" s="24">
        <f t="shared" si="2"/>
        <v>-1.6633728590250252E-2</v>
      </c>
    </row>
    <row r="177" spans="40:46">
      <c r="AN177" s="23">
        <v>60.77</v>
      </c>
      <c r="AO177" s="23">
        <v>60.79</v>
      </c>
      <c r="AP177" s="23">
        <v>59.52</v>
      </c>
      <c r="AQ177" s="23">
        <v>59.9</v>
      </c>
      <c r="AR177" s="23">
        <v>7489501</v>
      </c>
      <c r="AS177" s="23" t="s">
        <v>290</v>
      </c>
      <c r="AT177" s="24">
        <f t="shared" si="2"/>
        <v>1.4524207011686219E-2</v>
      </c>
    </row>
    <row r="178" spans="40:46">
      <c r="AN178" s="23">
        <v>59.33</v>
      </c>
      <c r="AO178" s="23">
        <v>59.83</v>
      </c>
      <c r="AP178" s="23">
        <v>58.75</v>
      </c>
      <c r="AQ178" s="23">
        <v>59.81</v>
      </c>
      <c r="AR178" s="23">
        <v>9352934</v>
      </c>
      <c r="AS178" s="23" t="s">
        <v>289</v>
      </c>
      <c r="AT178" s="24">
        <f t="shared" si="2"/>
        <v>-8.0254138103996731E-3</v>
      </c>
    </row>
    <row r="179" spans="40:46">
      <c r="AN179" s="23">
        <v>60</v>
      </c>
      <c r="AO179" s="23">
        <v>61.33</v>
      </c>
      <c r="AP179" s="23">
        <v>59.94</v>
      </c>
      <c r="AQ179" s="23">
        <v>60.55</v>
      </c>
      <c r="AR179" s="23">
        <v>9102024</v>
      </c>
      <c r="AS179" s="23" t="s">
        <v>288</v>
      </c>
      <c r="AT179" s="24">
        <f t="shared" si="2"/>
        <v>-9.0834021469858861E-3</v>
      </c>
    </row>
    <row r="180" spans="40:46">
      <c r="AN180" s="23">
        <v>61.24</v>
      </c>
      <c r="AO180" s="23">
        <v>61.84</v>
      </c>
      <c r="AP180" s="23">
        <v>60.655000000000001</v>
      </c>
      <c r="AQ180" s="23">
        <v>61.11</v>
      </c>
      <c r="AR180" s="23">
        <v>8322110</v>
      </c>
      <c r="AS180" s="23" t="s">
        <v>287</v>
      </c>
      <c r="AT180" s="24">
        <f t="shared" si="2"/>
        <v>2.1273114056619136E-3</v>
      </c>
    </row>
    <row r="181" spans="40:46">
      <c r="AN181" s="23">
        <v>61.81</v>
      </c>
      <c r="AO181" s="23">
        <v>62.02</v>
      </c>
      <c r="AP181" s="23">
        <v>60.68</v>
      </c>
      <c r="AQ181" s="23">
        <v>60.8</v>
      </c>
      <c r="AR181" s="23">
        <v>9198845</v>
      </c>
      <c r="AS181" s="23" t="s">
        <v>286</v>
      </c>
      <c r="AT181" s="24">
        <f t="shared" si="2"/>
        <v>1.661184210526323E-2</v>
      </c>
    </row>
    <row r="182" spans="40:46">
      <c r="AN182" s="23">
        <v>60.47</v>
      </c>
      <c r="AO182" s="23">
        <v>61.02</v>
      </c>
      <c r="AP182" s="23">
        <v>59.82</v>
      </c>
      <c r="AQ182" s="23">
        <v>60.25</v>
      </c>
      <c r="AR182" s="23">
        <v>9442989</v>
      </c>
      <c r="AS182" s="23" t="s">
        <v>285</v>
      </c>
      <c r="AT182" s="24">
        <f t="shared" si="2"/>
        <v>3.6514522821575746E-3</v>
      </c>
    </row>
    <row r="183" spans="40:46">
      <c r="AN183" s="23">
        <v>60.27</v>
      </c>
      <c r="AO183" s="23">
        <v>60.52</v>
      </c>
      <c r="AP183" s="23">
        <v>59.78</v>
      </c>
      <c r="AQ183" s="23">
        <v>60.39</v>
      </c>
      <c r="AR183" s="23">
        <v>8166185</v>
      </c>
      <c r="AS183" s="23" t="s">
        <v>284</v>
      </c>
      <c r="AT183" s="24">
        <f t="shared" si="2"/>
        <v>-1.9870839542970309E-3</v>
      </c>
    </row>
    <row r="184" spans="40:46">
      <c r="AN184" s="23">
        <v>59.99</v>
      </c>
      <c r="AO184" s="23">
        <v>60.93</v>
      </c>
      <c r="AP184" s="23">
        <v>59.43</v>
      </c>
      <c r="AQ184" s="23">
        <v>59.55</v>
      </c>
      <c r="AR184" s="23">
        <v>13081969</v>
      </c>
      <c r="AS184" s="23" t="s">
        <v>283</v>
      </c>
      <c r="AT184" s="24">
        <f t="shared" si="2"/>
        <v>7.3887489504618209E-3</v>
      </c>
    </row>
    <row r="185" spans="40:46">
      <c r="AN185" s="23">
        <v>58.9</v>
      </c>
      <c r="AO185" s="23">
        <v>59.31</v>
      </c>
      <c r="AP185" s="23">
        <v>58.2</v>
      </c>
      <c r="AQ185" s="23">
        <v>59.09</v>
      </c>
      <c r="AR185" s="23">
        <v>7697110</v>
      </c>
      <c r="AS185" s="23" t="s">
        <v>282</v>
      </c>
      <c r="AT185" s="24">
        <f t="shared" si="2"/>
        <v>-3.2154340836013651E-3</v>
      </c>
    </row>
    <row r="186" spans="40:46">
      <c r="AN186" s="23">
        <v>59</v>
      </c>
      <c r="AO186" s="23">
        <v>59.7</v>
      </c>
      <c r="AP186" s="23">
        <v>58.42</v>
      </c>
      <c r="AQ186" s="23">
        <v>58.9</v>
      </c>
      <c r="AR186" s="23">
        <v>8477370</v>
      </c>
      <c r="AS186" s="23" t="s">
        <v>281</v>
      </c>
      <c r="AT186" s="24">
        <f t="shared" si="2"/>
        <v>1.6977928692700761E-3</v>
      </c>
    </row>
    <row r="187" spans="40:46">
      <c r="AN187" s="23">
        <v>59.09</v>
      </c>
      <c r="AO187" s="23">
        <v>60.029899999999998</v>
      </c>
      <c r="AP187" s="23">
        <v>58.63</v>
      </c>
      <c r="AQ187" s="23">
        <v>59.72</v>
      </c>
      <c r="AR187" s="23">
        <v>10320364</v>
      </c>
      <c r="AS187" s="23" t="s">
        <v>280</v>
      </c>
      <c r="AT187" s="24">
        <f t="shared" si="2"/>
        <v>-1.0549229738780919E-2</v>
      </c>
    </row>
    <row r="188" spans="40:46">
      <c r="AN188" s="23">
        <v>59.76</v>
      </c>
      <c r="AO188" s="23">
        <v>60.16</v>
      </c>
      <c r="AP188" s="23">
        <v>58.83</v>
      </c>
      <c r="AQ188" s="23">
        <v>59.38</v>
      </c>
      <c r="AR188" s="23">
        <v>12243845</v>
      </c>
      <c r="AS188" s="23" t="s">
        <v>279</v>
      </c>
      <c r="AT188" s="24">
        <f t="shared" si="2"/>
        <v>6.3994610980127042E-3</v>
      </c>
    </row>
    <row r="189" spans="40:46">
      <c r="AN189" s="23">
        <v>59.64</v>
      </c>
      <c r="AO189" s="23">
        <v>60.01</v>
      </c>
      <c r="AP189" s="23">
        <v>58.895000000000003</v>
      </c>
      <c r="AQ189" s="23">
        <v>59.03</v>
      </c>
      <c r="AR189" s="23">
        <v>6908317</v>
      </c>
      <c r="AS189" s="23" t="s">
        <v>278</v>
      </c>
      <c r="AT189" s="24">
        <f t="shared" si="2"/>
        <v>1.0333728612569759E-2</v>
      </c>
    </row>
    <row r="190" spans="40:46">
      <c r="AN190" s="23">
        <v>58.97</v>
      </c>
      <c r="AO190" s="23">
        <v>59.27</v>
      </c>
      <c r="AP190" s="23">
        <v>58.32</v>
      </c>
      <c r="AQ190" s="23">
        <v>58.78</v>
      </c>
      <c r="AR190" s="23">
        <v>13231566</v>
      </c>
      <c r="AS190" s="23" t="s">
        <v>277</v>
      </c>
      <c r="AT190" s="24">
        <f t="shared" si="2"/>
        <v>3.2323919700578685E-3</v>
      </c>
    </row>
    <row r="191" spans="40:46">
      <c r="AN191" s="23">
        <v>57.81</v>
      </c>
      <c r="AO191" s="23">
        <v>58.365000000000002</v>
      </c>
      <c r="AP191" s="23">
        <v>57.03</v>
      </c>
      <c r="AQ191" s="23">
        <v>58.36</v>
      </c>
      <c r="AR191" s="23">
        <v>12237467</v>
      </c>
      <c r="AS191" s="23" t="s">
        <v>276</v>
      </c>
      <c r="AT191" s="24">
        <f t="shared" si="2"/>
        <v>-9.4242631939683852E-3</v>
      </c>
    </row>
    <row r="192" spans="40:46">
      <c r="AN192" s="23">
        <v>58.03</v>
      </c>
      <c r="AO192" s="23">
        <v>58.76</v>
      </c>
      <c r="AP192" s="23">
        <v>57.9</v>
      </c>
      <c r="AQ192" s="23">
        <v>58.32</v>
      </c>
      <c r="AR192" s="23">
        <v>28102011</v>
      </c>
      <c r="AS192" s="23" t="s">
        <v>275</v>
      </c>
      <c r="AT192" s="24">
        <f t="shared" si="2"/>
        <v>-4.9725651577503527E-3</v>
      </c>
    </row>
    <row r="193" spans="40:46">
      <c r="AN193" s="23">
        <v>58.37</v>
      </c>
      <c r="AO193" s="23">
        <v>58.49</v>
      </c>
      <c r="AP193" s="23">
        <v>57.21</v>
      </c>
      <c r="AQ193" s="23">
        <v>58.48</v>
      </c>
      <c r="AR193" s="23">
        <v>11648923</v>
      </c>
      <c r="AS193" s="23" t="s">
        <v>274</v>
      </c>
      <c r="AT193" s="24">
        <f t="shared" si="2"/>
        <v>-1.8809849521204125E-3</v>
      </c>
    </row>
    <row r="194" spans="40:46">
      <c r="AN194" s="23">
        <v>58.26</v>
      </c>
      <c r="AO194" s="23">
        <v>59.75</v>
      </c>
      <c r="AP194" s="23">
        <v>58.03</v>
      </c>
      <c r="AQ194" s="23">
        <v>59.74</v>
      </c>
      <c r="AR194" s="23">
        <v>12599367</v>
      </c>
      <c r="AS194" s="23" t="s">
        <v>273</v>
      </c>
      <c r="AT194" s="24">
        <f t="shared" si="2"/>
        <v>-2.4774020756612058E-2</v>
      </c>
    </row>
    <row r="195" spans="40:46">
      <c r="AN195" s="23">
        <v>59.33</v>
      </c>
      <c r="AO195" s="23">
        <v>59.57</v>
      </c>
      <c r="AP195" s="23">
        <v>58.97</v>
      </c>
      <c r="AQ195" s="23">
        <v>59.57</v>
      </c>
      <c r="AR195" s="23">
        <v>9359170</v>
      </c>
      <c r="AS195" s="23" t="s">
        <v>272</v>
      </c>
      <c r="AT195" s="24">
        <f t="shared" si="2"/>
        <v>-4.028873594090987E-3</v>
      </c>
    </row>
    <row r="196" spans="40:46">
      <c r="AN196" s="23">
        <v>59.49</v>
      </c>
      <c r="AO196" s="23">
        <v>60.56</v>
      </c>
      <c r="AP196" s="23">
        <v>59.46</v>
      </c>
      <c r="AQ196" s="23">
        <v>60</v>
      </c>
      <c r="AR196" s="23">
        <v>10464729</v>
      </c>
      <c r="AS196" s="23" t="s">
        <v>271</v>
      </c>
      <c r="AT196" s="24">
        <f t="shared" si="2"/>
        <v>-8.499999999999952E-3</v>
      </c>
    </row>
    <row r="197" spans="40:46">
      <c r="AN197" s="23">
        <v>60.61</v>
      </c>
      <c r="AO197" s="23">
        <v>60.76</v>
      </c>
      <c r="AP197" s="23">
        <v>59.67</v>
      </c>
      <c r="AQ197" s="23">
        <v>59.92</v>
      </c>
      <c r="AR197" s="23">
        <v>18888289</v>
      </c>
      <c r="AS197" s="23" t="s">
        <v>270</v>
      </c>
      <c r="AT197" s="24">
        <f t="shared" si="2"/>
        <v>1.1515353805073403E-2</v>
      </c>
    </row>
    <row r="198" spans="40:46">
      <c r="AN198" s="23">
        <v>59.8</v>
      </c>
      <c r="AO198" s="23">
        <v>60</v>
      </c>
      <c r="AP198" s="23">
        <v>58.79</v>
      </c>
      <c r="AQ198" s="23">
        <v>59.25</v>
      </c>
      <c r="AR198" s="23">
        <v>12928493</v>
      </c>
      <c r="AS198" s="23" t="s">
        <v>269</v>
      </c>
      <c r="AT198" s="24">
        <f t="shared" si="2"/>
        <v>9.2827004219409037E-3</v>
      </c>
    </row>
    <row r="199" spans="40:46">
      <c r="AN199" s="23">
        <v>59.12</v>
      </c>
      <c r="AO199" s="23">
        <v>60.11</v>
      </c>
      <c r="AP199" s="23">
        <v>59.03</v>
      </c>
      <c r="AQ199" s="23">
        <v>59.92</v>
      </c>
      <c r="AR199" s="23">
        <v>13500311</v>
      </c>
      <c r="AS199" s="23" t="s">
        <v>268</v>
      </c>
      <c r="AT199" s="24">
        <f t="shared" si="2"/>
        <v>-1.3351134846461998E-2</v>
      </c>
    </row>
    <row r="200" spans="40:46">
      <c r="AN200" s="23">
        <v>60.13</v>
      </c>
      <c r="AO200" s="23">
        <v>60.64</v>
      </c>
      <c r="AP200" s="23">
        <v>59.480499999999999</v>
      </c>
      <c r="AQ200" s="23">
        <v>60.37</v>
      </c>
      <c r="AR200" s="23">
        <v>13558487</v>
      </c>
      <c r="AS200" s="23" t="s">
        <v>267</v>
      </c>
      <c r="AT200" s="24">
        <f t="shared" ref="AT200:AT257" si="3">AN200/AQ200-1</f>
        <v>-3.9754845121748872E-3</v>
      </c>
    </row>
    <row r="201" spans="40:46">
      <c r="AN201" s="23">
        <v>60.634999999999998</v>
      </c>
      <c r="AO201" s="23">
        <v>61.64</v>
      </c>
      <c r="AP201" s="23">
        <v>60.31</v>
      </c>
      <c r="AQ201" s="23">
        <v>61.29</v>
      </c>
      <c r="AR201" s="23">
        <v>10366037</v>
      </c>
      <c r="AS201" s="23" t="s">
        <v>266</v>
      </c>
      <c r="AT201" s="24">
        <f t="shared" si="3"/>
        <v>-1.0686898352096574E-2</v>
      </c>
    </row>
    <row r="202" spans="40:46">
      <c r="AN202" s="23">
        <v>61.54</v>
      </c>
      <c r="AO202" s="23">
        <v>63.625</v>
      </c>
      <c r="AP202" s="23">
        <v>61.52</v>
      </c>
      <c r="AQ202" s="23">
        <v>63.12</v>
      </c>
      <c r="AR202" s="23">
        <v>11985383</v>
      </c>
      <c r="AS202" s="23" t="s">
        <v>265</v>
      </c>
      <c r="AT202" s="24">
        <f t="shared" si="3"/>
        <v>-2.5031685678073456E-2</v>
      </c>
    </row>
    <row r="203" spans="40:46">
      <c r="AN203" s="23">
        <v>63.43</v>
      </c>
      <c r="AO203" s="23">
        <v>65.86</v>
      </c>
      <c r="AP203" s="23">
        <v>62.9</v>
      </c>
      <c r="AQ203" s="23">
        <v>65.459999999999994</v>
      </c>
      <c r="AR203" s="23">
        <v>14137513</v>
      </c>
      <c r="AS203" s="23" t="s">
        <v>264</v>
      </c>
      <c r="AT203" s="24">
        <f t="shared" si="3"/>
        <v>-3.101130461350432E-2</v>
      </c>
    </row>
    <row r="204" spans="40:46">
      <c r="AN204" s="23">
        <v>64.77</v>
      </c>
      <c r="AO204" s="23">
        <v>67.150000000000006</v>
      </c>
      <c r="AP204" s="23">
        <v>64.405000000000001</v>
      </c>
      <c r="AQ204" s="23">
        <v>67.13</v>
      </c>
      <c r="AR204" s="23">
        <v>15108667</v>
      </c>
      <c r="AS204" s="23" t="s">
        <v>263</v>
      </c>
      <c r="AT204" s="24">
        <f t="shared" si="3"/>
        <v>-3.5155668106658711E-2</v>
      </c>
    </row>
    <row r="205" spans="40:46">
      <c r="AN205" s="23">
        <v>67.09</v>
      </c>
      <c r="AO205" s="23">
        <v>67.489999999999995</v>
      </c>
      <c r="AP205" s="23">
        <v>65.8</v>
      </c>
      <c r="AQ205" s="23">
        <v>66.97</v>
      </c>
      <c r="AR205" s="23">
        <v>11978817</v>
      </c>
      <c r="AS205" s="23" t="s">
        <v>262</v>
      </c>
      <c r="AT205" s="24">
        <f t="shared" si="3"/>
        <v>1.7918470957145605E-3</v>
      </c>
    </row>
    <row r="206" spans="40:46">
      <c r="AN206" s="23">
        <v>67.3</v>
      </c>
      <c r="AO206" s="23">
        <v>68.298500000000004</v>
      </c>
      <c r="AP206" s="23">
        <v>66.2</v>
      </c>
      <c r="AQ206" s="23">
        <v>66.5</v>
      </c>
      <c r="AR206" s="23">
        <v>13194960</v>
      </c>
      <c r="AS206" s="23" t="s">
        <v>261</v>
      </c>
      <c r="AT206" s="24">
        <f t="shared" si="3"/>
        <v>1.2030075187969835E-2</v>
      </c>
    </row>
    <row r="207" spans="40:46">
      <c r="AN207" s="23">
        <v>67.02</v>
      </c>
      <c r="AO207" s="23">
        <v>67.819999999999993</v>
      </c>
      <c r="AP207" s="23">
        <v>64.17</v>
      </c>
      <c r="AQ207" s="23">
        <v>64.284999999999997</v>
      </c>
      <c r="AR207" s="23">
        <v>22068792</v>
      </c>
      <c r="AS207" s="23" t="s">
        <v>260</v>
      </c>
      <c r="AT207" s="24">
        <f t="shared" si="3"/>
        <v>4.2544917165746376E-2</v>
      </c>
    </row>
    <row r="208" spans="40:46">
      <c r="AN208" s="23">
        <v>63.53</v>
      </c>
      <c r="AO208" s="23">
        <v>63.81</v>
      </c>
      <c r="AP208" s="23">
        <v>62.85</v>
      </c>
      <c r="AQ208" s="23">
        <v>63.76</v>
      </c>
      <c r="AR208" s="23">
        <v>8846106</v>
      </c>
      <c r="AS208" s="23" t="s">
        <v>259</v>
      </c>
      <c r="AT208" s="24">
        <f t="shared" si="3"/>
        <v>-3.6072772898367855E-3</v>
      </c>
    </row>
    <row r="209" spans="40:46">
      <c r="AN209" s="23">
        <v>63.33</v>
      </c>
      <c r="AO209" s="23">
        <v>64.13</v>
      </c>
      <c r="AP209" s="23">
        <v>63.03</v>
      </c>
      <c r="AQ209" s="23">
        <v>63.14</v>
      </c>
      <c r="AR209" s="23">
        <v>9046058</v>
      </c>
      <c r="AS209" s="23" t="s">
        <v>258</v>
      </c>
      <c r="AT209" s="24">
        <f t="shared" si="3"/>
        <v>3.0091859360150686E-3</v>
      </c>
    </row>
    <row r="210" spans="40:46">
      <c r="AN210" s="23">
        <v>63.46</v>
      </c>
      <c r="AO210" s="23">
        <v>63.52</v>
      </c>
      <c r="AP210" s="23">
        <v>62.58</v>
      </c>
      <c r="AQ210" s="23">
        <v>63.04</v>
      </c>
      <c r="AR210" s="23">
        <v>9039816</v>
      </c>
      <c r="AS210" s="23" t="s">
        <v>257</v>
      </c>
      <c r="AT210" s="24">
        <f t="shared" si="3"/>
        <v>6.6624365482232939E-3</v>
      </c>
    </row>
    <row r="211" spans="40:46">
      <c r="AN211" s="23">
        <v>62.99</v>
      </c>
      <c r="AO211" s="23">
        <v>63.56</v>
      </c>
      <c r="AP211" s="23">
        <v>61.77</v>
      </c>
      <c r="AQ211" s="23">
        <v>62.73</v>
      </c>
      <c r="AR211" s="23">
        <v>14269038</v>
      </c>
      <c r="AS211" s="23" t="s">
        <v>256</v>
      </c>
      <c r="AT211" s="24">
        <f t="shared" si="3"/>
        <v>4.1447473298263926E-3</v>
      </c>
    </row>
    <row r="212" spans="40:46">
      <c r="AN212" s="23">
        <v>62.51</v>
      </c>
      <c r="AO212" s="23">
        <v>63.34</v>
      </c>
      <c r="AP212" s="23">
        <v>62.13</v>
      </c>
      <c r="AQ212" s="23">
        <v>62.77</v>
      </c>
      <c r="AR212" s="23">
        <v>11874710</v>
      </c>
      <c r="AS212" s="23" t="s">
        <v>255</v>
      </c>
      <c r="AT212" s="24">
        <f t="shared" si="3"/>
        <v>-4.1421061016410077E-3</v>
      </c>
    </row>
    <row r="213" spans="40:46">
      <c r="AN213" s="23">
        <v>61.05</v>
      </c>
      <c r="AO213" s="23">
        <v>61.59</v>
      </c>
      <c r="AP213" s="23">
        <v>60.85</v>
      </c>
      <c r="AQ213" s="23">
        <v>61.23</v>
      </c>
      <c r="AR213" s="23">
        <v>8142812</v>
      </c>
      <c r="AS213" s="23" t="s">
        <v>254</v>
      </c>
      <c r="AT213" s="24">
        <f t="shared" si="3"/>
        <v>-2.9397354238118734E-3</v>
      </c>
    </row>
    <row r="214" spans="40:46">
      <c r="AN214" s="23">
        <v>62.17</v>
      </c>
      <c r="AO214" s="23">
        <v>62.87</v>
      </c>
      <c r="AP214" s="23">
        <v>61.75</v>
      </c>
      <c r="AQ214" s="23">
        <v>62.3</v>
      </c>
      <c r="AR214" s="23">
        <v>11159562</v>
      </c>
      <c r="AS214" s="23" t="s">
        <v>253</v>
      </c>
      <c r="AT214" s="24">
        <f t="shared" si="3"/>
        <v>-2.0866773675761729E-3</v>
      </c>
    </row>
    <row r="215" spans="40:46">
      <c r="AN215" s="23">
        <v>61.64</v>
      </c>
      <c r="AO215" s="23">
        <v>62.06</v>
      </c>
      <c r="AP215" s="23">
        <v>61.27</v>
      </c>
      <c r="AQ215" s="23">
        <v>61.95</v>
      </c>
      <c r="AR215" s="23">
        <v>8176776</v>
      </c>
      <c r="AS215" s="23" t="s">
        <v>252</v>
      </c>
      <c r="AT215" s="24">
        <f t="shared" si="3"/>
        <v>-5.0040355125101632E-3</v>
      </c>
    </row>
    <row r="216" spans="40:46">
      <c r="AN216" s="23">
        <v>61.58</v>
      </c>
      <c r="AO216" s="23">
        <v>62.685000000000002</v>
      </c>
      <c r="AP216" s="23">
        <v>61.220100000000002</v>
      </c>
      <c r="AQ216" s="23">
        <v>62.54</v>
      </c>
      <c r="AR216" s="23">
        <v>10533414</v>
      </c>
      <c r="AS216" s="23" t="s">
        <v>251</v>
      </c>
      <c r="AT216" s="24">
        <f t="shared" si="3"/>
        <v>-1.5350175887432038E-2</v>
      </c>
    </row>
    <row r="217" spans="40:46">
      <c r="AN217" s="23">
        <v>62.19</v>
      </c>
      <c r="AO217" s="23">
        <v>63.91</v>
      </c>
      <c r="AP217" s="23">
        <v>61.844999999999999</v>
      </c>
      <c r="AQ217" s="23">
        <v>63.79</v>
      </c>
      <c r="AR217" s="23">
        <v>14532237</v>
      </c>
      <c r="AS217" s="23" t="s">
        <v>250</v>
      </c>
      <c r="AT217" s="24">
        <f t="shared" si="3"/>
        <v>-2.5082301301144416E-2</v>
      </c>
    </row>
    <row r="218" spans="40:46">
      <c r="AN218" s="23">
        <v>64.099999999999994</v>
      </c>
      <c r="AO218" s="23">
        <v>64.69</v>
      </c>
      <c r="AP218" s="23">
        <v>63.7</v>
      </c>
      <c r="AQ218" s="23">
        <v>64.39</v>
      </c>
      <c r="AR218" s="23">
        <v>6576018</v>
      </c>
      <c r="AS218" s="23" t="s">
        <v>249</v>
      </c>
      <c r="AT218" s="24">
        <f t="shared" si="3"/>
        <v>-4.5038049386552093E-3</v>
      </c>
    </row>
    <row r="219" spans="40:46">
      <c r="AN219" s="23">
        <v>64.77</v>
      </c>
      <c r="AO219" s="23">
        <v>65.034999999999997</v>
      </c>
      <c r="AP219" s="23">
        <v>63.77</v>
      </c>
      <c r="AQ219" s="23">
        <v>64.528000000000006</v>
      </c>
      <c r="AR219" s="23">
        <v>6429049</v>
      </c>
      <c r="AS219" s="23" t="s">
        <v>248</v>
      </c>
      <c r="AT219" s="24">
        <f t="shared" si="3"/>
        <v>3.7503099429703202E-3</v>
      </c>
    </row>
    <row r="220" spans="40:46">
      <c r="AN220" s="23">
        <v>64.48</v>
      </c>
      <c r="AO220" s="23">
        <v>64.709999999999994</v>
      </c>
      <c r="AP220" s="23">
        <v>63.844999999999999</v>
      </c>
      <c r="AQ220" s="23">
        <v>64.08</v>
      </c>
      <c r="AR220" s="23">
        <v>8204812</v>
      </c>
      <c r="AS220" s="23" t="s">
        <v>247</v>
      </c>
      <c r="AT220" s="24">
        <f t="shared" si="3"/>
        <v>6.2421972534332237E-3</v>
      </c>
    </row>
    <row r="221" spans="40:46">
      <c r="AN221" s="23">
        <v>64.099999999999994</v>
      </c>
      <c r="AO221" s="23">
        <v>64.430000000000007</v>
      </c>
      <c r="AP221" s="23">
        <v>63.420099999999998</v>
      </c>
      <c r="AQ221" s="23">
        <v>63.59</v>
      </c>
      <c r="AR221" s="23">
        <v>8113565</v>
      </c>
      <c r="AS221" s="23" t="s">
        <v>246</v>
      </c>
      <c r="AT221" s="24">
        <f t="shared" si="3"/>
        <v>8.0201289510928309E-3</v>
      </c>
    </row>
    <row r="222" spans="40:46">
      <c r="AN222" s="23">
        <v>63.9</v>
      </c>
      <c r="AO222" s="23">
        <v>65.53</v>
      </c>
      <c r="AP222" s="23">
        <v>63.48</v>
      </c>
      <c r="AQ222" s="23">
        <v>65.11</v>
      </c>
      <c r="AR222" s="23">
        <v>10972601</v>
      </c>
      <c r="AS222" s="23" t="s">
        <v>245</v>
      </c>
      <c r="AT222" s="24">
        <f t="shared" si="3"/>
        <v>-1.8583934879434771E-2</v>
      </c>
    </row>
    <row r="223" spans="40:46">
      <c r="AN223" s="23">
        <v>64.58</v>
      </c>
      <c r="AO223" s="23">
        <v>64.86</v>
      </c>
      <c r="AP223" s="23">
        <v>64.27</v>
      </c>
      <c r="AQ223" s="23">
        <v>64.39</v>
      </c>
      <c r="AR223" s="23">
        <v>7556453</v>
      </c>
      <c r="AS223" s="23" t="s">
        <v>244</v>
      </c>
      <c r="AT223" s="24">
        <f t="shared" si="3"/>
        <v>2.950768752912003E-3</v>
      </c>
    </row>
    <row r="224" spans="40:46">
      <c r="AN224" s="23">
        <v>63.95</v>
      </c>
      <c r="AO224" s="23">
        <v>64.430000000000007</v>
      </c>
      <c r="AP224" s="23">
        <v>63.19</v>
      </c>
      <c r="AQ224" s="23">
        <v>63.435000000000002</v>
      </c>
      <c r="AR224" s="23">
        <v>7311644</v>
      </c>
      <c r="AS224" s="23" t="s">
        <v>243</v>
      </c>
      <c r="AT224" s="24">
        <f t="shared" si="3"/>
        <v>8.1185465437061399E-3</v>
      </c>
    </row>
    <row r="225" spans="40:46">
      <c r="AN225" s="23">
        <v>62.93</v>
      </c>
      <c r="AO225" s="23">
        <v>64.94</v>
      </c>
      <c r="AP225" s="23">
        <v>62.88</v>
      </c>
      <c r="AQ225" s="23">
        <v>64.59</v>
      </c>
      <c r="AR225" s="23">
        <v>8745768</v>
      </c>
      <c r="AS225" s="23" t="s">
        <v>242</v>
      </c>
      <c r="AT225" s="24">
        <f t="shared" si="3"/>
        <v>-2.570057284409355E-2</v>
      </c>
    </row>
    <row r="226" spans="40:46">
      <c r="AN226" s="23">
        <v>64.45</v>
      </c>
      <c r="AO226" s="23">
        <v>64.47</v>
      </c>
      <c r="AP226" s="23">
        <v>63.41</v>
      </c>
      <c r="AQ226" s="23">
        <v>63.87</v>
      </c>
      <c r="AR226" s="23">
        <v>8368668</v>
      </c>
      <c r="AS226" s="23" t="s">
        <v>241</v>
      </c>
      <c r="AT226" s="24">
        <f t="shared" si="3"/>
        <v>9.0809456708940139E-3</v>
      </c>
    </row>
    <row r="227" spans="40:46">
      <c r="AN227" s="23">
        <v>63.81</v>
      </c>
      <c r="AO227" s="23">
        <v>65.7</v>
      </c>
      <c r="AP227" s="23">
        <v>63.77</v>
      </c>
      <c r="AQ227" s="23">
        <v>65.459999999999994</v>
      </c>
      <c r="AR227" s="23">
        <v>11183819</v>
      </c>
      <c r="AS227" s="23" t="s">
        <v>240</v>
      </c>
      <c r="AT227" s="24">
        <f t="shared" si="3"/>
        <v>-2.5206232813932083E-2</v>
      </c>
    </row>
    <row r="228" spans="40:46">
      <c r="AN228" s="23">
        <v>65.92</v>
      </c>
      <c r="AO228" s="23">
        <v>66.77</v>
      </c>
      <c r="AP228" s="23">
        <v>65.77</v>
      </c>
      <c r="AQ228" s="23">
        <v>66.08</v>
      </c>
      <c r="AR228" s="23">
        <v>9232204</v>
      </c>
      <c r="AS228" s="23" t="s">
        <v>239</v>
      </c>
      <c r="AT228" s="24">
        <f t="shared" si="3"/>
        <v>-2.421307506053183E-3</v>
      </c>
    </row>
    <row r="229" spans="40:46">
      <c r="AN229" s="23">
        <v>65.61</v>
      </c>
      <c r="AO229" s="23">
        <v>66.099999999999994</v>
      </c>
      <c r="AP229" s="23">
        <v>64.95</v>
      </c>
      <c r="AQ229" s="23">
        <v>66</v>
      </c>
      <c r="AR229" s="23">
        <v>11257563</v>
      </c>
      <c r="AS229" s="23" t="s">
        <v>238</v>
      </c>
      <c r="AT229" s="24">
        <f t="shared" si="3"/>
        <v>-5.9090909090908639E-3</v>
      </c>
    </row>
    <row r="230" spans="40:46">
      <c r="AN230" s="23">
        <v>65.7</v>
      </c>
      <c r="AO230" s="23">
        <v>67.89</v>
      </c>
      <c r="AP230" s="23">
        <v>64.72</v>
      </c>
      <c r="AQ230" s="23">
        <v>67.64</v>
      </c>
      <c r="AR230" s="23">
        <v>15435157</v>
      </c>
      <c r="AS230" s="23" t="s">
        <v>237</v>
      </c>
      <c r="AT230" s="24">
        <f t="shared" si="3"/>
        <v>-2.8681253696037801E-2</v>
      </c>
    </row>
    <row r="231" spans="40:46">
      <c r="AN231" s="23">
        <v>66.98</v>
      </c>
      <c r="AO231" s="23">
        <v>67.44</v>
      </c>
      <c r="AP231" s="23">
        <v>65.83</v>
      </c>
      <c r="AQ231" s="23">
        <v>66.7</v>
      </c>
      <c r="AR231" s="23">
        <v>14480564</v>
      </c>
      <c r="AS231" s="23" t="s">
        <v>236</v>
      </c>
      <c r="AT231" s="24">
        <f t="shared" si="3"/>
        <v>4.1979010494752611E-3</v>
      </c>
    </row>
    <row r="232" spans="40:46">
      <c r="AN232" s="23">
        <v>66.14</v>
      </c>
      <c r="AO232" s="23">
        <v>67.8</v>
      </c>
      <c r="AP232" s="23">
        <v>65.489999999999995</v>
      </c>
      <c r="AQ232" s="23">
        <v>67</v>
      </c>
      <c r="AR232" s="23">
        <v>17966526</v>
      </c>
      <c r="AS232" s="23" t="s">
        <v>235</v>
      </c>
      <c r="AT232" s="24">
        <f t="shared" si="3"/>
        <v>-1.2835820895522376E-2</v>
      </c>
    </row>
    <row r="233" spans="40:46">
      <c r="AN233" s="23">
        <v>67.92</v>
      </c>
      <c r="AO233" s="23">
        <v>70.661799999999999</v>
      </c>
      <c r="AP233" s="23">
        <v>67.22</v>
      </c>
      <c r="AQ233" s="23">
        <v>70</v>
      </c>
      <c r="AR233" s="23">
        <v>43903402</v>
      </c>
      <c r="AS233" s="23" t="s">
        <v>234</v>
      </c>
      <c r="AT233" s="24">
        <f t="shared" si="3"/>
        <v>-2.9714285714285693E-2</v>
      </c>
    </row>
    <row r="234" spans="40:46">
      <c r="AN234" s="23">
        <v>66.989999999999995</v>
      </c>
      <c r="AO234" s="23">
        <v>67.55</v>
      </c>
      <c r="AP234" s="23">
        <v>66</v>
      </c>
      <c r="AQ234" s="23">
        <v>66</v>
      </c>
      <c r="AR234" s="23">
        <v>19142390</v>
      </c>
      <c r="AS234" s="23" t="s">
        <v>233</v>
      </c>
      <c r="AT234" s="24">
        <f t="shared" si="3"/>
        <v>1.4999999999999902E-2</v>
      </c>
    </row>
    <row r="235" spans="40:46">
      <c r="AN235" s="23">
        <v>65.959999999999994</v>
      </c>
      <c r="AO235" s="23">
        <v>66.3</v>
      </c>
      <c r="AP235" s="23">
        <v>63.75</v>
      </c>
      <c r="AQ235" s="23">
        <v>64.13</v>
      </c>
      <c r="AR235" s="23">
        <v>14200886</v>
      </c>
      <c r="AS235" s="23" t="s">
        <v>232</v>
      </c>
      <c r="AT235" s="24">
        <f t="shared" si="3"/>
        <v>2.8535786683299591E-2</v>
      </c>
    </row>
    <row r="236" spans="40:46">
      <c r="AN236" s="23">
        <v>64.099999999999994</v>
      </c>
      <c r="AO236" s="23">
        <v>64.400499999999994</v>
      </c>
      <c r="AP236" s="23">
        <v>62.95</v>
      </c>
      <c r="AQ236" s="23">
        <v>63.47</v>
      </c>
      <c r="AR236" s="23">
        <v>11711244</v>
      </c>
      <c r="AS236" s="23" t="s">
        <v>231</v>
      </c>
      <c r="AT236" s="24">
        <f t="shared" si="3"/>
        <v>9.9259492673704486E-3</v>
      </c>
    </row>
    <row r="237" spans="40:46">
      <c r="AN237" s="23">
        <v>64.84</v>
      </c>
      <c r="AO237" s="23">
        <v>65.09</v>
      </c>
      <c r="AP237" s="23">
        <v>64.02</v>
      </c>
      <c r="AQ237" s="23">
        <v>64.11</v>
      </c>
      <c r="AR237" s="23">
        <v>8189112</v>
      </c>
      <c r="AS237" s="23" t="s">
        <v>230</v>
      </c>
      <c r="AT237" s="24">
        <f t="shared" si="3"/>
        <v>1.1386679145219292E-2</v>
      </c>
    </row>
    <row r="238" spans="40:46">
      <c r="AN238" s="23">
        <v>64.430000000000007</v>
      </c>
      <c r="AO238" s="23">
        <v>64.7</v>
      </c>
      <c r="AP238" s="23">
        <v>63.2</v>
      </c>
      <c r="AQ238" s="23">
        <v>63.38</v>
      </c>
      <c r="AR238" s="23">
        <v>9912958</v>
      </c>
      <c r="AS238" s="23" t="s">
        <v>229</v>
      </c>
      <c r="AT238" s="24">
        <f t="shared" si="3"/>
        <v>1.6566740296623639E-2</v>
      </c>
    </row>
    <row r="239" spans="40:46">
      <c r="AN239" s="23">
        <v>63.19</v>
      </c>
      <c r="AO239" s="23">
        <v>63.634999999999998</v>
      </c>
      <c r="AP239" s="23">
        <v>62.48</v>
      </c>
      <c r="AQ239" s="23">
        <v>63.04</v>
      </c>
      <c r="AR239" s="23">
        <v>9958232</v>
      </c>
      <c r="AS239" s="23" t="s">
        <v>228</v>
      </c>
      <c r="AT239" s="24">
        <f t="shared" si="3"/>
        <v>2.3794416243654304E-3</v>
      </c>
    </row>
    <row r="240" spans="40:46">
      <c r="AN240" s="23">
        <v>62.31</v>
      </c>
      <c r="AO240" s="23">
        <v>62.460099999999997</v>
      </c>
      <c r="AP240" s="23">
        <v>61.725000000000001</v>
      </c>
      <c r="AQ240" s="23">
        <v>62</v>
      </c>
      <c r="AR240" s="23">
        <v>13177880</v>
      </c>
      <c r="AS240" s="23" t="s">
        <v>227</v>
      </c>
      <c r="AT240" s="24">
        <f t="shared" si="3"/>
        <v>5.0000000000001155E-3</v>
      </c>
    </row>
    <row r="241" spans="40:46">
      <c r="AN241" s="23">
        <v>62.1</v>
      </c>
      <c r="AO241" s="23">
        <v>64.03</v>
      </c>
      <c r="AP241" s="23">
        <v>61.95</v>
      </c>
      <c r="AQ241" s="23">
        <v>63.85</v>
      </c>
      <c r="AR241" s="23">
        <v>9240022</v>
      </c>
      <c r="AS241" s="23" t="s">
        <v>226</v>
      </c>
      <c r="AT241" s="24">
        <f t="shared" si="3"/>
        <v>-2.7407987470634332E-2</v>
      </c>
    </row>
    <row r="242" spans="40:46">
      <c r="AN242" s="23">
        <v>63.26</v>
      </c>
      <c r="AO242" s="23">
        <v>63.97</v>
      </c>
      <c r="AP242" s="23">
        <v>62.58</v>
      </c>
      <c r="AQ242" s="23">
        <v>63.78</v>
      </c>
      <c r="AR242" s="23">
        <v>8000869</v>
      </c>
      <c r="AS242" s="23" t="s">
        <v>225</v>
      </c>
      <c r="AT242" s="24">
        <f t="shared" si="3"/>
        <v>-8.153026026967769E-3</v>
      </c>
    </row>
    <row r="243" spans="40:46">
      <c r="AN243" s="23">
        <v>63.43</v>
      </c>
      <c r="AO243" s="23">
        <v>64.209999999999994</v>
      </c>
      <c r="AP243" s="23">
        <v>62.92</v>
      </c>
      <c r="AQ243" s="23">
        <v>62.99</v>
      </c>
      <c r="AR243" s="23">
        <v>9912670</v>
      </c>
      <c r="AS243" s="23" t="s">
        <v>224</v>
      </c>
      <c r="AT243" s="24">
        <f t="shared" si="3"/>
        <v>6.9852357517066199E-3</v>
      </c>
    </row>
    <row r="244" spans="40:46">
      <c r="AN244" s="23">
        <v>63.51</v>
      </c>
      <c r="AO244" s="23">
        <v>65.47</v>
      </c>
      <c r="AP244" s="23">
        <v>63.25</v>
      </c>
      <c r="AQ244" s="23">
        <v>65.06</v>
      </c>
      <c r="AR244" s="23">
        <v>11008660</v>
      </c>
      <c r="AS244" s="23" t="s">
        <v>223</v>
      </c>
      <c r="AT244" s="24">
        <f t="shared" si="3"/>
        <v>-2.382416231171236E-2</v>
      </c>
    </row>
    <row r="245" spans="40:46">
      <c r="AN245" s="23">
        <v>64.59</v>
      </c>
      <c r="AO245" s="23">
        <v>65.97</v>
      </c>
      <c r="AP245" s="23">
        <v>64.16</v>
      </c>
      <c r="AQ245" s="23">
        <v>65.38</v>
      </c>
      <c r="AR245" s="23">
        <v>9933991</v>
      </c>
      <c r="AS245" s="23" t="s">
        <v>222</v>
      </c>
      <c r="AT245" s="24">
        <f t="shared" si="3"/>
        <v>-1.2083205873355651E-2</v>
      </c>
    </row>
    <row r="246" spans="40:46">
      <c r="AN246" s="23">
        <v>65.8</v>
      </c>
      <c r="AO246" s="23">
        <v>66.377499999999998</v>
      </c>
      <c r="AP246" s="23">
        <v>64.680000000000007</v>
      </c>
      <c r="AQ246" s="23">
        <v>65.844999999999999</v>
      </c>
      <c r="AR246" s="23">
        <v>8785482</v>
      </c>
      <c r="AS246" s="23" t="s">
        <v>221</v>
      </c>
      <c r="AT246" s="24">
        <f t="shared" si="3"/>
        <v>-6.8342319082692615E-4</v>
      </c>
    </row>
    <row r="247" spans="40:46">
      <c r="AN247" s="23">
        <v>65.88</v>
      </c>
      <c r="AO247" s="23">
        <v>66.19</v>
      </c>
      <c r="AP247" s="23">
        <v>65.05</v>
      </c>
      <c r="AQ247" s="23">
        <v>65.12</v>
      </c>
      <c r="AR247" s="23">
        <v>8566270</v>
      </c>
      <c r="AS247" s="23" t="s">
        <v>220</v>
      </c>
      <c r="AT247" s="24">
        <f t="shared" si="3"/>
        <v>1.167076167076142E-2</v>
      </c>
    </row>
    <row r="248" spans="40:46">
      <c r="AN248" s="23">
        <v>67</v>
      </c>
      <c r="AO248" s="23">
        <v>67.260000000000005</v>
      </c>
      <c r="AP248" s="23">
        <v>66.385000000000005</v>
      </c>
      <c r="AQ248" s="23">
        <v>66.95</v>
      </c>
      <c r="AR248" s="23">
        <v>8459879</v>
      </c>
      <c r="AS248" s="23" t="s">
        <v>219</v>
      </c>
      <c r="AT248" s="24">
        <f t="shared" si="3"/>
        <v>7.468259895444529E-4</v>
      </c>
    </row>
    <row r="249" spans="40:46">
      <c r="AN249" s="23">
        <v>66.34</v>
      </c>
      <c r="AO249" s="23">
        <v>66.7</v>
      </c>
      <c r="AP249" s="23">
        <v>65.33</v>
      </c>
      <c r="AQ249" s="23">
        <v>65.53</v>
      </c>
      <c r="AR249" s="23">
        <v>8421432</v>
      </c>
      <c r="AS249" s="23" t="s">
        <v>218</v>
      </c>
      <c r="AT249" s="24">
        <f t="shared" si="3"/>
        <v>1.2360750801159837E-2</v>
      </c>
    </row>
    <row r="250" spans="40:46">
      <c r="AN250" s="23">
        <v>65.150000000000006</v>
      </c>
      <c r="AO250" s="23">
        <v>65.47</v>
      </c>
      <c r="AP250" s="23">
        <v>64.06</v>
      </c>
      <c r="AQ250" s="23">
        <v>64.7</v>
      </c>
      <c r="AR250" s="23">
        <v>8062301</v>
      </c>
      <c r="AS250" s="23" t="s">
        <v>217</v>
      </c>
      <c r="AT250" s="24">
        <f t="shared" si="3"/>
        <v>6.9551777434313511E-3</v>
      </c>
    </row>
    <row r="251" spans="40:46">
      <c r="AN251" s="23">
        <v>64.540000000000006</v>
      </c>
      <c r="AO251" s="23">
        <v>66.36</v>
      </c>
      <c r="AP251" s="23">
        <v>64.34</v>
      </c>
      <c r="AQ251" s="23">
        <v>65.989999999999995</v>
      </c>
      <c r="AR251" s="23">
        <v>9933370</v>
      </c>
      <c r="AS251" s="23" t="s">
        <v>216</v>
      </c>
      <c r="AT251" s="24">
        <f t="shared" si="3"/>
        <v>-2.1973026216093205E-2</v>
      </c>
    </row>
    <row r="252" spans="40:46">
      <c r="AN252" s="23">
        <v>65.34</v>
      </c>
      <c r="AO252" s="23">
        <v>65.454999999999998</v>
      </c>
      <c r="AP252" s="23">
        <v>64.41</v>
      </c>
      <c r="AQ252" s="23">
        <v>64.48</v>
      </c>
      <c r="AR252" s="23">
        <v>7176112</v>
      </c>
      <c r="AS252" s="23" t="s">
        <v>215</v>
      </c>
      <c r="AT252" s="24">
        <f t="shared" si="3"/>
        <v>1.3337468982630218E-2</v>
      </c>
    </row>
    <row r="253" spans="40:46">
      <c r="AN253" s="23">
        <v>64.66</v>
      </c>
      <c r="AO253" s="23">
        <v>64.84</v>
      </c>
      <c r="AP253" s="23">
        <v>63.55</v>
      </c>
      <c r="AQ253" s="23">
        <v>63.95</v>
      </c>
      <c r="AR253" s="23">
        <v>10329272</v>
      </c>
      <c r="AS253" s="23" t="s">
        <v>214</v>
      </c>
      <c r="AT253" s="24">
        <f t="shared" si="3"/>
        <v>1.110242376856907E-2</v>
      </c>
    </row>
    <row r="254" spans="40:46">
      <c r="AN254" s="23">
        <v>65.03</v>
      </c>
      <c r="AO254" s="23">
        <v>67.361000000000004</v>
      </c>
      <c r="AP254" s="23">
        <v>65</v>
      </c>
      <c r="AQ254" s="23">
        <v>67</v>
      </c>
      <c r="AR254" s="23">
        <v>9840525</v>
      </c>
      <c r="AS254" s="23" t="s">
        <v>213</v>
      </c>
      <c r="AT254" s="24">
        <f t="shared" si="3"/>
        <v>-2.9402985074626797E-2</v>
      </c>
    </row>
    <row r="255" spans="40:46">
      <c r="AN255" s="23">
        <v>66.989999999999995</v>
      </c>
      <c r="AO255" s="23">
        <v>67.72</v>
      </c>
      <c r="AP255" s="23">
        <v>66.430000000000007</v>
      </c>
      <c r="AQ255" s="23">
        <v>66.87</v>
      </c>
      <c r="AR255" s="23">
        <v>10775822</v>
      </c>
      <c r="AS255" s="23" t="s">
        <v>212</v>
      </c>
      <c r="AT255" s="24">
        <f t="shared" si="3"/>
        <v>1.7945266935843751E-3</v>
      </c>
    </row>
    <row r="256" spans="40:46">
      <c r="AN256" s="23">
        <v>66.569999999999993</v>
      </c>
      <c r="AO256" s="23">
        <v>68.209999999999994</v>
      </c>
      <c r="AP256" s="23">
        <v>66.14</v>
      </c>
      <c r="AQ256" s="23">
        <v>67.72</v>
      </c>
      <c r="AR256" s="23">
        <v>10591212</v>
      </c>
      <c r="AS256" s="23" t="s">
        <v>211</v>
      </c>
      <c r="AT256" s="24">
        <f t="shared" si="3"/>
        <v>-1.698168930891919E-2</v>
      </c>
    </row>
    <row r="257" spans="40:46">
      <c r="AN257" s="23">
        <v>66.67</v>
      </c>
      <c r="AO257" s="23">
        <v>67.97</v>
      </c>
      <c r="AP257" s="23">
        <v>66.5</v>
      </c>
      <c r="AQ257" s="23">
        <v>66.739999999999995</v>
      </c>
      <c r="AR257" s="23">
        <v>14826401</v>
      </c>
      <c r="AS257" s="23" t="s">
        <v>210</v>
      </c>
      <c r="AT257" s="24">
        <f t="shared" si="3"/>
        <v>-1.0488462691038425E-3</v>
      </c>
    </row>
  </sheetData>
  <sortState xmlns:xlrd2="http://schemas.microsoft.com/office/spreadsheetml/2017/richdata2" ref="AQ3:AQ27">
    <sortCondition ref="AQ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sqref="A1:XFD1048576"/>
    </sheetView>
  </sheetViews>
  <sheetFormatPr defaultColWidth="9.1328125" defaultRowHeight="13.5"/>
  <cols>
    <col min="1" max="1" width="2.86328125" style="1" customWidth="1"/>
    <col min="2" max="16384" width="9.1328125" style="1"/>
  </cols>
  <sheetData>
    <row r="2" spans="2:2">
      <c r="B2" s="1" t="s">
        <v>472</v>
      </c>
    </row>
    <row r="4" spans="2:2">
      <c r="B4" s="1" t="s">
        <v>473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328125" defaultRowHeight="13.5"/>
  <cols>
    <col min="1" max="1" width="2.86328125" style="1" customWidth="1"/>
    <col min="2" max="16384" width="9.1328125" style="1"/>
  </cols>
  <sheetData>
    <row r="3" spans="2:2">
      <c r="B3" s="1" t="s">
        <v>208</v>
      </c>
    </row>
    <row r="5" spans="2:2">
      <c r="B5" s="1" t="s">
        <v>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4.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4.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2025-04-16T23:26:16Z</dcterms:modified>
</cp:coreProperties>
</file>