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40E4E100-CB73-462D-9360-9CC348848B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R30" i="1" l="1"/>
  <c r="Q30" i="1"/>
  <c r="H30" i="1"/>
  <c r="F30" i="1"/>
  <c r="I30" i="1" l="1"/>
  <c r="H47" i="1"/>
  <c r="H24" i="1"/>
  <c r="H23" i="1"/>
  <c r="G23" i="1"/>
  <c r="R25" i="1"/>
  <c r="Q25" i="1"/>
  <c r="H25" i="1"/>
  <c r="G25" i="1"/>
  <c r="F25" i="1"/>
  <c r="H38" i="1"/>
  <c r="I25" i="1" l="1"/>
  <c r="R3" i="1" l="1"/>
  <c r="R4" i="1"/>
  <c r="R5" i="1"/>
  <c r="R6" i="1"/>
  <c r="R7" i="1"/>
  <c r="R9" i="1"/>
  <c r="R8" i="1"/>
  <c r="R10" i="1"/>
  <c r="R12" i="1"/>
  <c r="R11" i="1"/>
  <c r="R13" i="1"/>
  <c r="R14" i="1"/>
  <c r="R15" i="1"/>
  <c r="R17" i="1"/>
  <c r="R18" i="1"/>
  <c r="R16" i="1"/>
  <c r="R19" i="1"/>
  <c r="R23" i="1"/>
  <c r="R20" i="1"/>
  <c r="R21" i="1"/>
  <c r="R24" i="1"/>
  <c r="R22" i="1"/>
  <c r="R26" i="1"/>
  <c r="R27" i="1"/>
  <c r="R29" i="1"/>
  <c r="R28" i="1"/>
  <c r="R36" i="1"/>
  <c r="R37" i="1"/>
  <c r="R33" i="1"/>
  <c r="R34" i="1"/>
  <c r="R32" i="1"/>
  <c r="R35" i="1"/>
  <c r="R38" i="1"/>
  <c r="R39" i="1"/>
  <c r="R40" i="1"/>
  <c r="R42" i="1"/>
  <c r="R41" i="1"/>
  <c r="R43" i="1"/>
  <c r="R46" i="1"/>
  <c r="R45" i="1"/>
  <c r="R44" i="1"/>
  <c r="R48" i="1"/>
  <c r="R47" i="1"/>
  <c r="R50" i="1"/>
  <c r="R49" i="1"/>
  <c r="R51" i="1"/>
  <c r="R52" i="1"/>
  <c r="R54" i="1"/>
  <c r="R53" i="1"/>
  <c r="R55" i="1"/>
  <c r="R56" i="1"/>
  <c r="R59" i="1"/>
  <c r="R58" i="1"/>
  <c r="R57" i="1"/>
  <c r="Q3" i="1"/>
  <c r="Q4" i="1"/>
  <c r="Q5" i="1"/>
  <c r="Q6" i="1"/>
  <c r="Q7" i="1"/>
  <c r="Q9" i="1"/>
  <c r="Q8" i="1"/>
  <c r="Q10" i="1"/>
  <c r="Q12" i="1"/>
  <c r="Q11" i="1"/>
  <c r="Q13" i="1"/>
  <c r="Q14" i="1"/>
  <c r="Q15" i="1"/>
  <c r="Q17" i="1"/>
  <c r="Q18" i="1"/>
  <c r="Q16" i="1"/>
  <c r="Q19" i="1"/>
  <c r="Q23" i="1"/>
  <c r="Q20" i="1"/>
  <c r="Q21" i="1"/>
  <c r="Q24" i="1"/>
  <c r="Q22" i="1"/>
  <c r="Q26" i="1"/>
  <c r="Q27" i="1"/>
  <c r="Q29" i="1"/>
  <c r="Q28" i="1"/>
  <c r="Q36" i="1"/>
  <c r="Q37" i="1"/>
  <c r="Q33" i="1"/>
  <c r="Q34" i="1"/>
  <c r="Q32" i="1"/>
  <c r="Q35" i="1"/>
  <c r="Q38" i="1"/>
  <c r="Q39" i="1"/>
  <c r="Q40" i="1"/>
  <c r="Q42" i="1"/>
  <c r="Q41" i="1"/>
  <c r="Q43" i="1"/>
  <c r="Q46" i="1"/>
  <c r="Q45" i="1"/>
  <c r="Q44" i="1"/>
  <c r="Q48" i="1"/>
  <c r="Q47" i="1"/>
  <c r="Q50" i="1"/>
  <c r="Q49" i="1"/>
  <c r="Q51" i="1"/>
  <c r="Q52" i="1"/>
  <c r="Q54" i="1"/>
  <c r="Q53" i="1"/>
  <c r="Q55" i="1"/>
  <c r="Q56" i="1"/>
  <c r="Q59" i="1"/>
  <c r="Q58" i="1"/>
  <c r="Q57" i="1"/>
  <c r="Q31" i="1" l="1"/>
  <c r="R31" i="1"/>
  <c r="G46" i="1"/>
  <c r="I46" i="1"/>
  <c r="F46" i="1"/>
  <c r="H10" i="1"/>
  <c r="G10" i="1"/>
  <c r="G8" i="1"/>
  <c r="H8" i="1"/>
  <c r="H37" i="1" l="1"/>
  <c r="K37" i="1" l="1"/>
  <c r="L37" i="1" s="1"/>
  <c r="J37" i="1"/>
  <c r="G39" i="1"/>
  <c r="F50" i="1"/>
  <c r="F42" i="1"/>
  <c r="H31" i="1" l="1"/>
  <c r="F24" i="1"/>
  <c r="I24" i="1" s="1"/>
  <c r="F43" i="1"/>
  <c r="I43" i="1" s="1"/>
  <c r="F27" i="1"/>
  <c r="F49" i="1"/>
  <c r="F6" i="1"/>
  <c r="F38" i="1"/>
  <c r="F59" i="1"/>
  <c r="F8" i="1"/>
  <c r="I8" i="1" s="1"/>
  <c r="F57" i="1"/>
  <c r="I57" i="1" s="1"/>
  <c r="F23" i="1"/>
  <c r="F15" i="1"/>
  <c r="F33" i="1"/>
  <c r="F22" i="1"/>
  <c r="F20" i="1"/>
  <c r="I20" i="1" s="1"/>
  <c r="F31" i="1"/>
  <c r="F18" i="1"/>
  <c r="I18" i="1" s="1"/>
  <c r="F4" i="1"/>
  <c r="I4" i="1" s="1"/>
  <c r="F11" i="1"/>
  <c r="F28" i="1"/>
  <c r="F56" i="1"/>
  <c r="F48" i="1"/>
  <c r="F36" i="1"/>
  <c r="F12" i="1"/>
  <c r="I12" i="1" s="1"/>
  <c r="F7" i="1"/>
  <c r="F58" i="1"/>
  <c r="F47" i="1"/>
  <c r="F26" i="1"/>
  <c r="F9" i="1"/>
  <c r="F16" i="1"/>
  <c r="F54" i="1"/>
  <c r="F52" i="1"/>
  <c r="I52" i="1" s="1"/>
  <c r="F13" i="1"/>
  <c r="I13" i="1" s="1"/>
  <c r="F32" i="1"/>
  <c r="F17" i="1"/>
  <c r="F37" i="1"/>
  <c r="F29" i="1"/>
  <c r="F35" i="1"/>
  <c r="F14" i="1"/>
  <c r="F40" i="1"/>
  <c r="I40" i="1" s="1"/>
  <c r="F19" i="1"/>
  <c r="I19" i="1" s="1"/>
  <c r="F41" i="1"/>
  <c r="F5" i="1"/>
  <c r="F3" i="1"/>
  <c r="F44" i="1"/>
  <c r="F34" i="1"/>
  <c r="F10" i="1"/>
  <c r="I10" i="1" s="1"/>
  <c r="F51" i="1"/>
  <c r="F21" i="1"/>
  <c r="F39" i="1"/>
  <c r="F45" i="1"/>
  <c r="F55" i="1"/>
  <c r="F53" i="1"/>
  <c r="I27" i="1" l="1"/>
  <c r="I23" i="1"/>
  <c r="I53" i="1"/>
  <c r="I34" i="1"/>
  <c r="I14" i="1"/>
  <c r="I54" i="1"/>
  <c r="I36" i="1"/>
  <c r="I55" i="1"/>
  <c r="I44" i="1"/>
  <c r="I35" i="1"/>
  <c r="I16" i="1"/>
  <c r="I48" i="1"/>
  <c r="I49" i="1"/>
  <c r="I45" i="1"/>
  <c r="I29" i="1"/>
  <c r="I9" i="1"/>
  <c r="I6" i="1"/>
  <c r="I15" i="1"/>
  <c r="I39" i="1"/>
  <c r="I3" i="1"/>
  <c r="I37" i="1"/>
  <c r="I26" i="1"/>
  <c r="I56" i="1"/>
  <c r="I38" i="1"/>
  <c r="I33" i="1"/>
  <c r="I21" i="1"/>
  <c r="I5" i="1"/>
  <c r="I17" i="1"/>
  <c r="I47" i="1"/>
  <c r="I28" i="1"/>
  <c r="I59" i="1"/>
  <c r="I22" i="1"/>
  <c r="I51" i="1"/>
  <c r="I41" i="1"/>
  <c r="I32" i="1"/>
  <c r="I58" i="1"/>
  <c r="I11" i="1"/>
  <c r="I7" i="1" l="1"/>
  <c r="I31" i="1" l="1"/>
  <c r="K31" i="1" l="1"/>
  <c r="L31" i="1" s="1"/>
  <c r="J31" i="1" l="1"/>
</calcChain>
</file>

<file path=xl/sharedStrings.xml><?xml version="1.0" encoding="utf-8"?>
<sst xmlns="http://schemas.openxmlformats.org/spreadsheetml/2006/main" count="288" uniqueCount="210">
  <si>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</si>
  <si>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</si>
  <si>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</si>
  <si>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</si>
  <si>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</si>
  <si>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</si>
  <si>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</si>
  <si>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</si>
  <si>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</si>
  <si>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</si>
  <si>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</si>
  <si>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</si>
  <si>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</si>
  <si>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</si>
  <si>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</si>
  <si>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</si>
  <si>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</si>
  <si>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</si>
  <si>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</si>
  <si>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</si>
  <si>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</si>
  <si>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</si>
  <si>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</si>
  <si>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</si>
  <si>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</si>
  <si>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</si>
  <si>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</si>
  <si>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</si>
  <si>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</si>
  <si>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</si>
  <si>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</si>
  <si>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</si>
  <si>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</si>
  <si>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</si>
  <si>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</si>
  <si>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</si>
  <si>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</si>
  <si>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</si>
  <si>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</si>
  <si>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</si>
  <si>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</si>
  <si>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</si>
  <si>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</si>
  <si>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</si>
  <si>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</si>
  <si>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</si>
  <si>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</si>
  <si>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</si>
  <si>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</si>
  <si>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</si>
  <si>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</si>
  <si>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</si>
  <si>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</si>
  <si>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</si>
  <si>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</si>
  <si>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</si>
  <si>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</si>
  <si>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</si>
  <si>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</si>
  <si>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</si>
  <si>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</si>
  <si>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</si>
  <si>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</si>
  <si>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</si>
  <si>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</si>
  <si>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</si>
  <si>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</si>
  <si>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</si>
  <si>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</si>
  <si>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</si>
  <si>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</si>
  <si>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</si>
  <si>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</si>
  <si>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</si>
  <si>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</si>
  <si>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</si>
  <si>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</si>
  <si>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</si>
  <si>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</si>
  <si>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</si>
  <si>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</si>
  <si>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</si>
  <si>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</si>
  <si>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</si>
  <si>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</si>
  <si>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</si>
  <si>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</si>
  <si>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</si>
  <si>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</si>
  <si>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</si>
  <si>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</si>
  <si>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</si>
  <si>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</si>
  <si>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</si>
  <si>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</si>
  <si>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</si>
  <si>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</si>
  <si>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</si>
  <si>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</si>
  <si>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</si>
  <si>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</si>
  <si>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</si>
  <si>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</si>
  <si>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</si>
  <si>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</si>
  <si>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</si>
  <si>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</si>
  <si>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</si>
  <si>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</si>
  <si>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</si>
  <si>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</si>
  <si>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</si>
  <si>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</si>
  <si>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</si>
  <si>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</si>
  <si>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</si>
  <si>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</si>
  <si>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</si>
  <si>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</si>
  <si>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</si>
  <si>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</si>
  <si>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</si>
  <si>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</si>
  <si>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</si>
  <si>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</si>
  <si>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</si>
  <si>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</si>
  <si>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</si>
  <si>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</si>
  <si>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Healthcare Supplies</t>
  </si>
  <si>
    <t>Drug Packaging</t>
  </si>
  <si>
    <t>Joint Reconstruction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</si>
  <si>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</si>
  <si>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</si>
  <si>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</si>
  <si>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</si>
  <si>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</si>
  <si>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</si>
  <si>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</si>
  <si>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</si>
  <si>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</si>
  <si>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</si>
  <si>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</si>
  <si>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</si>
  <si>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</si>
  <si>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</si>
  <si>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</si>
  <si>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</si>
  <si>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</si>
  <si>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</si>
  <si>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</si>
  <si>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</si>
  <si>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</si>
  <si>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</si>
  <si>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</si>
  <si>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</si>
  <si>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</si>
  <si>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</si>
  <si>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</si>
  <si>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</si>
  <si>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</si>
  <si>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</si>
  <si>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</si>
  <si>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</si>
  <si>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</si>
  <si>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</si>
  <si>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</si>
  <si>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</si>
  <si>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</si>
  <si>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</si>
  <si>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</si>
  <si>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</si>
  <si>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</si>
  <si>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</si>
  <si>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</si>
  <si>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</si>
  <si>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</si>
  <si>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</si>
  <si>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</si>
  <si>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</si>
  <si>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</si>
  <si>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</si>
  <si>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</si>
  <si>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</si>
  <si>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</si>
  <si>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</si>
  <si>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</si>
  <si>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</si>
  <si>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</si>
  <si>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</si>
  <si>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</si>
  <si>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</si>
  <si>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</si>
  <si>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</si>
  <si>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</si>
  <si>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</si>
  <si>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</si>
  <si>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</si>
  <si>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</si>
  <si>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</si>
  <si>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</si>
  <si>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</si>
  <si>
    <t>Baxter International</t>
  </si>
  <si>
    <t>BAX</t>
  </si>
  <si>
    <t>Solventum</t>
  </si>
  <si>
    <t>SOLV</t>
  </si>
  <si>
    <t>Spun off by 3M on April 1, 2024 (3M retains ~20% equity in Solventum)</t>
  </si>
  <si>
    <t>GICS Sector</t>
  </si>
  <si>
    <t>GICS Sub-Industry</t>
  </si>
  <si>
    <t>Diagnostics/Laboratory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</si>
</sst>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44" fontId="2" fillId="2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44" fontId="2" fillId="0" borderId="0" xfId="4" applyFont="1"/>
    <xf numFmtId="2" fontId="2" fillId="0" borderId="0" xfId="0" applyNumberFormat="1" applyFont="1"/>
    <xf numFmtId="44" fontId="2" fillId="0" borderId="0" xfId="0" applyNumberFormat="1" applyFont="1" applyAlignment="1">
      <alignment wrapText="1"/>
    </xf>
    <xf numFmtId="0" fontId="1" fillId="3" borderId="0" xfId="0" applyFont="1" applyFill="1"/>
    <xf numFmtId="44" fontId="1" fillId="3" borderId="0" xfId="0" applyNumberFormat="1" applyFont="1" applyFill="1"/>
    <xf numFmtId="0" fontId="10" fillId="3" borderId="0" xfId="0" applyFont="1" applyFill="1"/>
    <xf numFmtId="3" fontId="2" fillId="0" borderId="0" xfId="0" applyNumberFormat="1" applyFont="1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rgb="FF002060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100853</xdr:colOff>
      <xdr:row>38</xdr:row>
      <xdr:rowOff>95199</xdr:rowOff>
    </xdr:from>
    <xdr:to>
      <xdr:col>22</xdr:col>
      <xdr:colOff>145676</xdr:colOff>
      <xdr:row>38</xdr:row>
      <xdr:rowOff>112059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 flipV="1">
          <a:off x="313765" y="6684258"/>
          <a:ext cx="19296529" cy="168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49</xdr:row>
      <xdr:rowOff>100853</xdr:rowOff>
    </xdr:from>
    <xdr:to>
      <xdr:col>22</xdr:col>
      <xdr:colOff>145676</xdr:colOff>
      <xdr:row>49</xdr:row>
      <xdr:rowOff>106125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91353" y="8370794"/>
          <a:ext cx="19318941" cy="52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41</xdr:row>
      <xdr:rowOff>100853</xdr:rowOff>
    </xdr:from>
    <xdr:to>
      <xdr:col>22</xdr:col>
      <xdr:colOff>128868</xdr:colOff>
      <xdr:row>41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80147" y="7026088"/>
          <a:ext cx="19313339" cy="2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Portfolio | Product Lines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>
        <row r="59">
          <cell r="BU59">
            <v>12137.662860729284</v>
          </cell>
        </row>
        <row r="61">
          <cell r="BU61">
            <v>314.44722437122499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 refreshError="1"/>
      <sheetData sheetId="1">
        <row r="53">
          <cell r="BZ53">
            <v>7562.2393729299547</v>
          </cell>
        </row>
        <row r="55">
          <cell r="BZ55">
            <v>55.058167986384817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78">
          <cell r="CZ78">
            <v>151758.61006086494</v>
          </cell>
        </row>
        <row r="80">
          <cell r="CZ80">
            <v>397.10336416005941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24" dataDxfId="23" tableBorderDxfId="22">
  <autoFilter ref="B2:W72" xr:uid="{BD229868-3893-402D-903A-49AEC2B1DF58}"/>
  <sortState xmlns:xlrd2="http://schemas.microsoft.com/office/spreadsheetml/2017/richdata2" ref="B3:W72">
    <sortCondition descending="1" ref="F2:F72"/>
  </sortState>
  <tableColumns count="22">
    <tableColumn id="23" xr3:uid="{E121D137-E273-4C3E-A084-0DEB9CFE7664}" name="Ticker" dataDxfId="21"/>
    <tableColumn id="1" xr3:uid="{4ADE19BB-14C4-42AC-B83A-E2835EC9AF59}" name="Name" dataDxfId="20"/>
    <tableColumn id="4" xr3:uid="{ED225D35-38EE-42A6-B4F6-EF96455DAEB6}" name="Price" dataDxfId="19"/>
    <tableColumn id="12" xr3:uid="{70716DE6-EACF-4F00-9618-CB8D3E83703D}" name="Share Count " dataDxfId="18"/>
    <tableColumn id="5" xr3:uid="{9EFD7146-D09D-4A25-8A95-41219DD01300}" name="MC ($M)" dataDxfId="17">
      <calculatedColumnFormula>Table4[[#This Row],[Price]]*Table4[[#This Row],[Share Count ]]</calculatedColumnFormula>
    </tableColumn>
    <tableColumn id="6" xr3:uid="{4AE80DC9-D77A-4BB9-9257-B12D5FD56AD8}" name="Cash ($M)" dataDxfId="16">
      <calculatedColumnFormula>'[1]Main | Overview'!$C$8</calculatedColumnFormula>
    </tableColumn>
    <tableColumn id="7" xr3:uid="{6E413DC7-C096-40D4-880F-FE61A084FF48}" name="Debt ($M)" dataDxfId="15">
      <calculatedColumnFormula>'[1]Main | Overview'!$C$9</calculatedColumnFormula>
    </tableColumn>
    <tableColumn id="8" xr3:uid="{2C2A1268-8397-4EDA-9878-D9F98F133978}" name="EV ($M)" dataDxfId="14">
      <calculatedColumnFormula>Table4[[#This Row],[MC ($M)]]-Table4[[#This Row],[Cash ($M)]]+Table4[[#This Row],[Debt ($M)]]</calculatedColumnFormula>
    </tableColumn>
    <tableColumn id="14" xr3:uid="{E93BEDB1-F272-47C9-9E50-19D60ABCF6E3}" name="NPV" dataDxfId="13">
      <calculatedColumnFormula>[1]Model!$BU$59</calculatedColumnFormula>
    </tableColumn>
    <tableColumn id="13" xr3:uid="{4B18EB84-1D1D-418D-B73C-711F922F8784}" name="FV" dataDxfId="12">
      <calculatedColumnFormula>[1]Model!$BU$61</calculatedColumnFormula>
    </tableColumn>
    <tableColumn id="11" xr3:uid="{9D67D94D-652A-4AFC-B773-D060115B3352}" name="Upside" dataDxfId="11">
      <calculatedColumnFormula>Table4[[#This Row],[FV]]/Table4[[#This Row],[Price]]-1</calculatedColumnFormula>
    </tableColumn>
    <tableColumn id="22" xr3:uid="{F4BFF5D9-C51C-4082-890D-D8F99490DC48}" name="β (1-year avg.)" dataDxfId="10"/>
    <tableColumn id="15" xr3:uid="{178F2948-D587-4C47-A023-2863147393BA}" name="1σ ± move " dataDxfId="9"/>
    <tableColumn id="18" xr3:uid="{2F630596-10BE-4A80-96EF-2952518D329E}" name="FY Earnings Estimates" dataDxfId="8"/>
    <tableColumn id="20" xr3:uid="{17689932-3FD9-4050-AFEC-CC24D9A23B91}" name="FY Earnings Estimates (2-years)" dataDxfId="7"/>
    <tableColumn id="19" xr3:uid="{AB973925-A952-4E9C-B161-E64F1513E8ED}" name="Fwd. P/E" dataDxfId="6">
      <calculatedColumnFormula>Table4[[#This Row],[Price]]/Table4[[#This Row],[FY Earnings Estimates]]</calculatedColumnFormula>
    </tableColumn>
    <tableColumn id="17" xr3:uid="{831F5B75-DC7A-432A-B407-C2C048ABBCEF}" name="Fwd. P/E (2-years)" dataDxfId="5">
      <calculatedColumnFormula>Table4[[#This Row],[Price]]/Table4[[#This Row],[FY Earnings Estimates (2-years)]]</calculatedColumnFormula>
    </tableColumn>
    <tableColumn id="21" xr3:uid="{D887EC50-85A5-45A9-9F01-59353ED69EB2}" name="# of Employees" dataDxfId="4"/>
    <tableColumn id="9" xr3:uid="{E85E09CB-6FE0-423B-89F7-C9D5B949589A}" name="Updated " dataDxfId="3"/>
    <tableColumn id="2" xr3:uid="{BB2AE59D-C90C-4401-8D15-02753853694C}" name="GICS Sector" dataDxfId="2"/>
    <tableColumn id="10" xr3:uid="{A650D578-4FE4-4503-BF1B-C0AA4BD9444E}" name="GICS Sub-Industry" dataDxfId="1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hyperlink" Target="ZBH_Model.xlsx" TargetMode="External"/><Relationship Id="rId18" Type="http://schemas.openxmlformats.org/officeDocument/2006/relationships/hyperlink" Target="COO_Model.xlsx" TargetMode="External"/><Relationship Id="rId3" Type="http://schemas.openxmlformats.org/officeDocument/2006/relationships/hyperlink" Target="JNJ_Model.xlsx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SYK_Model.xlsx" TargetMode="External"/><Relationship Id="rId12" Type="http://schemas.openxmlformats.org/officeDocument/2006/relationships/hyperlink" Target="CNMD_Model.xlsx" TargetMode="External"/><Relationship Id="rId17" Type="http://schemas.openxmlformats.org/officeDocument/2006/relationships/hyperlink" Target="PODD_Model.xlsx" TargetMode="External"/><Relationship Id="rId2" Type="http://schemas.openxmlformats.org/officeDocument/2006/relationships/hyperlink" Target="GMED_Model.xlsx" TargetMode="External"/><Relationship Id="rId16" Type="http://schemas.openxmlformats.org/officeDocument/2006/relationships/hyperlink" Target="BDX_Model.xlsx" TargetMode="External"/><Relationship Id="rId20" Type="http://schemas.openxmlformats.org/officeDocument/2006/relationships/hyperlink" Target="TMO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5" Type="http://schemas.openxmlformats.org/officeDocument/2006/relationships/hyperlink" Target="BAX_Model.xlsx" TargetMode="External"/><Relationship Id="rId10" Type="http://schemas.openxmlformats.org/officeDocument/2006/relationships/hyperlink" Target="EW_Model.xlsx" TargetMode="External"/><Relationship Id="rId19" Type="http://schemas.openxmlformats.org/officeDocument/2006/relationships/hyperlink" Target="IDXX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Relationship Id="rId14" Type="http://schemas.openxmlformats.org/officeDocument/2006/relationships/hyperlink" Target="STE_Model.xlsx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"/>
  <sheetViews>
    <sheetView tabSelected="1" zoomScale="85" zoomScaleNormal="85" workbookViewId="0">
      <selection activeCell="J7" sqref="J7"/>
    </sheetView>
  </sheetViews>
  <sheetFormatPr defaultColWidth="9" defaultRowHeight="15"/>
  <cols>
    <col min="1" max="1" width="3.140625" style="1" customWidth="1"/>
    <col min="2" max="2" width="7.5703125" style="1" customWidth="1"/>
    <col min="3" max="3" width="24" style="1" customWidth="1"/>
    <col min="4" max="4" width="9.42578125" style="1" customWidth="1"/>
    <col min="5" max="5" width="9.42578125" style="2" customWidth="1"/>
    <col min="6" max="8" width="12.7109375" style="2" customWidth="1"/>
    <col min="9" max="10" width="12.7109375" style="1" customWidth="1"/>
    <col min="11" max="12" width="10.42578125" style="1" customWidth="1"/>
    <col min="13" max="13" width="5.7109375" style="1" customWidth="1"/>
    <col min="14" max="14" width="9.140625" customWidth="1"/>
    <col min="15" max="19" width="9.140625" style="1" customWidth="1"/>
    <col min="20" max="20" width="9" style="1" customWidth="1"/>
    <col min="21" max="21" width="28.28515625" style="1" customWidth="1"/>
    <col min="22" max="22" width="28.42578125" style="1" bestFit="1" customWidth="1"/>
    <col min="23" max="23" width="3.140625" style="1" customWidth="1"/>
    <col min="24" max="24" width="9.5703125" style="1" customWidth="1"/>
    <col min="25" max="16384" width="9" style="1"/>
  </cols>
  <sheetData>
    <row r="1" spans="1:23" ht="14.25">
      <c r="A1" s="11" t="s">
        <v>190</v>
      </c>
      <c r="B1" s="2"/>
      <c r="N1" s="1"/>
    </row>
    <row r="2" spans="1:23">
      <c r="B2" s="15" t="s">
        <v>1</v>
      </c>
      <c r="C2" s="15" t="s">
        <v>0</v>
      </c>
      <c r="D2" s="16" t="s">
        <v>2</v>
      </c>
      <c r="E2" s="15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5" t="s">
        <v>168</v>
      </c>
      <c r="K2" s="15" t="s">
        <v>169</v>
      </c>
      <c r="L2" s="15" t="s">
        <v>170</v>
      </c>
      <c r="M2" s="17" t="s">
        <v>198</v>
      </c>
      <c r="N2" s="15" t="s">
        <v>199</v>
      </c>
      <c r="O2" s="15" t="s">
        <v>189</v>
      </c>
      <c r="P2" s="15" t="s">
        <v>200</v>
      </c>
      <c r="Q2" s="15" t="s">
        <v>196</v>
      </c>
      <c r="R2" s="15" t="s">
        <v>197</v>
      </c>
      <c r="S2" s="15" t="s">
        <v>201</v>
      </c>
      <c r="T2" s="15" t="s">
        <v>8</v>
      </c>
      <c r="U2" s="15" t="s">
        <v>207</v>
      </c>
      <c r="V2" s="15" t="s">
        <v>208</v>
      </c>
      <c r="W2" s="15" t="s">
        <v>172</v>
      </c>
    </row>
    <row r="3" spans="1:23" ht="13.9" customHeight="1">
      <c r="B3" s="6" t="s">
        <v>58</v>
      </c>
      <c r="C3" s="1" t="s">
        <v>72</v>
      </c>
      <c r="D3" s="1">
        <v>154.59</v>
      </c>
      <c r="E3" s="3">
        <v>2406</v>
      </c>
      <c r="F3" s="4">
        <f>Table4[[#This Row],[Price]]*Table4[[#This Row],[Share Count ]]</f>
        <v>371943.54000000004</v>
      </c>
      <c r="G3" s="2">
        <v>38781</v>
      </c>
      <c r="H3" s="4">
        <v>47900</v>
      </c>
      <c r="I3" s="4">
        <f>Table4[[#This Row],[MC ($M)]]-Table4[[#This Row],[Cash ($M)]]+Table4[[#This Row],[Debt ($M)]]</f>
        <v>381062.54000000004</v>
      </c>
      <c r="J3" s="2"/>
      <c r="K3" s="2"/>
      <c r="L3" s="7"/>
      <c r="M3" s="1">
        <v>0.48</v>
      </c>
      <c r="N3" s="7"/>
      <c r="O3" s="12">
        <v>10.61</v>
      </c>
      <c r="P3" s="12">
        <v>11.1</v>
      </c>
      <c r="Q3" s="13">
        <f>Table4[[#This Row],[Price]]/Table4[[#This Row],[FY Earnings Estimates]]</f>
        <v>14.570216776625825</v>
      </c>
      <c r="R3" s="13">
        <f>Table4[[#This Row],[Price]]/Table4[[#This Row],[FY Earnings Estimates (2-years)]]</f>
        <v>13.927027027027028</v>
      </c>
      <c r="S3" s="18">
        <v>138100</v>
      </c>
      <c r="T3" s="10" t="s">
        <v>194</v>
      </c>
      <c r="U3" s="1" t="s">
        <v>83</v>
      </c>
      <c r="V3" s="1" t="s">
        <v>111</v>
      </c>
      <c r="W3" s="5" t="s">
        <v>195</v>
      </c>
    </row>
    <row r="4" spans="1:23" ht="13.9" customHeight="1">
      <c r="B4" s="6" t="s">
        <v>9</v>
      </c>
      <c r="C4" s="1" t="s">
        <v>69</v>
      </c>
      <c r="D4" s="1">
        <v>133.18</v>
      </c>
      <c r="E4" s="3">
        <v>1734</v>
      </c>
      <c r="F4" s="4">
        <f>Table4[[#This Row],[Price]]*Table4[[#This Row],[Share Count ]]</f>
        <v>230934.12000000002</v>
      </c>
      <c r="G4" s="4">
        <v>7967</v>
      </c>
      <c r="H4" s="4">
        <v>14125</v>
      </c>
      <c r="I4" s="4">
        <f>Table4[[#This Row],[MC ($M)]]-Table4[[#This Row],[Cash ($M)]]+Table4[[#This Row],[Debt ($M)]]</f>
        <v>237092.12000000002</v>
      </c>
      <c r="J4" s="2"/>
      <c r="K4" s="2"/>
      <c r="L4" s="7"/>
      <c r="M4" s="13">
        <v>0.8</v>
      </c>
      <c r="N4" s="7"/>
      <c r="O4" s="12">
        <v>5.16</v>
      </c>
      <c r="P4" s="12">
        <v>5.68</v>
      </c>
      <c r="Q4" s="13">
        <f>Table4[[#This Row],[Price]]/Table4[[#This Row],[FY Earnings Estimates]]</f>
        <v>25.810077519379846</v>
      </c>
      <c r="R4" s="13">
        <f>Table4[[#This Row],[Price]]/Table4[[#This Row],[FY Earnings Estimates (2-years)]]</f>
        <v>23.447183098591552</v>
      </c>
      <c r="S4" s="18">
        <v>114000</v>
      </c>
      <c r="T4" s="1" t="s">
        <v>171</v>
      </c>
      <c r="U4" s="1" t="s">
        <v>83</v>
      </c>
      <c r="V4" s="1" t="s">
        <v>84</v>
      </c>
      <c r="W4" s="5" t="s">
        <v>195</v>
      </c>
    </row>
    <row r="5" spans="1:23" ht="13.9" customHeight="1">
      <c r="B5" s="1" t="s">
        <v>10</v>
      </c>
      <c r="C5" s="1" t="s">
        <v>150</v>
      </c>
      <c r="D5" s="1">
        <v>536.42999999999995</v>
      </c>
      <c r="E5" s="3">
        <v>356.6</v>
      </c>
      <c r="F5" s="4">
        <f>Table4[[#This Row],[Price]]*Table4[[#This Row],[Share Count ]]</f>
        <v>191290.93799999999</v>
      </c>
      <c r="G5" s="4"/>
      <c r="H5" s="4"/>
      <c r="I5" s="4">
        <f>Table4[[#This Row],[MC ($M)]]-Table4[[#This Row],[Cash ($M)]]+Table4[[#This Row],[Debt ($M)]]</f>
        <v>191290.93799999999</v>
      </c>
      <c r="J5" s="2"/>
      <c r="K5" s="2"/>
      <c r="L5" s="7"/>
      <c r="N5" s="7"/>
      <c r="O5" s="12"/>
      <c r="P5" s="12"/>
      <c r="Q5" s="13" t="e">
        <f>Table4[[#This Row],[Price]]/Table4[[#This Row],[FY Earnings Estimates]]</f>
        <v>#DIV/0!</v>
      </c>
      <c r="R5" s="13" t="e">
        <f>Table4[[#This Row],[Price]]/Table4[[#This Row],[FY Earnings Estimates (2-years)]]</f>
        <v>#DIV/0!</v>
      </c>
      <c r="T5" s="10"/>
      <c r="U5" s="1" t="s">
        <v>85</v>
      </c>
      <c r="V5" s="1" t="s">
        <v>110</v>
      </c>
      <c r="W5" s="2"/>
    </row>
    <row r="6" spans="1:23" ht="13.9" customHeight="1">
      <c r="B6" s="6" t="s">
        <v>66</v>
      </c>
      <c r="C6" s="1" t="s">
        <v>176</v>
      </c>
      <c r="D6" s="1">
        <v>404.51</v>
      </c>
      <c r="E6" s="3">
        <v>380.8</v>
      </c>
      <c r="F6" s="4">
        <f>Table4[[#This Row],[Price]]*Table4[[#This Row],[Share Count ]]</f>
        <v>154037.408</v>
      </c>
      <c r="G6" s="4">
        <v>5947</v>
      </c>
      <c r="H6" s="4">
        <v>34189</v>
      </c>
      <c r="I6" s="4">
        <f>Table4[[#This Row],[MC ($M)]]-Table4[[#This Row],[Cash ($M)]]+Table4[[#This Row],[Debt ($M)]]</f>
        <v>182279.408</v>
      </c>
      <c r="J6" s="2"/>
      <c r="K6" s="2"/>
      <c r="L6" s="7"/>
      <c r="M6" s="1">
        <v>0.83</v>
      </c>
      <c r="N6" s="7"/>
      <c r="O6" s="12">
        <v>22.31</v>
      </c>
      <c r="P6" s="12">
        <v>24.69</v>
      </c>
      <c r="Q6" s="13">
        <f>Table4[[#This Row],[Price]]/Table4[[#This Row],[FY Earnings Estimates]]</f>
        <v>18.131331241595699</v>
      </c>
      <c r="R6" s="13">
        <f>Table4[[#This Row],[Price]]/Table4[[#This Row],[FY Earnings Estimates (2-years)]]</f>
        <v>16.383556095585256</v>
      </c>
      <c r="S6" s="18">
        <v>125000</v>
      </c>
      <c r="T6" s="10" t="s">
        <v>194</v>
      </c>
      <c r="U6" s="1" t="s">
        <v>81</v>
      </c>
      <c r="V6" s="9" t="s">
        <v>209</v>
      </c>
      <c r="W6" s="2"/>
    </row>
    <row r="7" spans="1:23" ht="13.9" customHeight="1">
      <c r="B7" s="6" t="s">
        <v>16</v>
      </c>
      <c r="C7" s="1" t="s">
        <v>135</v>
      </c>
      <c r="D7" s="1">
        <v>102.63</v>
      </c>
      <c r="E7" s="3">
        <v>1476</v>
      </c>
      <c r="F7" s="4">
        <f>Table4[[#This Row],[Price]]*Table4[[#This Row],[Share Count ]]</f>
        <v>151481.88</v>
      </c>
      <c r="G7" s="4">
        <v>2502</v>
      </c>
      <c r="H7" s="4">
        <v>10885</v>
      </c>
      <c r="I7" s="4">
        <f>Table4[[#This Row],[MC ($M)]]-Table4[[#This Row],[Cash ($M)]]+Table4[[#This Row],[Debt ($M)]]</f>
        <v>159864.88</v>
      </c>
      <c r="J7" s="2"/>
      <c r="K7" s="2"/>
      <c r="L7" s="7"/>
      <c r="M7" s="13">
        <v>0.73</v>
      </c>
      <c r="N7" s="7">
        <v>1.38E-2</v>
      </c>
      <c r="O7" s="12">
        <v>3.44</v>
      </c>
      <c r="P7" s="12">
        <v>3.92</v>
      </c>
      <c r="Q7" s="13">
        <f>Table4[[#This Row],[Price]]/Table4[[#This Row],[FY Earnings Estimates]]</f>
        <v>29.834302325581394</v>
      </c>
      <c r="R7" s="13">
        <f>Table4[[#This Row],[Price]]/Table4[[#This Row],[FY Earnings Estimates (2-years)]]</f>
        <v>26.18112244897959</v>
      </c>
      <c r="S7" s="18">
        <v>53000</v>
      </c>
      <c r="T7" s="10" t="s">
        <v>194</v>
      </c>
      <c r="U7" s="1" t="s">
        <v>85</v>
      </c>
      <c r="V7" s="1" t="s">
        <v>91</v>
      </c>
      <c r="W7" s="5" t="s">
        <v>195</v>
      </c>
    </row>
    <row r="8" spans="1:23" ht="13.9" customHeight="1">
      <c r="B8" s="6" t="s">
        <v>11</v>
      </c>
      <c r="C8" s="1" t="s">
        <v>161</v>
      </c>
      <c r="D8" s="1">
        <v>380.92</v>
      </c>
      <c r="E8" s="3">
        <v>381.4</v>
      </c>
      <c r="F8" s="4">
        <f>Table4[[#This Row],[Price]]*Table4[[#This Row],[Share Count ]]</f>
        <v>145282.88800000001</v>
      </c>
      <c r="G8" s="4">
        <f>3850+834</f>
        <v>4684</v>
      </c>
      <c r="H8" s="4">
        <f>2159+13325</f>
        <v>15484</v>
      </c>
      <c r="I8" s="4">
        <f>Table4[[#This Row],[MC ($M)]]-Table4[[#This Row],[Cash ($M)]]+Table4[[#This Row],[Debt ($M)]]</f>
        <v>156082.88800000001</v>
      </c>
      <c r="J8" s="4">
        <f>[3]Model!$CZ$78</f>
        <v>151758.61006086494</v>
      </c>
      <c r="K8" s="2">
        <f>[3]Model!$CZ$80</f>
        <v>397.10336416005941</v>
      </c>
      <c r="L8" s="7">
        <f>Table4[[#This Row],[FV]]/Table4[[#This Row],[Price]]-1</f>
        <v>4.2484942140237791E-2</v>
      </c>
      <c r="M8" s="1">
        <v>0.94</v>
      </c>
      <c r="N8" s="7">
        <v>1.3299999999999999E-2</v>
      </c>
      <c r="O8" s="12">
        <v>13.44</v>
      </c>
      <c r="P8" s="12">
        <v>14.87</v>
      </c>
      <c r="Q8" s="13">
        <f>Table4[[#This Row],[Price]]/Table4[[#This Row],[FY Earnings Estimates]]</f>
        <v>28.342261904761909</v>
      </c>
      <c r="R8" s="13">
        <f>Table4[[#This Row],[Price]]/Table4[[#This Row],[FY Earnings Estimates (2-years)]]</f>
        <v>25.61667787491594</v>
      </c>
      <c r="S8" s="18">
        <v>53000</v>
      </c>
      <c r="T8" s="10" t="s">
        <v>194</v>
      </c>
      <c r="U8" s="1" t="s">
        <v>85</v>
      </c>
      <c r="V8" s="1" t="s">
        <v>126</v>
      </c>
      <c r="W8" s="5" t="s">
        <v>195</v>
      </c>
    </row>
    <row r="9" spans="1:23" ht="13.9" customHeight="1">
      <c r="B9" s="1" t="s">
        <v>49</v>
      </c>
      <c r="C9" s="1" t="s">
        <v>138</v>
      </c>
      <c r="D9" s="1">
        <v>191.5</v>
      </c>
      <c r="E9" s="3">
        <v>719.2</v>
      </c>
      <c r="F9" s="4">
        <f>Table4[[#This Row],[Price]]*Table4[[#This Row],[Share Count ]]</f>
        <v>137726.80000000002</v>
      </c>
      <c r="G9" s="4"/>
      <c r="H9" s="4"/>
      <c r="I9" s="4">
        <f>Table4[[#This Row],[MC ($M)]]-Table4[[#This Row],[Cash ($M)]]+Table4[[#This Row],[Debt ($M)]]</f>
        <v>137726.80000000002</v>
      </c>
      <c r="J9" s="2"/>
      <c r="K9" s="2"/>
      <c r="L9" s="7"/>
      <c r="N9" s="7"/>
      <c r="O9" s="12"/>
      <c r="P9" s="12"/>
      <c r="Q9" s="13" t="e">
        <f>Table4[[#This Row],[Price]]/Table4[[#This Row],[FY Earnings Estimates]]</f>
        <v>#DIV/0!</v>
      </c>
      <c r="R9" s="13" t="e">
        <f>Table4[[#This Row],[Price]]/Table4[[#This Row],[FY Earnings Estimates (2-years)]]</f>
        <v>#DIV/0!</v>
      </c>
      <c r="T9" s="10"/>
      <c r="U9" s="1" t="s">
        <v>81</v>
      </c>
      <c r="V9" s="1" t="s">
        <v>95</v>
      </c>
      <c r="W9" s="2"/>
    </row>
    <row r="10" spans="1:23" ht="13.9" customHeight="1">
      <c r="B10" s="6" t="s">
        <v>13</v>
      </c>
      <c r="C10" s="1" t="s">
        <v>12</v>
      </c>
      <c r="D10" s="1">
        <v>84</v>
      </c>
      <c r="E10" s="3">
        <v>1315</v>
      </c>
      <c r="F10" s="4">
        <f>Table4[[#This Row],[Price]]*Table4[[#This Row],[Share Count ]]</f>
        <v>110460</v>
      </c>
      <c r="G10" s="4">
        <f>1240+6682</f>
        <v>7922</v>
      </c>
      <c r="H10" s="4">
        <f>2622+23935</f>
        <v>26557</v>
      </c>
      <c r="I10" s="4">
        <f>Table4[[#This Row],[MC ($M)]]-Table4[[#This Row],[Cash ($M)]]+Table4[[#This Row],[Debt ($M)]]</f>
        <v>129095</v>
      </c>
      <c r="J10" s="2"/>
      <c r="K10" s="2"/>
      <c r="L10" s="7"/>
      <c r="M10" s="1">
        <v>0.83</v>
      </c>
      <c r="N10" s="7"/>
      <c r="O10" s="12">
        <v>5.46</v>
      </c>
      <c r="P10" s="12">
        <v>5.82</v>
      </c>
      <c r="Q10" s="13">
        <f>Table4[[#This Row],[Price]]/Table4[[#This Row],[FY Earnings Estimates]]</f>
        <v>15.384615384615385</v>
      </c>
      <c r="R10" s="13">
        <f>Table4[[#This Row],[Price]]/Table4[[#This Row],[FY Earnings Estimates (2-years)]]</f>
        <v>14.432989690721648</v>
      </c>
      <c r="S10" s="18">
        <v>95000</v>
      </c>
      <c r="T10" s="10" t="s">
        <v>171</v>
      </c>
      <c r="U10" s="1" t="s">
        <v>85</v>
      </c>
      <c r="V10" s="1" t="s">
        <v>73</v>
      </c>
      <c r="W10" s="5" t="s">
        <v>195</v>
      </c>
    </row>
    <row r="11" spans="1:23" ht="13.9" customHeight="1">
      <c r="B11" s="1" t="s">
        <v>50</v>
      </c>
      <c r="C11" s="1" t="s">
        <v>78</v>
      </c>
      <c r="D11" s="1">
        <v>100</v>
      </c>
      <c r="E11" s="3">
        <v>494.6</v>
      </c>
      <c r="F11" s="4">
        <f>Table4[[#This Row],[Price]]*Table4[[#This Row],[Share Count ]]</f>
        <v>49460</v>
      </c>
      <c r="G11" s="4"/>
      <c r="H11" s="4"/>
      <c r="I11" s="4">
        <f>Table4[[#This Row],[MC ($M)]]-Table4[[#This Row],[Cash ($M)]]+Table4[[#This Row],[Debt ($M)]]</f>
        <v>49460</v>
      </c>
      <c r="J11" s="2"/>
      <c r="K11" s="2"/>
      <c r="L11" s="7"/>
      <c r="N11" s="7"/>
      <c r="O11" s="12"/>
      <c r="P11" s="12"/>
      <c r="Q11" s="13" t="e">
        <f>Table4[[#This Row],[Price]]/Table4[[#This Row],[FY Earnings Estimates]]</f>
        <v>#DIV/0!</v>
      </c>
      <c r="R11" s="13" t="e">
        <f>Table4[[#This Row],[Price]]/Table4[[#This Row],[FY Earnings Estimates (2-years)]]</f>
        <v>#DIV/0!</v>
      </c>
      <c r="T11" s="10"/>
      <c r="U11" s="1" t="s">
        <v>85</v>
      </c>
      <c r="V11" s="1" t="s">
        <v>86</v>
      </c>
      <c r="W11" s="2"/>
    </row>
    <row r="12" spans="1:23" ht="13.9" customHeight="1">
      <c r="B12" s="6" t="s">
        <v>14</v>
      </c>
      <c r="C12" s="1" t="s">
        <v>134</v>
      </c>
      <c r="D12" s="1">
        <v>167.63</v>
      </c>
      <c r="E12" s="3">
        <v>289.10000000000002</v>
      </c>
      <c r="F12" s="4">
        <f>Table4[[#This Row],[Price]]*Table4[[#This Row],[Share Count ]]</f>
        <v>48461.833000000006</v>
      </c>
      <c r="G12" s="4">
        <v>763</v>
      </c>
      <c r="H12" s="4">
        <v>19270</v>
      </c>
      <c r="I12" s="4">
        <f>Table4[[#This Row],[MC ($M)]]-Table4[[#This Row],[Cash ($M)]]+Table4[[#This Row],[Debt ($M)]]</f>
        <v>66968.833000000013</v>
      </c>
      <c r="J12" s="2"/>
      <c r="K12" s="2"/>
      <c r="L12" s="7"/>
      <c r="M12" s="13">
        <v>0.34</v>
      </c>
      <c r="N12" s="7"/>
      <c r="O12" s="12">
        <v>14.23</v>
      </c>
      <c r="P12" s="12">
        <v>14.93</v>
      </c>
      <c r="Q12" s="13">
        <f>Table4[[#This Row],[Price]]/Table4[[#This Row],[FY Earnings Estimates]]</f>
        <v>11.780042164441321</v>
      </c>
      <c r="R12" s="13">
        <f>Table4[[#This Row],[Price]]/Table4[[#This Row],[FY Earnings Estimates (2-years)]]</f>
        <v>11.227729403884796</v>
      </c>
      <c r="S12" s="18">
        <v>70000</v>
      </c>
      <c r="T12" s="10" t="s">
        <v>194</v>
      </c>
      <c r="U12" s="1" t="s">
        <v>85</v>
      </c>
      <c r="V12" s="1" t="s">
        <v>90</v>
      </c>
      <c r="W12" s="2"/>
    </row>
    <row r="13" spans="1:23" ht="13.9" customHeight="1">
      <c r="B13" s="6" t="s">
        <v>15</v>
      </c>
      <c r="C13" s="1" t="s">
        <v>143</v>
      </c>
      <c r="D13" s="1">
        <v>69.2</v>
      </c>
      <c r="E13" s="3">
        <v>588</v>
      </c>
      <c r="F13" s="4">
        <f>Table4[[#This Row],[Price]]*Table4[[#This Row],[Share Count ]]</f>
        <v>40689.599999999999</v>
      </c>
      <c r="G13" s="4">
        <v>3976</v>
      </c>
      <c r="H13" s="4">
        <v>598</v>
      </c>
      <c r="I13" s="4">
        <f>Table4[[#This Row],[MC ($M)]]-Table4[[#This Row],[Cash ($M)]]+Table4[[#This Row],[Debt ($M)]]</f>
        <v>37311.599999999999</v>
      </c>
      <c r="J13" s="2"/>
      <c r="K13" s="2"/>
      <c r="L13" s="7"/>
      <c r="M13" s="1">
        <v>1.1499999999999999</v>
      </c>
      <c r="N13" s="7"/>
      <c r="O13" s="12">
        <v>2.4700000000000002</v>
      </c>
      <c r="P13" s="12">
        <v>2.75</v>
      </c>
      <c r="Q13" s="13">
        <f>Table4[[#This Row],[Price]]/Table4[[#This Row],[FY Earnings Estimates]]</f>
        <v>28.016194331983804</v>
      </c>
      <c r="R13" s="13">
        <f>Table4[[#This Row],[Price]]/Table4[[#This Row],[FY Earnings Estimates (2-years)]]</f>
        <v>25.163636363636364</v>
      </c>
      <c r="S13" s="18">
        <v>15800</v>
      </c>
      <c r="T13" s="10" t="s">
        <v>171</v>
      </c>
      <c r="U13" s="1" t="s">
        <v>85</v>
      </c>
      <c r="V13" s="1" t="s">
        <v>99</v>
      </c>
      <c r="W13" s="5" t="s">
        <v>195</v>
      </c>
    </row>
    <row r="14" spans="1:23" ht="13.9" customHeight="1">
      <c r="B14" s="6" t="s">
        <v>21</v>
      </c>
      <c r="C14" s="1" t="s">
        <v>146</v>
      </c>
      <c r="D14" s="1">
        <v>492.7</v>
      </c>
      <c r="E14" s="3">
        <v>81.599999999999994</v>
      </c>
      <c r="F14" s="4">
        <f>Table4[[#This Row],[Price]]*Table4[[#This Row],[Share Count ]]</f>
        <v>40204.32</v>
      </c>
      <c r="G14" s="4">
        <v>163.97</v>
      </c>
      <c r="H14" s="4">
        <v>620.73</v>
      </c>
      <c r="I14" s="4">
        <f>Table4[[#This Row],[MC ($M)]]-Table4[[#This Row],[Cash ($M)]]+Table4[[#This Row],[Debt ($M)]]</f>
        <v>40661.08</v>
      </c>
      <c r="J14" s="2"/>
      <c r="K14" s="2"/>
      <c r="L14" s="7"/>
      <c r="M14" s="1">
        <v>1.52</v>
      </c>
      <c r="N14" s="7"/>
      <c r="O14" s="12">
        <v>12.13</v>
      </c>
      <c r="P14" s="12">
        <v>13.62</v>
      </c>
      <c r="Q14" s="13">
        <f>Table4[[#This Row],[Price]]/Table4[[#This Row],[FY Earnings Estimates]]</f>
        <v>40.618301731244841</v>
      </c>
      <c r="R14" s="13">
        <f>Table4[[#This Row],[Price]]/Table4[[#This Row],[FY Earnings Estimates (2-years)]]</f>
        <v>36.174743024963291</v>
      </c>
      <c r="S14" s="18">
        <v>70000</v>
      </c>
      <c r="T14" s="10" t="s">
        <v>194</v>
      </c>
      <c r="U14" s="1" t="s">
        <v>100</v>
      </c>
      <c r="V14" s="1" t="s">
        <v>107</v>
      </c>
      <c r="W14" s="2"/>
    </row>
    <row r="15" spans="1:23" ht="13.9" customHeight="1">
      <c r="B15" s="1" t="s">
        <v>18</v>
      </c>
      <c r="C15" s="1" t="s">
        <v>159</v>
      </c>
      <c r="D15" s="1">
        <v>245</v>
      </c>
      <c r="E15" s="3">
        <v>146.9</v>
      </c>
      <c r="F15" s="4">
        <f>Table4[[#This Row],[Price]]*Table4[[#This Row],[Share Count ]]</f>
        <v>35990.5</v>
      </c>
      <c r="G15" s="4"/>
      <c r="H15" s="4"/>
      <c r="I15" s="4">
        <f>Table4[[#This Row],[MC ($M)]]-Table4[[#This Row],[Cash ($M)]]+Table4[[#This Row],[Debt ($M)]]</f>
        <v>35990.5</v>
      </c>
      <c r="J15" s="2"/>
      <c r="K15" s="2"/>
      <c r="L15" s="7"/>
      <c r="N15" s="7"/>
      <c r="O15" s="12"/>
      <c r="P15" s="12"/>
      <c r="Q15" s="13" t="e">
        <f>Table4[[#This Row],[Price]]/Table4[[#This Row],[FY Earnings Estimates]]</f>
        <v>#DIV/0!</v>
      </c>
      <c r="R15" s="13" t="e">
        <f>Table4[[#This Row],[Price]]/Table4[[#This Row],[FY Earnings Estimates (2-years)]]</f>
        <v>#DIV/0!</v>
      </c>
      <c r="T15" s="10"/>
      <c r="U15" s="1" t="s">
        <v>85</v>
      </c>
      <c r="V15" s="1" t="s">
        <v>123</v>
      </c>
      <c r="W15" s="2"/>
    </row>
    <row r="16" spans="1:23" ht="13.9" customHeight="1">
      <c r="B16" s="1" t="s">
        <v>22</v>
      </c>
      <c r="C16" s="1" t="s">
        <v>140</v>
      </c>
      <c r="D16" s="1">
        <v>84.2</v>
      </c>
      <c r="E16" s="3">
        <v>390.7</v>
      </c>
      <c r="F16" s="4">
        <f>Table4[[#This Row],[Price]]*Table4[[#This Row],[Share Count ]]</f>
        <v>32896.94</v>
      </c>
      <c r="G16" s="4"/>
      <c r="H16" s="4"/>
      <c r="I16" s="4">
        <f>Table4[[#This Row],[MC ($M)]]-Table4[[#This Row],[Cash ($M)]]+Table4[[#This Row],[Debt ($M)]]</f>
        <v>32896.94</v>
      </c>
      <c r="J16" s="2"/>
      <c r="K16" s="2"/>
      <c r="L16" s="7"/>
      <c r="N16" s="7"/>
      <c r="O16" s="12"/>
      <c r="P16" s="12"/>
      <c r="Q16" s="13" t="e">
        <f>Table4[[#This Row],[Price]]/Table4[[#This Row],[FY Earnings Estimates]]</f>
        <v>#DIV/0!</v>
      </c>
      <c r="R16" s="13" t="e">
        <f>Table4[[#This Row],[Price]]/Table4[[#This Row],[FY Earnings Estimates (2-years)]]</f>
        <v>#DIV/0!</v>
      </c>
      <c r="T16" s="10"/>
      <c r="U16" s="1" t="s">
        <v>85</v>
      </c>
      <c r="V16" s="1" t="s">
        <v>96</v>
      </c>
      <c r="W16" s="2"/>
    </row>
    <row r="17" spans="2:23" ht="13.9" customHeight="1">
      <c r="B17" s="1" t="s">
        <v>19</v>
      </c>
      <c r="C17" s="1" t="s">
        <v>173</v>
      </c>
      <c r="D17" s="1">
        <v>69.91</v>
      </c>
      <c r="E17" s="3">
        <v>457</v>
      </c>
      <c r="F17" s="4">
        <f>Table4[[#This Row],[Price]]*Table4[[#This Row],[Share Count ]]</f>
        <v>31948.87</v>
      </c>
      <c r="G17" s="4"/>
      <c r="H17" s="4"/>
      <c r="I17" s="4">
        <f>Table4[[#This Row],[MC ($M)]]-Table4[[#This Row],[Cash ($M)]]+Table4[[#This Row],[Debt ($M)]]</f>
        <v>31948.87</v>
      </c>
      <c r="J17" s="2"/>
      <c r="K17" s="2"/>
      <c r="L17" s="7"/>
      <c r="N17" s="7"/>
      <c r="O17" s="12"/>
      <c r="P17" s="12"/>
      <c r="Q17" s="13" t="e">
        <f>Table4[[#This Row],[Price]]/Table4[[#This Row],[FY Earnings Estimates]]</f>
        <v>#DIV/0!</v>
      </c>
      <c r="R17" s="13" t="e">
        <f>Table4[[#This Row],[Price]]/Table4[[#This Row],[FY Earnings Estimates (2-years)]]</f>
        <v>#DIV/0!</v>
      </c>
      <c r="T17" s="10"/>
      <c r="U17" s="1" t="s">
        <v>85</v>
      </c>
      <c r="V17" s="1" t="s">
        <v>102</v>
      </c>
      <c r="W17" s="2"/>
    </row>
    <row r="18" spans="2:23" ht="13.9" customHeight="1">
      <c r="B18" s="1" t="s">
        <v>17</v>
      </c>
      <c r="C18" s="1" t="s">
        <v>77</v>
      </c>
      <c r="D18" s="1">
        <v>108</v>
      </c>
      <c r="E18" s="3">
        <v>285.2</v>
      </c>
      <c r="F18" s="4">
        <f>Table4[[#This Row],[Price]]*Table4[[#This Row],[Share Count ]]</f>
        <v>30801.599999999999</v>
      </c>
      <c r="G18" s="4"/>
      <c r="H18" s="4"/>
      <c r="I18" s="4">
        <f>Table4[[#This Row],[MC ($M)]]-Table4[[#This Row],[Cash ($M)]]+Table4[[#This Row],[Debt ($M)]]</f>
        <v>30801.599999999999</v>
      </c>
      <c r="J18" s="2"/>
      <c r="K18" s="2"/>
      <c r="L18" s="7"/>
      <c r="N18" s="7"/>
      <c r="O18" s="12"/>
      <c r="P18" s="12"/>
      <c r="Q18" s="13" t="e">
        <f>Table4[[#This Row],[Price]]/Table4[[#This Row],[FY Earnings Estimates]]</f>
        <v>#DIV/0!</v>
      </c>
      <c r="R18" s="13" t="e">
        <f>Table4[[#This Row],[Price]]/Table4[[#This Row],[FY Earnings Estimates (2-years)]]</f>
        <v>#DIV/0!</v>
      </c>
      <c r="T18" s="10"/>
      <c r="U18" s="1" t="s">
        <v>81</v>
      </c>
      <c r="V18" s="1" t="s">
        <v>82</v>
      </c>
      <c r="W18" s="2"/>
    </row>
    <row r="19" spans="2:23" ht="13.9" customHeight="1">
      <c r="B19" s="1" t="s">
        <v>56</v>
      </c>
      <c r="C19" s="1" t="s">
        <v>148</v>
      </c>
      <c r="D19" s="1">
        <v>149.6</v>
      </c>
      <c r="E19" s="3">
        <v>176.1</v>
      </c>
      <c r="F19" s="4">
        <f>Table4[[#This Row],[Price]]*Table4[[#This Row],[Share Count ]]</f>
        <v>26344.559999999998</v>
      </c>
      <c r="G19" s="4"/>
      <c r="H19" s="4"/>
      <c r="I19" s="4">
        <f>Table4[[#This Row],[MC ($M)]]-Table4[[#This Row],[Cash ($M)]]+Table4[[#This Row],[Debt ($M)]]</f>
        <v>26344.559999999998</v>
      </c>
      <c r="J19" s="2"/>
      <c r="K19" s="2"/>
      <c r="L19" s="7"/>
      <c r="N19" s="7"/>
      <c r="O19" s="12"/>
      <c r="P19" s="12"/>
      <c r="Q19" s="13" t="e">
        <f>Table4[[#This Row],[Price]]/Table4[[#This Row],[FY Earnings Estimates]]</f>
        <v>#DIV/0!</v>
      </c>
      <c r="R19" s="13" t="e">
        <f>Table4[[#This Row],[Price]]/Table4[[#This Row],[FY Earnings Estimates (2-years)]]</f>
        <v>#DIV/0!</v>
      </c>
      <c r="T19" s="10"/>
      <c r="U19" s="1" t="s">
        <v>105</v>
      </c>
      <c r="V19" s="1" t="s">
        <v>109</v>
      </c>
      <c r="W19" s="2"/>
    </row>
    <row r="20" spans="2:23" ht="13.9" customHeight="1">
      <c r="B20" s="1" t="s">
        <v>63</v>
      </c>
      <c r="C20" s="1" t="s">
        <v>74</v>
      </c>
      <c r="D20" s="1">
        <v>25.54</v>
      </c>
      <c r="E20" s="3">
        <v>925</v>
      </c>
      <c r="F20" s="4">
        <f>Table4[[#This Row],[Price]]*Table4[[#This Row],[Share Count ]]</f>
        <v>23624.5</v>
      </c>
      <c r="G20" s="4"/>
      <c r="H20" s="4"/>
      <c r="I20" s="4">
        <f>Table4[[#This Row],[MC ($M)]]-Table4[[#This Row],[Cash ($M)]]+Table4[[#This Row],[Debt ($M)]]</f>
        <v>23624.5</v>
      </c>
      <c r="J20" s="2"/>
      <c r="K20" s="2"/>
      <c r="L20" s="7"/>
      <c r="N20" s="7"/>
      <c r="O20" s="12"/>
      <c r="P20" s="12"/>
      <c r="Q20" s="13" t="e">
        <f>Table4[[#This Row],[Price]]/Table4[[#This Row],[FY Earnings Estimates]]</f>
        <v>#DIV/0!</v>
      </c>
      <c r="R20" s="13" t="e">
        <f>Table4[[#This Row],[Price]]/Table4[[#This Row],[FY Earnings Estimates (2-years)]]</f>
        <v>#DIV/0!</v>
      </c>
      <c r="T20" s="10"/>
      <c r="U20" s="1" t="s">
        <v>85</v>
      </c>
      <c r="V20" s="1" t="s">
        <v>120</v>
      </c>
      <c r="W20" s="2"/>
    </row>
    <row r="21" spans="2:23" ht="13.9" customHeight="1">
      <c r="B21" s="1" t="s">
        <v>23</v>
      </c>
      <c r="C21" s="1" t="s">
        <v>154</v>
      </c>
      <c r="D21" s="1">
        <v>1080.98</v>
      </c>
      <c r="E21" s="3">
        <v>20.9</v>
      </c>
      <c r="F21" s="4">
        <f>Table4[[#This Row],[Price]]*Table4[[#This Row],[Share Count ]]</f>
        <v>22592.482</v>
      </c>
      <c r="G21" s="4"/>
      <c r="H21" s="4"/>
      <c r="I21" s="4">
        <f>Table4[[#This Row],[MC ($M)]]-Table4[[#This Row],[Cash ($M)]]+Table4[[#This Row],[Debt ($M)]]</f>
        <v>22592.482</v>
      </c>
      <c r="J21" s="2"/>
      <c r="K21" s="2"/>
      <c r="L21" s="7"/>
      <c r="N21" s="7"/>
      <c r="O21" s="12"/>
      <c r="P21" s="12"/>
      <c r="Q21" s="13" t="e">
        <f>Table4[[#This Row],[Price]]/Table4[[#This Row],[FY Earnings Estimates]]</f>
        <v>#DIV/0!</v>
      </c>
      <c r="R21" s="13" t="e">
        <f>Table4[[#This Row],[Price]]/Table4[[#This Row],[FY Earnings Estimates (2-years)]]</f>
        <v>#DIV/0!</v>
      </c>
      <c r="T21" s="10"/>
      <c r="U21" s="1" t="s">
        <v>81</v>
      </c>
      <c r="V21" s="1" t="s">
        <v>116</v>
      </c>
      <c r="W21" s="2"/>
    </row>
    <row r="22" spans="2:23" ht="13.9" customHeight="1">
      <c r="B22" s="6" t="s">
        <v>34</v>
      </c>
      <c r="C22" s="1" t="s">
        <v>33</v>
      </c>
      <c r="D22" s="1">
        <v>314.60000000000002</v>
      </c>
      <c r="E22" s="3">
        <v>70.2</v>
      </c>
      <c r="F22" s="4">
        <f>Table4[[#This Row],[Price]]*Table4[[#This Row],[Share Count ]]</f>
        <v>22084.920000000002</v>
      </c>
      <c r="G22" s="4">
        <v>953.4</v>
      </c>
      <c r="H22" s="4">
        <v>1379.9</v>
      </c>
      <c r="I22" s="4">
        <f>Table4[[#This Row],[MC ($M)]]-Table4[[#This Row],[Cash ($M)]]+Table4[[#This Row],[Debt ($M)]]</f>
        <v>22511.420000000002</v>
      </c>
      <c r="J22" s="2"/>
      <c r="K22" s="2"/>
      <c r="L22" s="7"/>
      <c r="M22" s="1">
        <v>1.27</v>
      </c>
      <c r="N22" s="7"/>
      <c r="O22" s="12">
        <v>4.21</v>
      </c>
      <c r="P22" s="12">
        <v>5.23</v>
      </c>
      <c r="Q22" s="13">
        <f>Table4[[#This Row],[Price]]/Table4[[#This Row],[FY Earnings Estimates]]</f>
        <v>74.7268408551069</v>
      </c>
      <c r="R22" s="13">
        <f>Table4[[#This Row],[Price]]/Table4[[#This Row],[FY Earnings Estimates (2-years)]]</f>
        <v>60.152963671128106</v>
      </c>
      <c r="S22" s="18">
        <v>3900</v>
      </c>
      <c r="T22" s="10" t="s">
        <v>171</v>
      </c>
      <c r="U22" s="1" t="s">
        <v>85</v>
      </c>
      <c r="V22" s="1" t="s">
        <v>121</v>
      </c>
      <c r="W22" s="2"/>
    </row>
    <row r="23" spans="2:23" ht="13.9" customHeight="1">
      <c r="B23" s="6" t="s">
        <v>27</v>
      </c>
      <c r="C23" s="1" t="s">
        <v>26</v>
      </c>
      <c r="D23" s="1">
        <v>218.78</v>
      </c>
      <c r="E23" s="3">
        <v>98.9</v>
      </c>
      <c r="F23" s="4">
        <f>Table4[[#This Row],[Price]]*Table4[[#This Row],[Share Count ]]</f>
        <v>21637.342000000001</v>
      </c>
      <c r="G23" s="4">
        <f>1937.9+172.2</f>
        <v>2110.1</v>
      </c>
      <c r="H23" s="4">
        <f>80+2156.2</f>
        <v>2236.1999999999998</v>
      </c>
      <c r="I23" s="4">
        <f>Table4[[#This Row],[MC ($M)]]-Table4[[#This Row],[Cash ($M)]]+Table4[[#This Row],[Debt ($M)]]</f>
        <v>21763.442000000003</v>
      </c>
      <c r="J23" s="2"/>
      <c r="K23" s="2"/>
      <c r="L23" s="7"/>
      <c r="M23" s="1">
        <v>0.96</v>
      </c>
      <c r="N23" s="7"/>
      <c r="O23" s="12">
        <v>9.1</v>
      </c>
      <c r="P23" s="12">
        <v>9.99</v>
      </c>
      <c r="Q23" s="13">
        <f>Table4[[#This Row],[Price]]/Table4[[#This Row],[FY Earnings Estimates]]</f>
        <v>24.041758241758242</v>
      </c>
      <c r="R23" s="13">
        <f>Table4[[#This Row],[Price]]/Table4[[#This Row],[FY Earnings Estimates (2-years)]]</f>
        <v>21.8998998998999</v>
      </c>
      <c r="S23" s="18">
        <v>18000</v>
      </c>
      <c r="T23" s="10" t="s">
        <v>194</v>
      </c>
      <c r="U23" s="1" t="s">
        <v>105</v>
      </c>
      <c r="V23" s="1" t="s">
        <v>124</v>
      </c>
      <c r="W23" s="2"/>
    </row>
    <row r="24" spans="2:23" ht="13.9" customHeight="1">
      <c r="B24" s="6" t="s">
        <v>25</v>
      </c>
      <c r="C24" s="1" t="s">
        <v>175</v>
      </c>
      <c r="D24" s="1">
        <v>96.17</v>
      </c>
      <c r="E24" s="3">
        <v>199.1</v>
      </c>
      <c r="F24" s="4">
        <f>Table4[[#This Row],[Price]]*Table4[[#This Row],[Share Count ]]</f>
        <v>19147.447</v>
      </c>
      <c r="G24" s="4">
        <v>1384.5</v>
      </c>
      <c r="H24" s="4">
        <f>600+6576.3</f>
        <v>7176.3</v>
      </c>
      <c r="I24" s="4">
        <f>Table4[[#This Row],[MC ($M)]]-Table4[[#This Row],[Cash ($M)]]+Table4[[#This Row],[Debt ($M)]]</f>
        <v>24939.246999999999</v>
      </c>
      <c r="J24" s="2"/>
      <c r="K24" s="2"/>
      <c r="L24" s="7"/>
      <c r="M24" s="1">
        <v>0.78</v>
      </c>
      <c r="N24" s="7"/>
      <c r="O24" s="12">
        <v>8.09</v>
      </c>
      <c r="P24" s="12">
        <v>8.56</v>
      </c>
      <c r="Q24" s="13">
        <f>Table4[[#This Row],[Price]]/Table4[[#This Row],[FY Earnings Estimates]]</f>
        <v>11.88751545117429</v>
      </c>
      <c r="R24" s="13">
        <f>Table4[[#This Row],[Price]]/Table4[[#This Row],[FY Earnings Estimates (2-years)]]</f>
        <v>11.234813084112149</v>
      </c>
      <c r="S24" s="18">
        <v>17000</v>
      </c>
      <c r="T24" s="10" t="s">
        <v>171</v>
      </c>
      <c r="U24" s="1" t="s">
        <v>85</v>
      </c>
      <c r="V24" s="1" t="s">
        <v>131</v>
      </c>
      <c r="W24" s="2"/>
    </row>
    <row r="25" spans="2:23" ht="13.9" customHeight="1">
      <c r="B25" s="6" t="s">
        <v>203</v>
      </c>
      <c r="C25" s="1" t="s">
        <v>202</v>
      </c>
      <c r="D25" s="1">
        <v>30.8</v>
      </c>
      <c r="E25" s="3">
        <v>510.9</v>
      </c>
      <c r="F25" s="4">
        <f>Table4[[#This Row],[Price]]*Table4[[#This Row],[Share Count ]]</f>
        <v>15735.72</v>
      </c>
      <c r="G25" s="4">
        <f>1679</f>
        <v>1679</v>
      </c>
      <c r="H25" s="4">
        <f>2126+626+10374</f>
        <v>13126</v>
      </c>
      <c r="I25" s="4">
        <f>Table4[[#This Row],[MC ($M)]]-Table4[[#This Row],[Cash ($M)]]+Table4[[#This Row],[Debt ($M)]]</f>
        <v>27182.720000000001</v>
      </c>
      <c r="J25" s="2"/>
      <c r="K25" s="2"/>
      <c r="L25" s="7"/>
      <c r="M25" s="13">
        <v>0.63</v>
      </c>
      <c r="N25" s="7"/>
      <c r="O25" s="12">
        <v>2.5099999999999998</v>
      </c>
      <c r="P25" s="12">
        <v>2.72</v>
      </c>
      <c r="Q25" s="13">
        <f>Table4[[#This Row],[Price]]/Table4[[#This Row],[FY Earnings Estimates]]</f>
        <v>12.270916334661356</v>
      </c>
      <c r="R25" s="13">
        <f>Table4[[#This Row],[Price]]/Table4[[#This Row],[FY Earnings Estimates (2-years)]]</f>
        <v>11.323529411764705</v>
      </c>
      <c r="S25" s="18">
        <v>38000</v>
      </c>
      <c r="T25" s="10" t="s">
        <v>194</v>
      </c>
      <c r="U25" s="1" t="s">
        <v>81</v>
      </c>
      <c r="V25" s="1" t="s">
        <v>84</v>
      </c>
      <c r="W25" s="2"/>
    </row>
    <row r="26" spans="2:23" ht="13.9" customHeight="1">
      <c r="B26" s="6" t="s">
        <v>35</v>
      </c>
      <c r="C26" s="1" t="s">
        <v>139</v>
      </c>
      <c r="D26" s="1">
        <v>78.7</v>
      </c>
      <c r="E26" s="3">
        <v>199.6</v>
      </c>
      <c r="F26" s="4">
        <f>Table4[[#This Row],[Price]]*Table4[[#This Row],[Share Count ]]</f>
        <v>15708.52</v>
      </c>
      <c r="G26" s="4">
        <v>100.9</v>
      </c>
      <c r="H26" s="4">
        <v>2539.9</v>
      </c>
      <c r="I26" s="4">
        <f>Table4[[#This Row],[MC ($M)]]-Table4[[#This Row],[Cash ($M)]]+Table4[[#This Row],[Debt ($M)]]</f>
        <v>18147.52</v>
      </c>
      <c r="J26" s="2"/>
      <c r="K26" s="2"/>
      <c r="L26" s="7"/>
      <c r="M26" s="1">
        <v>1.08</v>
      </c>
      <c r="N26" s="7"/>
      <c r="O26" s="12">
        <v>3.99</v>
      </c>
      <c r="P26" s="12">
        <v>4.43</v>
      </c>
      <c r="Q26" s="13">
        <f>Table4[[#This Row],[Price]]/Table4[[#This Row],[FY Earnings Estimates]]</f>
        <v>19.724310776942357</v>
      </c>
      <c r="R26" s="13">
        <f>Table4[[#This Row],[Price]]/Table4[[#This Row],[FY Earnings Estimates (2-years)]]</f>
        <v>17.765237020316029</v>
      </c>
      <c r="S26" s="18">
        <v>16000</v>
      </c>
      <c r="T26" s="10" t="s">
        <v>194</v>
      </c>
      <c r="U26" s="1" t="s">
        <v>85</v>
      </c>
      <c r="V26" s="1" t="s">
        <v>94</v>
      </c>
      <c r="W26" s="2"/>
    </row>
    <row r="27" spans="2:23" ht="13.9" customHeight="1">
      <c r="B27" s="1" t="s">
        <v>24</v>
      </c>
      <c r="C27" s="1" t="s">
        <v>174</v>
      </c>
      <c r="D27" s="1">
        <v>205.88</v>
      </c>
      <c r="E27" s="3">
        <v>72.3</v>
      </c>
      <c r="F27" s="4">
        <f>Table4[[#This Row],[Price]]*Table4[[#This Row],[Share Count ]]</f>
        <v>14885.124</v>
      </c>
      <c r="G27" s="4"/>
      <c r="H27" s="4"/>
      <c r="I27" s="4">
        <f>Table4[[#This Row],[MC ($M)]]-Table4[[#This Row],[Cash ($M)]]+Table4[[#This Row],[Debt ($M)]]</f>
        <v>14885.124</v>
      </c>
      <c r="J27" s="2"/>
      <c r="K27" s="2"/>
      <c r="L27" s="7"/>
      <c r="N27" s="7"/>
      <c r="O27" s="12"/>
      <c r="P27" s="12"/>
      <c r="Q27" s="13" t="e">
        <f>Table4[[#This Row],[Price]]/Table4[[#This Row],[FY Earnings Estimates]]</f>
        <v>#DIV/0!</v>
      </c>
      <c r="R27" s="13" t="e">
        <f>Table4[[#This Row],[Price]]/Table4[[#This Row],[FY Earnings Estimates (2-years)]]</f>
        <v>#DIV/0!</v>
      </c>
      <c r="T27" s="10"/>
      <c r="U27" s="1" t="s">
        <v>129</v>
      </c>
      <c r="V27" s="1" t="s">
        <v>130</v>
      </c>
      <c r="W27" s="2"/>
    </row>
    <row r="28" spans="2:23" ht="13.9" customHeight="1">
      <c r="B28" s="1" t="s">
        <v>20</v>
      </c>
      <c r="C28" s="1" t="s">
        <v>79</v>
      </c>
      <c r="D28" s="1">
        <v>181.88</v>
      </c>
      <c r="E28" s="3">
        <v>73.8</v>
      </c>
      <c r="F28" s="4">
        <f>Table4[[#This Row],[Price]]*Table4[[#This Row],[Share Count ]]</f>
        <v>13422.743999999999</v>
      </c>
      <c r="G28" s="4"/>
      <c r="H28" s="4"/>
      <c r="I28" s="4">
        <f>Table4[[#This Row],[MC ($M)]]-Table4[[#This Row],[Cash ($M)]]+Table4[[#This Row],[Debt ($M)]]</f>
        <v>13422.743999999999</v>
      </c>
      <c r="J28" s="2"/>
      <c r="K28" s="2"/>
      <c r="L28" s="7"/>
      <c r="N28" s="7"/>
      <c r="O28" s="12"/>
      <c r="P28" s="12"/>
      <c r="Q28" s="13" t="e">
        <f>Table4[[#This Row],[Price]]/Table4[[#This Row],[FY Earnings Estimates]]</f>
        <v>#DIV/0!</v>
      </c>
      <c r="R28" s="13" t="e">
        <f>Table4[[#This Row],[Price]]/Table4[[#This Row],[FY Earnings Estimates (2-years)]]</f>
        <v>#DIV/0!</v>
      </c>
      <c r="T28" s="10"/>
      <c r="U28" s="1" t="s">
        <v>85</v>
      </c>
      <c r="V28" s="1" t="s">
        <v>70</v>
      </c>
      <c r="W28" s="2"/>
    </row>
    <row r="29" spans="2:23" ht="13.9" customHeight="1">
      <c r="B29" s="1" t="s">
        <v>32</v>
      </c>
      <c r="C29" s="1" t="s">
        <v>31</v>
      </c>
      <c r="D29" s="1">
        <v>57.8</v>
      </c>
      <c r="E29" s="3">
        <v>231.7</v>
      </c>
      <c r="F29" s="4">
        <f>Table4[[#This Row],[Price]]*Table4[[#This Row],[Share Count ]]</f>
        <v>13392.259999999998</v>
      </c>
      <c r="G29" s="4"/>
      <c r="H29" s="4"/>
      <c r="I29" s="4">
        <f>Table4[[#This Row],[MC ($M)]]-Table4[[#This Row],[Cash ($M)]]+Table4[[#This Row],[Debt ($M)]]</f>
        <v>13392.259999999998</v>
      </c>
      <c r="J29" s="2"/>
      <c r="K29" s="2"/>
      <c r="L29" s="7"/>
      <c r="N29" s="7"/>
      <c r="O29" s="12"/>
      <c r="P29" s="12"/>
      <c r="Q29" s="13" t="e">
        <f>Table4[[#This Row],[Price]]/Table4[[#This Row],[FY Earnings Estimates]]</f>
        <v>#DIV/0!</v>
      </c>
      <c r="R29" s="13" t="e">
        <f>Table4[[#This Row],[Price]]/Table4[[#This Row],[FY Earnings Estimates (2-years)]]</f>
        <v>#DIV/0!</v>
      </c>
      <c r="T29" s="10"/>
      <c r="U29" s="1" t="s">
        <v>100</v>
      </c>
      <c r="V29" s="1" t="s">
        <v>104</v>
      </c>
      <c r="W29" s="2"/>
    </row>
    <row r="30" spans="2:23" ht="13.9" customHeight="1">
      <c r="B30" s="1" t="s">
        <v>205</v>
      </c>
      <c r="C30" s="1" t="s">
        <v>204</v>
      </c>
      <c r="D30" s="1">
        <v>70.23</v>
      </c>
      <c r="E30" s="3">
        <v>172.8</v>
      </c>
      <c r="F30" s="4">
        <f>Table4[[#This Row],[Price]]*Table4[[#This Row],[Share Count ]]</f>
        <v>12135.744000000001</v>
      </c>
      <c r="G30" s="4">
        <v>762</v>
      </c>
      <c r="H30" s="4">
        <f>200+7810</f>
        <v>8010</v>
      </c>
      <c r="I30" s="4">
        <f>Table4[[#This Row],[MC ($M)]]-Table4[[#This Row],[Cash ($M)]]+Table4[[#This Row],[Debt ($M)]]</f>
        <v>19383.743999999999</v>
      </c>
      <c r="J30" s="2"/>
      <c r="K30" s="2"/>
      <c r="L30" s="7"/>
      <c r="M30" s="1">
        <v>0.79</v>
      </c>
      <c r="N30" s="7"/>
      <c r="O30" s="12">
        <v>5.54</v>
      </c>
      <c r="P30" s="12">
        <v>6.02</v>
      </c>
      <c r="Q30" s="13">
        <f>Table4[[#This Row],[Price]]/Table4[[#This Row],[FY Earnings Estimates]]</f>
        <v>12.676895306859207</v>
      </c>
      <c r="R30" s="13">
        <f>Table4[[#This Row],[Price]]/Table4[[#This Row],[FY Earnings Estimates (2-years)]]</f>
        <v>11.666112956810633</v>
      </c>
      <c r="S30" s="18">
        <v>22000</v>
      </c>
      <c r="T30" s="10" t="s">
        <v>171</v>
      </c>
      <c r="U30" s="1" t="s">
        <v>76</v>
      </c>
      <c r="V30" s="1" t="s">
        <v>85</v>
      </c>
      <c r="W30" s="14" t="s">
        <v>206</v>
      </c>
    </row>
    <row r="31" spans="2:23" ht="13.9" customHeight="1">
      <c r="B31" s="6" t="s">
        <v>62</v>
      </c>
      <c r="C31" s="1" t="s">
        <v>158</v>
      </c>
      <c r="D31" s="1">
        <v>298.5</v>
      </c>
      <c r="E31" s="3">
        <v>38.6</v>
      </c>
      <c r="F31" s="4">
        <f>Table4[[#This Row],[Price]]*Table4[[#This Row],[Share Count ]]</f>
        <v>11522.1</v>
      </c>
      <c r="G31" s="4">
        <v>379</v>
      </c>
      <c r="H31" s="4">
        <f>'[1]Main | Overview'!$C$9</f>
        <v>0</v>
      </c>
      <c r="I31" s="4">
        <f>Table4[[#This Row],[MC ($M)]]-Table4[[#This Row],[Cash ($M)]]+Table4[[#This Row],[Debt ($M)]]</f>
        <v>11143.1</v>
      </c>
      <c r="J31" s="2">
        <f>[1]Model!$BU$59</f>
        <v>12137.662860729284</v>
      </c>
      <c r="K31" s="2">
        <f>[1]Model!$BU$61</f>
        <v>314.44722437122499</v>
      </c>
      <c r="L31" s="7">
        <f>Table4[[#This Row],[FV]]/Table4[[#This Row],[Price]]-1</f>
        <v>5.3424537257035221E-2</v>
      </c>
      <c r="M31" s="1">
        <v>0.53</v>
      </c>
      <c r="N31" s="7">
        <v>2.4899999999999999E-2</v>
      </c>
      <c r="O31" s="12">
        <v>3.8</v>
      </c>
      <c r="P31" s="12">
        <v>5.2</v>
      </c>
      <c r="Q31" s="13">
        <f>Table4[[#This Row],[Price]]/Table4[[#This Row],[FY Earnings Estimates]]</f>
        <v>78.55263157894737</v>
      </c>
      <c r="R31" s="13">
        <f>Table4[[#This Row],[Price]]/Table4[[#This Row],[FY Earnings Estimates (2-years)]]</f>
        <v>57.403846153846153</v>
      </c>
      <c r="S31" s="18">
        <v>4500</v>
      </c>
      <c r="T31" s="10" t="s">
        <v>194</v>
      </c>
      <c r="U31" s="1" t="s">
        <v>85</v>
      </c>
      <c r="V31" s="1" t="s">
        <v>191</v>
      </c>
      <c r="W31" s="2"/>
    </row>
    <row r="32" spans="2:23" ht="13.9" customHeight="1">
      <c r="B32" s="1" t="s">
        <v>36</v>
      </c>
      <c r="C32" s="1" t="s">
        <v>144</v>
      </c>
      <c r="D32" s="1">
        <v>51.5</v>
      </c>
      <c r="E32" s="3">
        <v>185.6</v>
      </c>
      <c r="F32" s="4">
        <f>Table4[[#This Row],[Price]]*Table4[[#This Row],[Share Count ]]</f>
        <v>9558.4</v>
      </c>
      <c r="G32" s="4"/>
      <c r="H32" s="4"/>
      <c r="I32" s="4">
        <f>Table4[[#This Row],[MC ($M)]]-Table4[[#This Row],[Cash ($M)]]+Table4[[#This Row],[Debt ($M)]]</f>
        <v>9558.4</v>
      </c>
      <c r="J32" s="2"/>
      <c r="K32" s="2"/>
      <c r="L32" s="7"/>
      <c r="N32" s="7"/>
      <c r="O32" s="12"/>
      <c r="P32" s="12"/>
      <c r="Q32" s="13" t="e">
        <f>Table4[[#This Row],[Price]]/Table4[[#This Row],[FY Earnings Estimates]]</f>
        <v>#DIV/0!</v>
      </c>
      <c r="R32" s="13" t="e">
        <f>Table4[[#This Row],[Price]]/Table4[[#This Row],[FY Earnings Estimates (2-years)]]</f>
        <v>#DIV/0!</v>
      </c>
      <c r="T32" s="10"/>
      <c r="U32" s="1" t="s">
        <v>100</v>
      </c>
      <c r="V32" s="1" t="s">
        <v>101</v>
      </c>
    </row>
    <row r="33" spans="2:23" ht="13.9" customHeight="1">
      <c r="B33" s="1" t="s">
        <v>38</v>
      </c>
      <c r="C33" s="1" t="s">
        <v>37</v>
      </c>
      <c r="D33" s="1">
        <v>40.479999999999997</v>
      </c>
      <c r="E33" s="3">
        <v>216.1</v>
      </c>
      <c r="F33" s="4">
        <f>Table4[[#This Row],[Price]]*Table4[[#This Row],[Share Count ]]</f>
        <v>8747.7279999999992</v>
      </c>
      <c r="G33" s="4"/>
      <c r="H33" s="4"/>
      <c r="I33" s="4">
        <f>Table4[[#This Row],[MC ($M)]]-Table4[[#This Row],[Cash ($M)]]+Table4[[#This Row],[Debt ($M)]]</f>
        <v>8747.7279999999992</v>
      </c>
      <c r="J33" s="2"/>
      <c r="K33" s="2"/>
      <c r="L33" s="7"/>
      <c r="N33" s="7"/>
      <c r="O33" s="12"/>
      <c r="P33" s="12"/>
      <c r="Q33" s="13" t="e">
        <f>Table4[[#This Row],[Price]]/Table4[[#This Row],[FY Earnings Estimates]]</f>
        <v>#DIV/0!</v>
      </c>
      <c r="R33" s="13" t="e">
        <f>Table4[[#This Row],[Price]]/Table4[[#This Row],[FY Earnings Estimates (2-years)]]</f>
        <v>#DIV/0!</v>
      </c>
      <c r="T33" s="10"/>
      <c r="U33" s="1" t="s">
        <v>100</v>
      </c>
      <c r="V33" s="1" t="s">
        <v>122</v>
      </c>
      <c r="W33" s="2"/>
    </row>
    <row r="34" spans="2:23" ht="13.9" customHeight="1">
      <c r="B34" s="1" t="s">
        <v>43</v>
      </c>
      <c r="C34" s="1" t="s">
        <v>152</v>
      </c>
      <c r="D34" s="1">
        <v>156.57</v>
      </c>
      <c r="E34" s="3">
        <v>53.6</v>
      </c>
      <c r="F34" s="4">
        <f>Table4[[#This Row],[Price]]*Table4[[#This Row],[Share Count ]]</f>
        <v>8392.152</v>
      </c>
      <c r="G34" s="4"/>
      <c r="H34" s="4"/>
      <c r="I34" s="4">
        <f>Table4[[#This Row],[MC ($M)]]-Table4[[#This Row],[Cash ($M)]]+Table4[[#This Row],[Debt ($M)]]</f>
        <v>8392.152</v>
      </c>
      <c r="J34" s="2"/>
      <c r="K34" s="2"/>
      <c r="L34" s="7"/>
      <c r="N34" s="7"/>
      <c r="O34" s="12"/>
      <c r="P34" s="12"/>
      <c r="Q34" s="13" t="e">
        <f>Table4[[#This Row],[Price]]/Table4[[#This Row],[FY Earnings Estimates]]</f>
        <v>#DIV/0!</v>
      </c>
      <c r="R34" s="13" t="e">
        <f>Table4[[#This Row],[Price]]/Table4[[#This Row],[FY Earnings Estimates (2-years)]]</f>
        <v>#DIV/0!</v>
      </c>
      <c r="T34" s="10"/>
      <c r="U34" s="1" t="s">
        <v>85</v>
      </c>
      <c r="V34" s="1" t="s">
        <v>113</v>
      </c>
      <c r="W34" s="2"/>
    </row>
    <row r="35" spans="2:23" ht="13.9" customHeight="1">
      <c r="B35" s="1" t="s">
        <v>40</v>
      </c>
      <c r="C35" s="1" t="s">
        <v>39</v>
      </c>
      <c r="D35" s="1">
        <v>67.040000000000006</v>
      </c>
      <c r="E35" s="3">
        <v>124.2</v>
      </c>
      <c r="F35" s="4">
        <f>Table4[[#This Row],[Price]]*Table4[[#This Row],[Share Count ]]</f>
        <v>8326.3680000000004</v>
      </c>
      <c r="G35" s="4"/>
      <c r="H35" s="4"/>
      <c r="I35" s="4">
        <f>Table4[[#This Row],[MC ($M)]]-Table4[[#This Row],[Cash ($M)]]+Table4[[#This Row],[Debt ($M)]]</f>
        <v>8326.3680000000004</v>
      </c>
      <c r="J35" s="2"/>
      <c r="K35" s="2"/>
      <c r="L35" s="7"/>
      <c r="N35" s="7"/>
      <c r="O35" s="12"/>
      <c r="P35" s="12"/>
      <c r="Q35" s="13" t="e">
        <f>Table4[[#This Row],[Price]]/Table4[[#This Row],[FY Earnings Estimates]]</f>
        <v>#DIV/0!</v>
      </c>
      <c r="R35" s="13" t="e">
        <f>Table4[[#This Row],[Price]]/Table4[[#This Row],[FY Earnings Estimates (2-years)]]</f>
        <v>#DIV/0!</v>
      </c>
      <c r="T35" s="10"/>
      <c r="U35" s="1" t="s">
        <v>105</v>
      </c>
      <c r="V35" s="1" t="s">
        <v>106</v>
      </c>
      <c r="W35" s="2"/>
    </row>
    <row r="36" spans="2:23" ht="13.9" customHeight="1">
      <c r="B36" s="1" t="s">
        <v>29</v>
      </c>
      <c r="C36" s="1" t="s">
        <v>28</v>
      </c>
      <c r="D36" s="1">
        <v>12.13</v>
      </c>
      <c r="E36" s="3">
        <v>680.8</v>
      </c>
      <c r="F36" s="4">
        <f>Table4[[#This Row],[Price]]*Table4[[#This Row],[Share Count ]]</f>
        <v>8258.1039999999994</v>
      </c>
      <c r="G36" s="4"/>
      <c r="H36" s="4"/>
      <c r="I36" s="4">
        <f>Table4[[#This Row],[MC ($M)]]-Table4[[#This Row],[Cash ($M)]]+Table4[[#This Row],[Debt ($M)]]</f>
        <v>8258.1039999999994</v>
      </c>
      <c r="J36" s="2"/>
      <c r="K36" s="2"/>
      <c r="L36" s="7"/>
      <c r="N36" s="7"/>
      <c r="O36" s="12"/>
      <c r="P36" s="12"/>
      <c r="Q36" s="13" t="e">
        <f>Table4[[#This Row],[Price]]/Table4[[#This Row],[FY Earnings Estimates]]</f>
        <v>#DIV/0!</v>
      </c>
      <c r="R36" s="13" t="e">
        <f>Table4[[#This Row],[Price]]/Table4[[#This Row],[FY Earnings Estimates (2-years)]]</f>
        <v>#DIV/0!</v>
      </c>
      <c r="T36" s="10"/>
      <c r="U36" s="1" t="s">
        <v>81</v>
      </c>
      <c r="V36" s="1" t="s">
        <v>89</v>
      </c>
      <c r="W36" s="2"/>
    </row>
    <row r="37" spans="2:23" ht="13.9" customHeight="1">
      <c r="B37" s="6" t="s">
        <v>48</v>
      </c>
      <c r="C37" s="1" t="s">
        <v>145</v>
      </c>
      <c r="D37" s="1">
        <v>55.93</v>
      </c>
      <c r="E37" s="3">
        <v>137.4</v>
      </c>
      <c r="F37" s="4">
        <f>Table4[[#This Row],[Price]]*Table4[[#This Row],[Share Count ]]</f>
        <v>7684.7820000000002</v>
      </c>
      <c r="G37" s="4">
        <v>890.1</v>
      </c>
      <c r="H37" s="4">
        <f>443.4</f>
        <v>443.4</v>
      </c>
      <c r="I37" s="4">
        <f>Table4[[#This Row],[MC ($M)]]-Table4[[#This Row],[Cash ($M)]]+Table4[[#This Row],[Debt ($M)]]</f>
        <v>7238.0819999999994</v>
      </c>
      <c r="J37" s="2">
        <f>[2]Model!$BZ$53</f>
        <v>7562.2393729299547</v>
      </c>
      <c r="K37" s="2">
        <f>[2]Model!$BZ$55</f>
        <v>55.058167986384817</v>
      </c>
      <c r="L37" s="7">
        <f>Table4[[#This Row],[FV]]/Table4[[#This Row],[Price]]-1</f>
        <v>-1.5587913706690215E-2</v>
      </c>
      <c r="M37" s="1">
        <v>1.29</v>
      </c>
      <c r="N37" s="7"/>
      <c r="O37" s="12">
        <v>3.44</v>
      </c>
      <c r="P37" s="12">
        <v>3.92</v>
      </c>
      <c r="Q37" s="13">
        <f>Table4[[#This Row],[Price]]/Table4[[#This Row],[FY Earnings Estimates]]</f>
        <v>16.25872093023256</v>
      </c>
      <c r="R37" s="13">
        <f>Table4[[#This Row],[Price]]/Table4[[#This Row],[FY Earnings Estimates (2-years)]]</f>
        <v>14.267857142857142</v>
      </c>
      <c r="S37" s="18">
        <v>5300</v>
      </c>
      <c r="T37" s="10" t="s">
        <v>171</v>
      </c>
      <c r="U37" s="1" t="s">
        <v>85</v>
      </c>
      <c r="V37" s="1" t="s">
        <v>103</v>
      </c>
      <c r="W37" s="2"/>
    </row>
    <row r="38" spans="2:23" ht="13.9" customHeight="1">
      <c r="B38" s="1" t="s">
        <v>41</v>
      </c>
      <c r="C38" s="1" t="s">
        <v>163</v>
      </c>
      <c r="D38" s="1">
        <v>129.15</v>
      </c>
      <c r="E38" s="3">
        <v>46.3</v>
      </c>
      <c r="F38" s="4">
        <f>Table4[[#This Row],[Price]]*Table4[[#This Row],[Share Count ]]</f>
        <v>5979.6449999999995</v>
      </c>
      <c r="G38" s="4">
        <v>243.2</v>
      </c>
      <c r="H38" s="4">
        <f>96.9+1661.5</f>
        <v>1758.4</v>
      </c>
      <c r="I38" s="4">
        <f>Table4[[#This Row],[MC ($M)]]-Table4[[#This Row],[Cash ($M)]]+Table4[[#This Row],[Debt ($M)]]</f>
        <v>7494.8449999999993</v>
      </c>
      <c r="J38" s="2"/>
      <c r="K38" s="2"/>
      <c r="L38" s="7"/>
      <c r="M38" s="1">
        <v>1.19</v>
      </c>
      <c r="N38" s="7"/>
      <c r="O38" s="12">
        <v>13.37</v>
      </c>
      <c r="P38" s="12">
        <v>14.02</v>
      </c>
      <c r="Q38" s="13">
        <f>Table4[[#This Row],[Price]]/Table4[[#This Row],[FY Earnings Estimates]]</f>
        <v>9.6596858638743459</v>
      </c>
      <c r="R38" s="13">
        <f>Table4[[#This Row],[Price]]/Table4[[#This Row],[FY Earnings Estimates (2-years)]]</f>
        <v>9.2118402282453644</v>
      </c>
      <c r="S38" s="18">
        <v>14100</v>
      </c>
      <c r="T38" s="10" t="s">
        <v>194</v>
      </c>
      <c r="U38" s="1" t="s">
        <v>85</v>
      </c>
      <c r="V38" s="1" t="s">
        <v>128</v>
      </c>
      <c r="W38" s="5" t="s">
        <v>195</v>
      </c>
    </row>
    <row r="39" spans="2:23" ht="13.9" customHeight="1">
      <c r="B39" s="6" t="s">
        <v>45</v>
      </c>
      <c r="C39" s="1" t="s">
        <v>166</v>
      </c>
      <c r="D39" s="2">
        <v>80</v>
      </c>
      <c r="E39" s="3">
        <v>59.3</v>
      </c>
      <c r="F39" s="4">
        <f>Table4[[#This Row],[Price]]*Table4[[#This Row],[Share Count ]]</f>
        <v>4744</v>
      </c>
      <c r="G39" s="4">
        <f>41.141+0.067+70.397</f>
        <v>111.605</v>
      </c>
      <c r="H39" s="4">
        <v>0</v>
      </c>
      <c r="I39" s="4">
        <f>Table4[[#This Row],[MC ($M)]]-Table4[[#This Row],[Cash ($M)]]+Table4[[#This Row],[Debt ($M)]]</f>
        <v>4632.3950000000004</v>
      </c>
      <c r="J39" s="2"/>
      <c r="K39" s="2"/>
      <c r="L39" s="7"/>
      <c r="N39" s="7"/>
      <c r="O39" s="12"/>
      <c r="P39" s="12"/>
      <c r="Q39" s="13" t="e">
        <f>Table4[[#This Row],[Price]]/Table4[[#This Row],[FY Earnings Estimates]]</f>
        <v>#DIV/0!</v>
      </c>
      <c r="R39" s="13" t="e">
        <f>Table4[[#This Row],[Price]]/Table4[[#This Row],[FY Earnings Estimates (2-years)]]</f>
        <v>#DIV/0!</v>
      </c>
      <c r="T39" s="10"/>
      <c r="U39" s="9" t="s">
        <v>132</v>
      </c>
      <c r="W39" s="5" t="s">
        <v>195</v>
      </c>
    </row>
    <row r="40" spans="2:23" ht="13.9" customHeight="1">
      <c r="B40" s="1" t="s">
        <v>55</v>
      </c>
      <c r="C40" s="1" t="s">
        <v>147</v>
      </c>
      <c r="D40" s="1">
        <v>151.25</v>
      </c>
      <c r="E40" s="3">
        <v>29.7</v>
      </c>
      <c r="F40" s="4">
        <f>Table4[[#This Row],[Price]]*Table4[[#This Row],[Share Count ]]</f>
        <v>4492.125</v>
      </c>
      <c r="G40" s="4"/>
      <c r="H40" s="4"/>
      <c r="I40" s="4">
        <f>Table4[[#This Row],[MC ($M)]]-Table4[[#This Row],[Cash ($M)]]+Table4[[#This Row],[Debt ($M)]]</f>
        <v>4492.125</v>
      </c>
      <c r="J40" s="2"/>
      <c r="K40" s="2"/>
      <c r="L40" s="7"/>
      <c r="N40" s="7"/>
      <c r="O40" s="12"/>
      <c r="P40" s="12"/>
      <c r="Q40" s="13" t="e">
        <f>Table4[[#This Row],[Price]]/Table4[[#This Row],[FY Earnings Estimates]]</f>
        <v>#DIV/0!</v>
      </c>
      <c r="R40" s="13" t="e">
        <f>Table4[[#This Row],[Price]]/Table4[[#This Row],[FY Earnings Estimates (2-years)]]</f>
        <v>#DIV/0!</v>
      </c>
      <c r="T40" s="10"/>
      <c r="U40" s="1" t="s">
        <v>85</v>
      </c>
      <c r="V40" s="1" t="s">
        <v>108</v>
      </c>
      <c r="W40" s="2"/>
    </row>
    <row r="41" spans="2:23" ht="13.9" customHeight="1">
      <c r="B41" s="1" t="s">
        <v>57</v>
      </c>
      <c r="C41" s="1" t="s">
        <v>149</v>
      </c>
      <c r="D41" s="1">
        <v>137.69999999999999</v>
      </c>
      <c r="E41" s="3">
        <v>31.4</v>
      </c>
      <c r="F41" s="4">
        <f>Table4[[#This Row],[Price]]*Table4[[#This Row],[Share Count ]]</f>
        <v>4323.78</v>
      </c>
      <c r="G41" s="4"/>
      <c r="H41" s="4"/>
      <c r="I41" s="4">
        <f>Table4[[#This Row],[MC ($M)]]-Table4[[#This Row],[Cash ($M)]]+Table4[[#This Row],[Debt ($M)]]</f>
        <v>4323.78</v>
      </c>
      <c r="J41" s="2"/>
      <c r="K41" s="2"/>
      <c r="L41" s="7"/>
      <c r="N41" s="7"/>
      <c r="O41" s="12"/>
      <c r="P41" s="12"/>
      <c r="Q41" s="13" t="e">
        <f>Table4[[#This Row],[Price]]/Table4[[#This Row],[FY Earnings Estimates]]</f>
        <v>#DIV/0!</v>
      </c>
      <c r="R41" s="13" t="e">
        <f>Table4[[#This Row],[Price]]/Table4[[#This Row],[FY Earnings Estimates (2-years)]]</f>
        <v>#DIV/0!</v>
      </c>
      <c r="T41" s="10"/>
      <c r="U41" s="1" t="s">
        <v>85</v>
      </c>
      <c r="V41" s="1" t="s">
        <v>71</v>
      </c>
      <c r="W41" s="2"/>
    </row>
    <row r="42" spans="2:23" ht="13.9" customHeight="1">
      <c r="B42" s="1" t="s">
        <v>178</v>
      </c>
      <c r="C42" s="1" t="s">
        <v>177</v>
      </c>
      <c r="D42" s="2">
        <v>71</v>
      </c>
      <c r="E42" s="3">
        <v>52.11</v>
      </c>
      <c r="F42" s="4">
        <f>Table4[[#This Row],[Price]]*Table4[[#This Row],[Share Count ]]</f>
        <v>3699.81</v>
      </c>
      <c r="G42" s="2">
        <v>0</v>
      </c>
      <c r="H42" s="2">
        <v>0</v>
      </c>
      <c r="I42" s="4">
        <v>3300</v>
      </c>
      <c r="J42" s="2"/>
      <c r="K42" s="2"/>
      <c r="L42" s="7"/>
      <c r="N42" s="7"/>
      <c r="O42" s="12"/>
      <c r="P42" s="12"/>
      <c r="Q42" s="13" t="e">
        <f>Table4[[#This Row],[Price]]/Table4[[#This Row],[FY Earnings Estimates]]</f>
        <v>#DIV/0!</v>
      </c>
      <c r="R42" s="13" t="e">
        <f>Table4[[#This Row],[Price]]/Table4[[#This Row],[FY Earnings Estimates (2-years)]]</f>
        <v>#DIV/0!</v>
      </c>
      <c r="T42" s="10"/>
      <c r="U42" s="9" t="s">
        <v>180</v>
      </c>
    </row>
    <row r="43" spans="2:23" ht="13.9" customHeight="1">
      <c r="B43" s="1" t="s">
        <v>44</v>
      </c>
      <c r="C43" s="1" t="s">
        <v>165</v>
      </c>
      <c r="D43" s="1">
        <v>16.25</v>
      </c>
      <c r="E43" s="3">
        <v>198.8</v>
      </c>
      <c r="F43" s="4">
        <f>Table4[[#This Row],[Price]]*Table4[[#This Row],[Share Count ]]</f>
        <v>3230.5</v>
      </c>
      <c r="G43" s="4"/>
      <c r="H43" s="4"/>
      <c r="I43" s="4">
        <f>Table4[[#This Row],[MC ($M)]]-Table4[[#This Row],[Cash ($M)]]+Table4[[#This Row],[Debt ($M)]]</f>
        <v>3230.5</v>
      </c>
      <c r="J43" s="2"/>
      <c r="K43" s="2"/>
      <c r="L43" s="7"/>
      <c r="N43" s="7"/>
      <c r="O43" s="12"/>
      <c r="P43" s="12"/>
      <c r="Q43" s="13" t="e">
        <f>Table4[[#This Row],[Price]]/Table4[[#This Row],[FY Earnings Estimates]]</f>
        <v>#DIV/0!</v>
      </c>
      <c r="R43" s="13" t="e">
        <f>Table4[[#This Row],[Price]]/Table4[[#This Row],[FY Earnings Estimates (2-years)]]</f>
        <v>#DIV/0!</v>
      </c>
      <c r="T43" s="10"/>
      <c r="U43" s="1" t="s">
        <v>85</v>
      </c>
      <c r="V43" s="1" t="s">
        <v>76</v>
      </c>
      <c r="W43" s="2"/>
    </row>
    <row r="44" spans="2:23" ht="13.9" customHeight="1">
      <c r="B44" s="1" t="s">
        <v>59</v>
      </c>
      <c r="C44" s="1" t="s">
        <v>151</v>
      </c>
      <c r="D44" s="1">
        <v>44.06</v>
      </c>
      <c r="E44" s="3">
        <v>54.3</v>
      </c>
      <c r="F44" s="4">
        <f>Table4[[#This Row],[Price]]*Table4[[#This Row],[Share Count ]]</f>
        <v>2392.4580000000001</v>
      </c>
      <c r="G44" s="4"/>
      <c r="H44" s="4"/>
      <c r="I44" s="4">
        <f>Table4[[#This Row],[MC ($M)]]-Table4[[#This Row],[Cash ($M)]]+Table4[[#This Row],[Debt ($M)]]</f>
        <v>2392.4580000000001</v>
      </c>
      <c r="J44" s="2"/>
      <c r="K44" s="2"/>
      <c r="L44" s="7"/>
      <c r="N44" s="7"/>
      <c r="O44" s="12"/>
      <c r="P44" s="12"/>
      <c r="Q44" s="13" t="e">
        <f>Table4[[#This Row],[Price]]/Table4[[#This Row],[FY Earnings Estimates]]</f>
        <v>#DIV/0!</v>
      </c>
      <c r="R44" s="13" t="e">
        <f>Table4[[#This Row],[Price]]/Table4[[#This Row],[FY Earnings Estimates (2-years)]]</f>
        <v>#DIV/0!</v>
      </c>
      <c r="T44" s="10"/>
      <c r="U44" s="1" t="s">
        <v>85</v>
      </c>
      <c r="V44" s="1" t="s">
        <v>112</v>
      </c>
      <c r="W44" s="2"/>
    </row>
    <row r="45" spans="2:23" ht="13.9" customHeight="1">
      <c r="B45" s="1" t="s">
        <v>42</v>
      </c>
      <c r="C45" s="1" t="s">
        <v>155</v>
      </c>
      <c r="D45" s="1">
        <v>17.38</v>
      </c>
      <c r="E45" s="3">
        <v>108.5</v>
      </c>
      <c r="F45" s="4">
        <f>Table4[[#This Row],[Price]]*Table4[[#This Row],[Share Count ]]</f>
        <v>1885.7299999999998</v>
      </c>
      <c r="G45" s="4"/>
      <c r="H45" s="4"/>
      <c r="I45" s="4">
        <f>Table4[[#This Row],[MC ($M)]]-Table4[[#This Row],[Cash ($M)]]+Table4[[#This Row],[Debt ($M)]]</f>
        <v>1885.7299999999998</v>
      </c>
      <c r="J45" s="2"/>
      <c r="K45" s="2"/>
      <c r="L45" s="7"/>
      <c r="N45" s="7"/>
      <c r="O45" s="12"/>
      <c r="P45" s="12"/>
      <c r="Q45" s="13" t="e">
        <f>Table4[[#This Row],[Price]]/Table4[[#This Row],[FY Earnings Estimates]]</f>
        <v>#DIV/0!</v>
      </c>
      <c r="R45" s="13" t="e">
        <f>Table4[[#This Row],[Price]]/Table4[[#This Row],[FY Earnings Estimates (2-years)]]</f>
        <v>#DIV/0!</v>
      </c>
      <c r="T45" s="10"/>
      <c r="U45" s="1" t="s">
        <v>85</v>
      </c>
      <c r="V45" s="1" t="s">
        <v>117</v>
      </c>
      <c r="W45" s="2"/>
    </row>
    <row r="46" spans="2:23" ht="13.9" customHeight="1">
      <c r="B46" s="6" t="s">
        <v>193</v>
      </c>
      <c r="C46" s="1" t="s">
        <v>192</v>
      </c>
      <c r="D46" s="1">
        <v>78.7</v>
      </c>
      <c r="E46" s="3">
        <v>22.56</v>
      </c>
      <c r="F46" s="4">
        <f>Table4[[#This Row],[Price]]*Table4[[#This Row],[Share Count ]]</f>
        <v>1775.472</v>
      </c>
      <c r="G46" s="4">
        <f>25.61+274.112</f>
        <v>299.72200000000004</v>
      </c>
      <c r="H46" s="4">
        <v>0</v>
      </c>
      <c r="I46" s="4">
        <f>Table4[[#This Row],[Price]]*Table4[[#This Row],[Share Count ]]</f>
        <v>1775.472</v>
      </c>
      <c r="J46" s="2"/>
      <c r="K46" s="2"/>
      <c r="L46" s="7"/>
      <c r="M46" s="1">
        <v>0.88</v>
      </c>
      <c r="N46" s="7"/>
      <c r="O46" s="12">
        <v>2.15</v>
      </c>
      <c r="P46" s="12">
        <v>2.38</v>
      </c>
      <c r="Q46" s="13">
        <f>Table4[[#This Row],[Price]]/Table4[[#This Row],[FY Earnings Estimates]]</f>
        <v>36.604651162790702</v>
      </c>
      <c r="R46" s="13">
        <f>Table4[[#This Row],[Price]]/Table4[[#This Row],[FY Earnings Estimates (2-years)]]</f>
        <v>33.067226890756302</v>
      </c>
      <c r="S46" s="1">
        <v>651</v>
      </c>
      <c r="T46" s="10" t="s">
        <v>171</v>
      </c>
      <c r="U46" s="1" t="s">
        <v>85</v>
      </c>
      <c r="V46" s="1" t="s">
        <v>191</v>
      </c>
      <c r="W46" s="5" t="s">
        <v>195</v>
      </c>
    </row>
    <row r="47" spans="2:23" ht="13.9" customHeight="1">
      <c r="B47" s="6" t="s">
        <v>54</v>
      </c>
      <c r="C47" s="1" t="s">
        <v>137</v>
      </c>
      <c r="D47" s="1">
        <v>55.06</v>
      </c>
      <c r="E47" s="3">
        <v>30.97</v>
      </c>
      <c r="F47" s="4">
        <f>Table4[[#This Row],[Price]]*Table4[[#This Row],[Share Count ]]</f>
        <v>1705.2082</v>
      </c>
      <c r="G47" s="4">
        <v>0.35485</v>
      </c>
      <c r="H47" s="4">
        <f>0.714+891.443</f>
        <v>892.15700000000004</v>
      </c>
      <c r="I47" s="4">
        <f>Table4[[#This Row],[MC ($M)]]-Table4[[#This Row],[Cash ($M)]]+Table4[[#This Row],[Debt ($M)]]</f>
        <v>2597.01035</v>
      </c>
      <c r="J47" s="2"/>
      <c r="K47" s="2"/>
      <c r="L47" s="7"/>
      <c r="M47" s="1">
        <v>1.19</v>
      </c>
      <c r="N47" s="7"/>
      <c r="O47" s="12">
        <v>4.3899999999999997</v>
      </c>
      <c r="P47" s="12">
        <v>4.7300000000000004</v>
      </c>
      <c r="Q47" s="13">
        <f>Table4[[#This Row],[Price]]/Table4[[#This Row],[FY Earnings Estimates]]</f>
        <v>12.542141230068339</v>
      </c>
      <c r="R47" s="13">
        <f>Table4[[#This Row],[Price]]/Table4[[#This Row],[FY Earnings Estimates (2-years)]]</f>
        <v>11.640591966173361</v>
      </c>
      <c r="S47" s="18">
        <v>3900</v>
      </c>
      <c r="T47" s="10" t="s">
        <v>194</v>
      </c>
      <c r="U47" s="1" t="s">
        <v>85</v>
      </c>
      <c r="V47" s="1" t="s">
        <v>93</v>
      </c>
      <c r="W47" s="2"/>
    </row>
    <row r="48" spans="2:23" ht="13.9" customHeight="1">
      <c r="B48" s="1" t="s">
        <v>52</v>
      </c>
      <c r="C48" s="1" t="s">
        <v>133</v>
      </c>
      <c r="D48" s="1">
        <v>30.99</v>
      </c>
      <c r="E48" s="3">
        <v>48.9</v>
      </c>
      <c r="F48" s="4">
        <f>Table4[[#This Row],[Price]]*Table4[[#This Row],[Share Count ]]</f>
        <v>1515.4109999999998</v>
      </c>
      <c r="G48" s="4"/>
      <c r="H48" s="4"/>
      <c r="I48" s="4">
        <f>Table4[[#This Row],[MC ($M)]]-Table4[[#This Row],[Cash ($M)]]+Table4[[#This Row],[Debt ($M)]]</f>
        <v>1515.4109999999998</v>
      </c>
      <c r="J48" s="2"/>
      <c r="K48" s="2"/>
      <c r="L48" s="7"/>
      <c r="N48" s="7"/>
      <c r="O48" s="12"/>
      <c r="P48" s="12"/>
      <c r="Q48" s="13" t="e">
        <f>Table4[[#This Row],[Price]]/Table4[[#This Row],[FY Earnings Estimates]]</f>
        <v>#DIV/0!</v>
      </c>
      <c r="R48" s="13" t="e">
        <f>Table4[[#This Row],[Price]]/Table4[[#This Row],[FY Earnings Estimates (2-years)]]</f>
        <v>#DIV/0!</v>
      </c>
      <c r="T48" s="10"/>
      <c r="U48" s="1" t="s">
        <v>85</v>
      </c>
      <c r="V48" s="1" t="s">
        <v>88</v>
      </c>
      <c r="W48" s="2"/>
    </row>
    <row r="49" spans="2:23" ht="13.9" customHeight="1">
      <c r="B49" s="1" t="s">
        <v>67</v>
      </c>
      <c r="C49" s="1" t="s">
        <v>164</v>
      </c>
      <c r="D49" s="1">
        <v>22.75</v>
      </c>
      <c r="E49" s="3">
        <v>66.3</v>
      </c>
      <c r="F49" s="4">
        <f>Table4[[#This Row],[Price]]*Table4[[#This Row],[Share Count ]]</f>
        <v>1508.325</v>
      </c>
      <c r="G49" s="4"/>
      <c r="H49" s="4"/>
      <c r="I49" s="4">
        <f>Table4[[#This Row],[MC ($M)]]-Table4[[#This Row],[Cash ($M)]]+Table4[[#This Row],[Debt ($M)]]</f>
        <v>1508.325</v>
      </c>
      <c r="J49" s="2"/>
      <c r="K49" s="2"/>
      <c r="L49" s="7"/>
      <c r="N49" s="7"/>
      <c r="O49" s="12"/>
      <c r="P49" s="12"/>
      <c r="Q49" s="13" t="e">
        <f>Table4[[#This Row],[Price]]/Table4[[#This Row],[FY Earnings Estimates]]</f>
        <v>#DIV/0!</v>
      </c>
      <c r="R49" s="13" t="e">
        <f>Table4[[#This Row],[Price]]/Table4[[#This Row],[FY Earnings Estimates (2-years)]]</f>
        <v>#DIV/0!</v>
      </c>
      <c r="T49" s="10"/>
      <c r="U49" s="1" t="s">
        <v>85</v>
      </c>
      <c r="V49" s="1" t="s">
        <v>75</v>
      </c>
      <c r="W49" s="2"/>
    </row>
    <row r="50" spans="2:23" ht="13.9" customHeight="1">
      <c r="B50" s="1" t="s">
        <v>68</v>
      </c>
      <c r="C50" s="1" t="s">
        <v>167</v>
      </c>
      <c r="D50" s="2">
        <v>27.5</v>
      </c>
      <c r="E50" s="3">
        <v>46.55</v>
      </c>
      <c r="F50" s="4">
        <f>Table4[[#This Row],[Price]]*Table4[[#This Row],[Share Count ]]</f>
        <v>1280.125</v>
      </c>
      <c r="G50" s="4">
        <v>0</v>
      </c>
      <c r="H50" s="4">
        <v>0</v>
      </c>
      <c r="I50" s="4">
        <v>1180</v>
      </c>
      <c r="J50" s="2"/>
      <c r="K50" s="2"/>
      <c r="L50" s="7"/>
      <c r="N50" s="7"/>
      <c r="O50" s="12"/>
      <c r="P50" s="12"/>
      <c r="Q50" s="13" t="e">
        <f>Table4[[#This Row],[Price]]/Table4[[#This Row],[FY Earnings Estimates]]</f>
        <v>#DIV/0!</v>
      </c>
      <c r="R50" s="13" t="e">
        <f>Table4[[#This Row],[Price]]/Table4[[#This Row],[FY Earnings Estimates (2-years)]]</f>
        <v>#DIV/0!</v>
      </c>
      <c r="T50" s="10"/>
      <c r="U50" s="9" t="s">
        <v>179</v>
      </c>
      <c r="W50" s="5" t="s">
        <v>195</v>
      </c>
    </row>
    <row r="51" spans="2:23" ht="13.9" customHeight="1">
      <c r="B51" s="1" t="s">
        <v>30</v>
      </c>
      <c r="C51" s="1" t="s">
        <v>153</v>
      </c>
      <c r="D51" s="1">
        <v>7.33</v>
      </c>
      <c r="E51" s="3">
        <v>146.9</v>
      </c>
      <c r="F51" s="4">
        <f>Table4[[#This Row],[Price]]*Table4[[#This Row],[Share Count ]]</f>
        <v>1076.777</v>
      </c>
      <c r="G51" s="4"/>
      <c r="H51" s="4"/>
      <c r="I51" s="4">
        <f>Table4[[#This Row],[MC ($M)]]-Table4[[#This Row],[Cash ($M)]]+Table4[[#This Row],[Debt ($M)]]</f>
        <v>1076.777</v>
      </c>
      <c r="J51" s="2"/>
      <c r="K51" s="2"/>
      <c r="L51" s="7"/>
      <c r="N51" s="7"/>
      <c r="O51" s="12"/>
      <c r="P51" s="12"/>
      <c r="Q51" s="13" t="e">
        <f>Table4[[#This Row],[Price]]/Table4[[#This Row],[FY Earnings Estimates]]</f>
        <v>#DIV/0!</v>
      </c>
      <c r="R51" s="13" t="e">
        <f>Table4[[#This Row],[Price]]/Table4[[#This Row],[FY Earnings Estimates (2-years)]]</f>
        <v>#DIV/0!</v>
      </c>
      <c r="T51" s="10"/>
      <c r="U51" s="1" t="s">
        <v>114</v>
      </c>
      <c r="V51" s="1" t="s">
        <v>115</v>
      </c>
      <c r="W51" s="2"/>
    </row>
    <row r="52" spans="2:23" ht="13.9" customHeight="1">
      <c r="B52" s="1" t="s">
        <v>46</v>
      </c>
      <c r="C52" s="1" t="s">
        <v>142</v>
      </c>
      <c r="D52" s="1">
        <v>33.92</v>
      </c>
      <c r="E52" s="3">
        <v>28.8</v>
      </c>
      <c r="F52" s="4">
        <f>Table4[[#This Row],[Price]]*Table4[[#This Row],[Share Count ]]</f>
        <v>976.89600000000007</v>
      </c>
      <c r="G52" s="4"/>
      <c r="H52" s="4"/>
      <c r="I52" s="4">
        <f>Table4[[#This Row],[MC ($M)]]-Table4[[#This Row],[Cash ($M)]]+Table4[[#This Row],[Debt ($M)]]</f>
        <v>976.89600000000007</v>
      </c>
      <c r="J52" s="2"/>
      <c r="K52" s="2"/>
      <c r="L52" s="7"/>
      <c r="N52" s="7"/>
      <c r="O52" s="12"/>
      <c r="P52" s="12"/>
      <c r="Q52" s="13" t="e">
        <f>Table4[[#This Row],[Price]]/Table4[[#This Row],[FY Earnings Estimates]]</f>
        <v>#DIV/0!</v>
      </c>
      <c r="R52" s="13" t="e">
        <f>Table4[[#This Row],[Price]]/Table4[[#This Row],[FY Earnings Estimates (2-years)]]</f>
        <v>#DIV/0!</v>
      </c>
      <c r="T52" s="10"/>
      <c r="U52" s="1" t="s">
        <v>85</v>
      </c>
      <c r="V52" s="1" t="s">
        <v>98</v>
      </c>
      <c r="W52" s="2"/>
    </row>
    <row r="53" spans="2:23" ht="13.9" customHeight="1">
      <c r="B53" s="1" t="s">
        <v>61</v>
      </c>
      <c r="C53" s="1" t="s">
        <v>157</v>
      </c>
      <c r="D53" s="1">
        <v>15.3</v>
      </c>
      <c r="E53" s="3">
        <v>52.9</v>
      </c>
      <c r="F53" s="4">
        <f>Table4[[#This Row],[Price]]*Table4[[#This Row],[Share Count ]]</f>
        <v>809.37</v>
      </c>
      <c r="G53" s="4"/>
      <c r="H53" s="4"/>
      <c r="I53" s="4">
        <f>Table4[[#This Row],[MC ($M)]]-Table4[[#This Row],[Cash ($M)]]+Table4[[#This Row],[Debt ($M)]]</f>
        <v>809.37</v>
      </c>
      <c r="J53" s="2"/>
      <c r="K53" s="2"/>
      <c r="L53" s="7"/>
      <c r="N53" s="7"/>
      <c r="O53" s="12"/>
      <c r="P53" s="12"/>
      <c r="Q53" s="13" t="e">
        <f>Table4[[#This Row],[Price]]/Table4[[#This Row],[FY Earnings Estimates]]</f>
        <v>#DIV/0!</v>
      </c>
      <c r="R53" s="13" t="e">
        <f>Table4[[#This Row],[Price]]/Table4[[#This Row],[FY Earnings Estimates (2-years)]]</f>
        <v>#DIV/0!</v>
      </c>
      <c r="T53" s="10"/>
      <c r="U53" s="1" t="s">
        <v>85</v>
      </c>
      <c r="V53" s="1" t="s">
        <v>119</v>
      </c>
      <c r="W53" s="2"/>
    </row>
    <row r="54" spans="2:23" ht="13.9" customHeight="1">
      <c r="B54" s="1" t="s">
        <v>47</v>
      </c>
      <c r="C54" s="1" t="s">
        <v>141</v>
      </c>
      <c r="D54" s="1">
        <v>11.97</v>
      </c>
      <c r="E54" s="3">
        <v>57.7</v>
      </c>
      <c r="F54" s="4">
        <f>Table4[[#This Row],[Price]]*Table4[[#This Row],[Share Count ]]</f>
        <v>690.6690000000001</v>
      </c>
      <c r="G54" s="4"/>
      <c r="H54" s="4"/>
      <c r="I54" s="4">
        <f>Table4[[#This Row],[MC ($M)]]-Table4[[#This Row],[Cash ($M)]]+Table4[[#This Row],[Debt ($M)]]</f>
        <v>690.6690000000001</v>
      </c>
      <c r="J54" s="2"/>
      <c r="K54" s="2"/>
      <c r="L54" s="7"/>
      <c r="N54" s="7"/>
      <c r="O54" s="12"/>
      <c r="P54" s="12"/>
      <c r="Q54" s="13" t="e">
        <f>Table4[[#This Row],[Price]]/Table4[[#This Row],[FY Earnings Estimates]]</f>
        <v>#DIV/0!</v>
      </c>
      <c r="R54" s="13" t="e">
        <f>Table4[[#This Row],[Price]]/Table4[[#This Row],[FY Earnings Estimates (2-years)]]</f>
        <v>#DIV/0!</v>
      </c>
      <c r="T54" s="10"/>
      <c r="U54" s="1" t="s">
        <v>85</v>
      </c>
      <c r="V54" s="1" t="s">
        <v>97</v>
      </c>
      <c r="W54" s="2"/>
    </row>
    <row r="55" spans="2:23" ht="13.9" customHeight="1">
      <c r="B55" s="1" t="s">
        <v>60</v>
      </c>
      <c r="C55" s="1" t="s">
        <v>156</v>
      </c>
      <c r="D55" s="1">
        <v>12.11</v>
      </c>
      <c r="E55" s="3">
        <v>38.5</v>
      </c>
      <c r="F55" s="4">
        <f>Table4[[#This Row],[Price]]*Table4[[#This Row],[Share Count ]]</f>
        <v>466.23499999999996</v>
      </c>
      <c r="G55" s="4"/>
      <c r="H55" s="4"/>
      <c r="I55" s="4">
        <f>Table4[[#This Row],[MC ($M)]]-Table4[[#This Row],[Cash ($M)]]+Table4[[#This Row],[Debt ($M)]]</f>
        <v>466.23499999999996</v>
      </c>
      <c r="J55" s="2"/>
      <c r="K55" s="2"/>
      <c r="L55" s="7"/>
      <c r="N55" s="7"/>
      <c r="O55" s="12"/>
      <c r="P55" s="12"/>
      <c r="Q55" s="13" t="e">
        <f>Table4[[#This Row],[Price]]/Table4[[#This Row],[FY Earnings Estimates]]</f>
        <v>#DIV/0!</v>
      </c>
      <c r="R55" s="13" t="e">
        <f>Table4[[#This Row],[Price]]/Table4[[#This Row],[FY Earnings Estimates (2-years)]]</f>
        <v>#DIV/0!</v>
      </c>
      <c r="T55" s="10"/>
      <c r="U55" s="1" t="s">
        <v>85</v>
      </c>
      <c r="V55" s="1" t="s">
        <v>118</v>
      </c>
      <c r="W55" s="2"/>
    </row>
    <row r="56" spans="2:23" ht="13.9" customHeight="1">
      <c r="B56" s="1" t="s">
        <v>51</v>
      </c>
      <c r="C56" s="1" t="s">
        <v>80</v>
      </c>
      <c r="D56" s="1">
        <v>9.1</v>
      </c>
      <c r="E56" s="3">
        <v>40.4</v>
      </c>
      <c r="F56" s="4">
        <f>Table4[[#This Row],[Price]]*Table4[[#This Row],[Share Count ]]</f>
        <v>367.64</v>
      </c>
      <c r="G56" s="4"/>
      <c r="H56" s="4"/>
      <c r="I56" s="4">
        <f>Table4[[#This Row],[MC ($M)]]-Table4[[#This Row],[Cash ($M)]]+Table4[[#This Row],[Debt ($M)]]</f>
        <v>367.64</v>
      </c>
      <c r="J56" s="2"/>
      <c r="K56" s="2"/>
      <c r="L56" s="7"/>
      <c r="N56" s="7"/>
      <c r="O56" s="12"/>
      <c r="P56" s="12"/>
      <c r="Q56" s="13" t="e">
        <f>Table4[[#This Row],[Price]]/Table4[[#This Row],[FY Earnings Estimates]]</f>
        <v>#DIV/0!</v>
      </c>
      <c r="R56" s="13" t="e">
        <f>Table4[[#This Row],[Price]]/Table4[[#This Row],[FY Earnings Estimates (2-years)]]</f>
        <v>#DIV/0!</v>
      </c>
      <c r="T56" s="10"/>
      <c r="U56" s="1" t="s">
        <v>85</v>
      </c>
      <c r="V56" s="1" t="s">
        <v>87</v>
      </c>
      <c r="W56" s="5" t="s">
        <v>195</v>
      </c>
    </row>
    <row r="57" spans="2:23" ht="13.9" customHeight="1">
      <c r="B57" s="1" t="s">
        <v>64</v>
      </c>
      <c r="C57" s="1" t="s">
        <v>160</v>
      </c>
      <c r="D57" s="1">
        <v>4.42</v>
      </c>
      <c r="E57" s="3">
        <v>55.7</v>
      </c>
      <c r="F57" s="4">
        <f>Table4[[#This Row],[Price]]*Table4[[#This Row],[Share Count ]]</f>
        <v>246.19400000000002</v>
      </c>
      <c r="G57" s="4"/>
      <c r="H57" s="4"/>
      <c r="I57" s="4">
        <f>Table4[[#This Row],[MC ($M)]]-Table4[[#This Row],[Cash ($M)]]+Table4[[#This Row],[Debt ($M)]]</f>
        <v>246.19400000000002</v>
      </c>
      <c r="J57" s="2"/>
      <c r="K57" s="2"/>
      <c r="L57" s="7"/>
      <c r="N57" s="7"/>
      <c r="O57" s="12"/>
      <c r="P57" s="12"/>
      <c r="Q57" s="13" t="e">
        <f>Table4[[#This Row],[Price]]/Table4[[#This Row],[FY Earnings Estimates]]</f>
        <v>#DIV/0!</v>
      </c>
      <c r="R57" s="13" t="e">
        <f>Table4[[#This Row],[Price]]/Table4[[#This Row],[FY Earnings Estimates (2-years)]]</f>
        <v>#DIV/0!</v>
      </c>
      <c r="T57" s="10"/>
      <c r="U57" s="1" t="s">
        <v>85</v>
      </c>
      <c r="V57" s="1" t="s">
        <v>125</v>
      </c>
      <c r="W57" s="2"/>
    </row>
    <row r="58" spans="2:23" ht="13.9" customHeight="1">
      <c r="B58" s="1" t="s">
        <v>53</v>
      </c>
      <c r="C58" s="1" t="s">
        <v>136</v>
      </c>
      <c r="D58" s="1">
        <v>1.3</v>
      </c>
      <c r="E58" s="3">
        <v>185.8</v>
      </c>
      <c r="F58" s="4">
        <f>Table4[[#This Row],[Price]]*Table4[[#This Row],[Share Count ]]</f>
        <v>241.54000000000002</v>
      </c>
      <c r="G58" s="4"/>
      <c r="H58" s="4"/>
      <c r="I58" s="4">
        <f>Table4[[#This Row],[MC ($M)]]-Table4[[#This Row],[Cash ($M)]]+Table4[[#This Row],[Debt ($M)]]</f>
        <v>241.54000000000002</v>
      </c>
      <c r="J58" s="2"/>
      <c r="K58" s="2"/>
      <c r="L58" s="7"/>
      <c r="N58" s="7"/>
      <c r="O58" s="12"/>
      <c r="P58" s="12"/>
      <c r="Q58" s="13" t="e">
        <f>Table4[[#This Row],[Price]]/Table4[[#This Row],[FY Earnings Estimates]]</f>
        <v>#DIV/0!</v>
      </c>
      <c r="R58" s="13" t="e">
        <f>Table4[[#This Row],[Price]]/Table4[[#This Row],[FY Earnings Estimates (2-years)]]</f>
        <v>#DIV/0!</v>
      </c>
      <c r="T58" s="10"/>
      <c r="U58" s="1" t="s">
        <v>85</v>
      </c>
      <c r="V58" s="1" t="s">
        <v>92</v>
      </c>
    </row>
    <row r="59" spans="2:23" ht="13.9" customHeight="1">
      <c r="B59" s="1" t="s">
        <v>65</v>
      </c>
      <c r="C59" s="1" t="s">
        <v>162</v>
      </c>
      <c r="D59" s="1">
        <v>9.44</v>
      </c>
      <c r="E59" s="3">
        <v>23.9</v>
      </c>
      <c r="F59" s="4">
        <f>Table4[[#This Row],[Price]]*Table4[[#This Row],[Share Count ]]</f>
        <v>225.61599999999999</v>
      </c>
      <c r="G59" s="4"/>
      <c r="H59" s="4"/>
      <c r="I59" s="4">
        <f>Table4[[#This Row],[MC ($M)]]-Table4[[#This Row],[Cash ($M)]]+Table4[[#This Row],[Debt ($M)]]</f>
        <v>225.61599999999999</v>
      </c>
      <c r="J59" s="2"/>
      <c r="K59" s="2"/>
      <c r="L59" s="7"/>
      <c r="N59" s="7"/>
      <c r="O59" s="12"/>
      <c r="P59" s="12"/>
      <c r="Q59" s="13" t="e">
        <f>Table4[[#This Row],[Price]]/Table4[[#This Row],[FY Earnings Estimates]]</f>
        <v>#DIV/0!</v>
      </c>
      <c r="R59" s="13" t="e">
        <f>Table4[[#This Row],[Price]]/Table4[[#This Row],[FY Earnings Estimates (2-years)]]</f>
        <v>#DIV/0!</v>
      </c>
      <c r="T59" s="10"/>
      <c r="U59" s="1" t="s">
        <v>85</v>
      </c>
      <c r="V59" s="1" t="s">
        <v>127</v>
      </c>
      <c r="W59" s="2"/>
    </row>
    <row r="60" spans="2:23" ht="13.9" customHeight="1">
      <c r="E60" s="3"/>
      <c r="F60" s="4"/>
      <c r="G60" s="4"/>
      <c r="H60" s="4"/>
      <c r="I60" s="4"/>
      <c r="J60" s="2"/>
      <c r="K60" s="2"/>
      <c r="L60" s="7"/>
      <c r="N60" s="7"/>
      <c r="O60" s="12"/>
      <c r="P60" s="12"/>
      <c r="T60" s="10"/>
      <c r="W60" s="2"/>
    </row>
    <row r="61" spans="2:23" ht="13.9" customHeight="1">
      <c r="E61" s="3"/>
      <c r="F61" s="4"/>
      <c r="G61" s="4"/>
      <c r="H61" s="4"/>
      <c r="I61" s="4"/>
      <c r="J61" s="2"/>
      <c r="K61" s="2"/>
      <c r="L61" s="7"/>
      <c r="N61" s="7"/>
      <c r="O61" s="12"/>
      <c r="P61" s="12"/>
      <c r="T61" s="10"/>
      <c r="W61" s="2"/>
    </row>
    <row r="62" spans="2:23" ht="13.9" customHeight="1">
      <c r="D62" s="2"/>
      <c r="E62" s="3"/>
      <c r="F62" s="4"/>
      <c r="G62" s="4"/>
      <c r="H62" s="4"/>
      <c r="I62" s="4"/>
      <c r="J62" s="2"/>
      <c r="K62" s="2"/>
      <c r="L62" s="7"/>
      <c r="N62" s="7"/>
      <c r="T62" s="10"/>
    </row>
    <row r="63" spans="2:23" ht="13.9" customHeight="1">
      <c r="D63" s="2"/>
      <c r="E63" s="1"/>
      <c r="I63" s="2"/>
      <c r="J63" s="2"/>
      <c r="K63" s="2"/>
      <c r="L63" s="7"/>
      <c r="N63" s="7"/>
      <c r="T63" s="10"/>
    </row>
    <row r="64" spans="2:23" ht="13.9" customHeight="1">
      <c r="D64" s="2"/>
      <c r="E64" s="1"/>
      <c r="I64" s="2"/>
      <c r="J64" s="2"/>
      <c r="K64" s="2"/>
      <c r="L64" s="7"/>
      <c r="N64" s="7"/>
      <c r="T64" s="10"/>
    </row>
    <row r="65" spans="4:20" ht="13.9" customHeight="1">
      <c r="D65" s="2"/>
      <c r="E65" s="1"/>
      <c r="I65" s="2"/>
      <c r="J65" s="2"/>
      <c r="K65" s="2"/>
      <c r="L65" s="7"/>
      <c r="N65" s="7"/>
      <c r="T65" s="10"/>
    </row>
    <row r="66" spans="4:20" ht="13.9" customHeight="1">
      <c r="D66" s="2"/>
      <c r="E66" s="1"/>
      <c r="I66" s="2"/>
      <c r="J66" s="2"/>
      <c r="K66" s="2"/>
      <c r="L66" s="7"/>
      <c r="N66" s="7"/>
      <c r="T66" s="10"/>
    </row>
    <row r="67" spans="4:20" ht="13.9" customHeight="1">
      <c r="D67" s="2"/>
      <c r="E67" s="1"/>
      <c r="I67" s="2"/>
      <c r="J67" s="2"/>
      <c r="K67" s="2"/>
      <c r="L67" s="7"/>
      <c r="N67" s="7"/>
      <c r="T67" s="10"/>
    </row>
    <row r="68" spans="4:20" ht="13.9" customHeight="1">
      <c r="D68" s="2"/>
      <c r="E68" s="1"/>
      <c r="I68" s="2"/>
      <c r="J68" s="2"/>
      <c r="K68" s="2"/>
      <c r="L68" s="7"/>
      <c r="N68" s="7"/>
      <c r="T68" s="10"/>
    </row>
    <row r="69" spans="4:20" ht="13.9" customHeight="1">
      <c r="D69" s="2"/>
      <c r="E69" s="1"/>
      <c r="I69" s="2"/>
      <c r="J69" s="2"/>
      <c r="K69" s="2"/>
      <c r="L69" s="7"/>
      <c r="N69" s="7"/>
      <c r="T69" s="10"/>
    </row>
    <row r="70" spans="4:20" ht="13.9" customHeight="1">
      <c r="D70" s="2"/>
      <c r="E70" s="1"/>
      <c r="I70" s="2"/>
      <c r="J70" s="2"/>
      <c r="K70" s="2"/>
      <c r="L70" s="7"/>
      <c r="N70" s="7"/>
      <c r="T70" s="10"/>
    </row>
    <row r="71" spans="4:20" ht="13.9" customHeight="1">
      <c r="D71" s="2"/>
      <c r="E71" s="1"/>
      <c r="I71" s="2"/>
      <c r="J71" s="2"/>
      <c r="K71" s="2"/>
      <c r="L71" s="7"/>
      <c r="N71" s="7"/>
      <c r="T71" s="10"/>
    </row>
    <row r="72" spans="4:20" ht="13.9" customHeight="1">
      <c r="D72" s="2"/>
      <c r="E72" s="1"/>
      <c r="I72" s="2"/>
      <c r="J72" s="2"/>
      <c r="K72" s="2"/>
      <c r="L72" s="7"/>
      <c r="N72" s="7"/>
      <c r="T72" s="10"/>
    </row>
  </sheetData>
  <phoneticPr fontId="6" type="noConversion"/>
  <hyperlinks>
    <hyperlink ref="B7" r:id="rId1" xr:uid="{426F8A59-D0D3-4B06-A2F3-2FB148EA51C0}"/>
    <hyperlink ref="B37" r:id="rId2" xr:uid="{2D379C01-EB9C-4FC6-AE11-39C65785E045}"/>
    <hyperlink ref="B3" r:id="rId3" xr:uid="{BD385BD7-588E-48EF-B301-D5FB5D51DCEB}"/>
    <hyperlink ref="B10" r:id="rId4" xr:uid="{D832F864-5E10-448D-B5E6-A41747F24422}"/>
    <hyperlink ref="B39" r:id="rId5" xr:uid="{00568186-9937-41F0-A573-81F07A883F35}"/>
    <hyperlink ref="B31" r:id="rId6" xr:uid="{005180B3-25D4-4F2E-A649-03376394116A}"/>
    <hyperlink ref="B8" r:id="rId7" xr:uid="{B49CD5A4-3D0B-4623-BA9B-93008A472BB3}"/>
    <hyperlink ref="A1" r:id="rId8" xr:uid="{14843B6A-D4ED-40CD-92DC-B778E9D772AF}"/>
    <hyperlink ref="B4" r:id="rId9" xr:uid="{23F477A8-940C-46FE-A25D-976F6B17DD02}"/>
    <hyperlink ref="B13" r:id="rId10" xr:uid="{38E70E01-0597-4952-9867-18D192DA9C54}"/>
    <hyperlink ref="B46" r:id="rId11" xr:uid="{9C77A58C-9158-42FD-B668-10E6EF96443A}"/>
    <hyperlink ref="B47" r:id="rId12" xr:uid="{1F425790-89FE-4AA0-AB7A-5EFD8C3CED33}"/>
    <hyperlink ref="B24" r:id="rId13" xr:uid="{BF852F1D-304C-4230-82DC-C6786B6DA415}"/>
    <hyperlink ref="B23" r:id="rId14" xr:uid="{010BEE70-37BC-42D7-9E9B-4E02BCD3B475}"/>
    <hyperlink ref="B25" r:id="rId15" xr:uid="{439B3A6C-7B0C-4471-8D6A-FDA8B07D1783}"/>
    <hyperlink ref="B12" r:id="rId16" xr:uid="{D8AA4EA0-DDCB-4730-8E82-0963ABB4BEE7}"/>
    <hyperlink ref="B22" r:id="rId17" xr:uid="{FAD18B57-5BC9-4E9F-825B-5996C227DF7F}"/>
    <hyperlink ref="B26" r:id="rId18" xr:uid="{CA84541E-7421-47DE-B081-587FF4477B48}"/>
    <hyperlink ref="B14" r:id="rId19" xr:uid="{A0E07B2D-8641-47EF-A293-8759FE82D9C5}"/>
    <hyperlink ref="B6" r:id="rId20" xr:uid="{BEEC5C98-5FDE-4FC8-965F-3E188368E7A1}"/>
  </hyperlinks>
  <pageMargins left="0.7" right="0.7" top="0.75" bottom="0.75" header="0.3" footer="0.3"/>
  <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2"/>
  <sheetViews>
    <sheetView workbookViewId="0">
      <selection activeCell="B5" sqref="B5"/>
    </sheetView>
  </sheetViews>
  <sheetFormatPr defaultColWidth="9.140625" defaultRowHeight="14.25"/>
  <cols>
    <col min="1" max="1" width="3.140625" style="1" customWidth="1"/>
    <col min="2" max="16384" width="9.140625" style="1"/>
  </cols>
  <sheetData>
    <row r="2" spans="2:3" ht="15">
      <c r="B2" s="8" t="s">
        <v>187</v>
      </c>
    </row>
    <row r="3" spans="2:3">
      <c r="C3" s="1" t="s">
        <v>181</v>
      </c>
    </row>
    <row r="5" spans="2:3" ht="15">
      <c r="B5" s="8" t="s">
        <v>188</v>
      </c>
    </row>
    <row r="6" spans="2:3">
      <c r="C6" s="1" t="s">
        <v>182</v>
      </c>
    </row>
    <row r="8" spans="2:3" ht="15">
      <c r="B8" s="8" t="s">
        <v>183</v>
      </c>
    </row>
    <row r="9" spans="2:3">
      <c r="C9" s="1" t="s">
        <v>184</v>
      </c>
    </row>
    <row r="11" spans="2:3" ht="15">
      <c r="B11" s="8" t="s">
        <v>186</v>
      </c>
    </row>
    <row r="12" spans="2:3">
      <c r="C12" s="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2025-05-12T08:03:23Z</dcterms:modified>
</cp:coreProperties>
</file>