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90CC74C5-6584-425E-B0E0-D9D7A6EB67FF}" xr6:coauthVersionLast="47" xr6:coauthVersionMax="47" xr10:uidLastSave="{00000000-0000-0000-0000-000000000000}"/>
  <bookViews>
    <workbookView xWindow="43095" yWindow="0" windowWidth="14610" windowHeight="15585"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4" i="2" l="1"/>
  <c r="DG32" i="2" l="1"/>
  <c r="DF32" i="2"/>
  <c r="DE32" i="2"/>
  <c r="DD32" i="2"/>
  <c r="DC32" i="2"/>
  <c r="DB32" i="2"/>
  <c r="DA32" i="2"/>
  <c r="CZ32" i="2"/>
  <c r="CY32" i="2"/>
  <c r="CX32" i="2"/>
  <c r="CY26" i="2"/>
  <c r="CX26" i="2"/>
  <c r="CV26" i="2"/>
  <c r="CU26" i="2"/>
  <c r="CT26" i="2"/>
  <c r="CS26" i="2"/>
  <c r="CW26" i="2"/>
  <c r="CV32" i="2"/>
  <c r="CU32" i="2"/>
  <c r="CT32" i="2"/>
  <c r="CS32" i="2"/>
  <c r="CW32" i="2"/>
  <c r="BP32" i="2"/>
  <c r="BO32" i="2"/>
  <c r="BN32" i="2"/>
  <c r="BM32" i="2"/>
  <c r="BL32" i="2"/>
  <c r="BK32" i="2"/>
  <c r="BJ32" i="2"/>
  <c r="BI32" i="2"/>
  <c r="BH32" i="2"/>
  <c r="BG32" i="2"/>
  <c r="BF32" i="2"/>
  <c r="BE32" i="2"/>
  <c r="BD32" i="2"/>
  <c r="BC32" i="2"/>
  <c r="BB32" i="2"/>
  <c r="BA32" i="2"/>
  <c r="BQ32" i="2"/>
  <c r="BP26" i="2"/>
  <c r="BO26" i="2"/>
  <c r="BN26" i="2"/>
  <c r="BM26" i="2"/>
  <c r="BL26" i="2"/>
  <c r="BK26" i="2"/>
  <c r="BJ26" i="2"/>
  <c r="BI26" i="2"/>
  <c r="BH26" i="2"/>
  <c r="BG26" i="2"/>
  <c r="BF26" i="2"/>
  <c r="BE26" i="2"/>
  <c r="BD26" i="2"/>
  <c r="BC26" i="2"/>
  <c r="BB26" i="2"/>
  <c r="BA26" i="2"/>
  <c r="BQ26" i="2"/>
  <c r="CZ76" i="2"/>
  <c r="CZ79"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DA15" i="2" l="1"/>
  <c r="DB15" i="2" l="1"/>
  <c r="DC15" i="2" l="1"/>
  <c r="DD15" i="2" l="1"/>
  <c r="DE15" i="2" l="1"/>
  <c r="DG15" i="2" l="1"/>
  <c r="DF15" i="2"/>
  <c r="CR106" i="2" l="1"/>
  <c r="CQ106" i="2"/>
  <c r="CP106" i="2"/>
  <c r="CO106" i="2"/>
  <c r="CN106" i="2"/>
  <c r="CN107" i="2" s="1"/>
  <c r="CR105" i="2"/>
  <c r="CQ105" i="2"/>
  <c r="CP105" i="2"/>
  <c r="CO105" i="2"/>
  <c r="CN105"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7" i="2"/>
  <c r="CQ107" i="2"/>
  <c r="CO107" i="2"/>
  <c r="CR107" i="2"/>
  <c r="CR37" i="2"/>
  <c r="CR15" i="2"/>
  <c r="CR9" i="2"/>
  <c r="CV31" i="2"/>
  <c r="CU31" i="2"/>
  <c r="CV30" i="2"/>
  <c r="CU30" i="2"/>
  <c r="CV29" i="2"/>
  <c r="CU29" i="2"/>
  <c r="CV28" i="2"/>
  <c r="CU28" i="2"/>
  <c r="CV27" i="2"/>
  <c r="CU27" i="2"/>
  <c r="CW31" i="2"/>
  <c r="CW30" i="2"/>
  <c r="CW29" i="2"/>
  <c r="CW28" i="2"/>
  <c r="CW27" i="2"/>
  <c r="CV15" i="2"/>
  <c r="CU15" i="2"/>
  <c r="CT15" i="2"/>
  <c r="CW15" i="2"/>
  <c r="CT91" i="2"/>
  <c r="CS91" i="2"/>
  <c r="CR91" i="2"/>
  <c r="CT89" i="2"/>
  <c r="CS89" i="2"/>
  <c r="CR89" i="2"/>
  <c r="CT88" i="2"/>
  <c r="CS88" i="2"/>
  <c r="CR88" i="2"/>
  <c r="CT87" i="2"/>
  <c r="CS87" i="2"/>
  <c r="CR87" i="2"/>
  <c r="CT86" i="2"/>
  <c r="CS86" i="2"/>
  <c r="CR86" i="2"/>
  <c r="CR85" i="2"/>
  <c r="CT84" i="2"/>
  <c r="CS84" i="2"/>
  <c r="CR84" i="2"/>
  <c r="CT83" i="2"/>
  <c r="CS83" i="2"/>
  <c r="CR83" i="2"/>
  <c r="CT82" i="2"/>
  <c r="CS82" i="2"/>
  <c r="CR82" i="2"/>
  <c r="CT81" i="2"/>
  <c r="CS81" i="2"/>
  <c r="CR81" i="2"/>
  <c r="CT78" i="2"/>
  <c r="CS78" i="2"/>
  <c r="CR78" i="2"/>
  <c r="CT77" i="2"/>
  <c r="CS77" i="2"/>
  <c r="CR77" i="2"/>
  <c r="CT76" i="2"/>
  <c r="CS76" i="2"/>
  <c r="CR76" i="2"/>
  <c r="CT75" i="2"/>
  <c r="CS75" i="2"/>
  <c r="CR75" i="2"/>
  <c r="CT74" i="2"/>
  <c r="CS74" i="2"/>
  <c r="CR74" i="2"/>
  <c r="CT73" i="2"/>
  <c r="CS73" i="2"/>
  <c r="CR73" i="2"/>
  <c r="CR98" i="2" s="1"/>
  <c r="CT72" i="2"/>
  <c r="CS72" i="2"/>
  <c r="CR72" i="2"/>
  <c r="CT71" i="2"/>
  <c r="CS71" i="2"/>
  <c r="CR71" i="2"/>
  <c r="CT70" i="2"/>
  <c r="CS70" i="2"/>
  <c r="CR70" i="2"/>
  <c r="CT69" i="2"/>
  <c r="CS69" i="2"/>
  <c r="CR69" i="2"/>
  <c r="CR68" i="2"/>
  <c r="CS68" i="2"/>
  <c r="CT68" i="2"/>
  <c r="CU91" i="2"/>
  <c r="CU89" i="2"/>
  <c r="CU88" i="2"/>
  <c r="CU87" i="2"/>
  <c r="CU86" i="2"/>
  <c r="CU84" i="2"/>
  <c r="CU83" i="2"/>
  <c r="CU82" i="2"/>
  <c r="CU81" i="2"/>
  <c r="CU78" i="2"/>
  <c r="CU77" i="2"/>
  <c r="CU76" i="2"/>
  <c r="CU75" i="2"/>
  <c r="CU74" i="2"/>
  <c r="CU73" i="2"/>
  <c r="CU72" i="2"/>
  <c r="CU71" i="2"/>
  <c r="CU70" i="2"/>
  <c r="CU69" i="2"/>
  <c r="CU68" i="2"/>
  <c r="CV91" i="2"/>
  <c r="CV89" i="2"/>
  <c r="CV88" i="2"/>
  <c r="CV87" i="2"/>
  <c r="CV86" i="2"/>
  <c r="CV85" i="2"/>
  <c r="CV84" i="2"/>
  <c r="CV83" i="2"/>
  <c r="CV82" i="2"/>
  <c r="CV81" i="2"/>
  <c r="CV78" i="2"/>
  <c r="CV77" i="2"/>
  <c r="CV76" i="2"/>
  <c r="CV75" i="2"/>
  <c r="CV74" i="2"/>
  <c r="CV73" i="2"/>
  <c r="CV72" i="2"/>
  <c r="CV71" i="2"/>
  <c r="CV70" i="2"/>
  <c r="CV69" i="2"/>
  <c r="CV68" i="2"/>
  <c r="CS58" i="2"/>
  <c r="CS106" i="2" s="1"/>
  <c r="CT58" i="2"/>
  <c r="CT106" i="2" s="1"/>
  <c r="CU58" i="2"/>
  <c r="CU106" i="2" s="1"/>
  <c r="CV58" i="2"/>
  <c r="CV106" i="2" s="1"/>
  <c r="CW58" i="2"/>
  <c r="CW106" i="2" s="1"/>
  <c r="CW91" i="2"/>
  <c r="CW89" i="2"/>
  <c r="CW88" i="2"/>
  <c r="CW87" i="2"/>
  <c r="CW86" i="2"/>
  <c r="CW85" i="2"/>
  <c r="CW84" i="2"/>
  <c r="CW83" i="2"/>
  <c r="CW82" i="2"/>
  <c r="CW81" i="2"/>
  <c r="CW78" i="2"/>
  <c r="CW77" i="2"/>
  <c r="CW76" i="2"/>
  <c r="CW75" i="2"/>
  <c r="CW74" i="2"/>
  <c r="CW73" i="2"/>
  <c r="CW72" i="2"/>
  <c r="CW71" i="2"/>
  <c r="CW70" i="2"/>
  <c r="CW69" i="2"/>
  <c r="CW68" i="2"/>
  <c r="CX54" i="2" s="1"/>
  <c r="BH14" i="2"/>
  <c r="BH13" i="2"/>
  <c r="BH8" i="2"/>
  <c r="BH5" i="2"/>
  <c r="BH4" i="2"/>
  <c r="BH6" i="2"/>
  <c r="CU6" i="2" s="1"/>
  <c r="BH7" i="2"/>
  <c r="CU7" i="2" s="1"/>
  <c r="BH10" i="2"/>
  <c r="BH11" i="2"/>
  <c r="BH12" i="2"/>
  <c r="AX104" i="2"/>
  <c r="AY104" i="2" s="1"/>
  <c r="AZ104" i="2" s="1"/>
  <c r="AX103" i="2"/>
  <c r="BB104" i="2"/>
  <c r="BC104" i="2" s="1"/>
  <c r="BD104" i="2" s="1"/>
  <c r="BB103" i="2"/>
  <c r="BF104" i="2"/>
  <c r="BF103" i="2"/>
  <c r="BG103" i="2" s="1"/>
  <c r="BJ104" i="2"/>
  <c r="BK104" i="2" s="1"/>
  <c r="BJ103" i="2"/>
  <c r="BN104" i="2"/>
  <c r="BN103" i="2"/>
  <c r="BP106" i="2"/>
  <c r="BO106" i="2"/>
  <c r="BN106" i="2"/>
  <c r="BM106" i="2"/>
  <c r="BL106" i="2"/>
  <c r="BK106" i="2"/>
  <c r="BJ106" i="2"/>
  <c r="BI106" i="2"/>
  <c r="BH106" i="2"/>
  <c r="BG106" i="2"/>
  <c r="BF106" i="2"/>
  <c r="BE106" i="2"/>
  <c r="BD106" i="2"/>
  <c r="BC106" i="2"/>
  <c r="BB106" i="2"/>
  <c r="BA106" i="2"/>
  <c r="AZ106" i="2"/>
  <c r="AY106" i="2"/>
  <c r="AX106" i="2"/>
  <c r="AW106" i="2"/>
  <c r="BQ106" i="2"/>
  <c r="BM105" i="2"/>
  <c r="BI105" i="2"/>
  <c r="BE105" i="2"/>
  <c r="BA105" i="2"/>
  <c r="AW105" i="2"/>
  <c r="BQ105"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8" i="2"/>
  <c r="AV96" i="2"/>
  <c r="AV95" i="2"/>
  <c r="AV94" i="2"/>
  <c r="AV90" i="2"/>
  <c r="AV92" i="2" s="1"/>
  <c r="AV79" i="2"/>
  <c r="AV97" i="2" s="1"/>
  <c r="BQ107" i="2" l="1"/>
  <c r="BA107" i="2"/>
  <c r="CR16" i="2"/>
  <c r="CR18" i="2" s="1"/>
  <c r="BE107" i="2"/>
  <c r="CW79" i="2"/>
  <c r="AW107" i="2"/>
  <c r="CU9" i="2"/>
  <c r="CU16" i="2" s="1"/>
  <c r="CS104" i="2"/>
  <c r="CW95" i="2"/>
  <c r="CW96" i="2"/>
  <c r="CR95" i="2"/>
  <c r="CR90" i="2"/>
  <c r="CR92" i="2" s="1"/>
  <c r="CV79" i="2"/>
  <c r="CR96" i="2"/>
  <c r="AX105" i="2"/>
  <c r="AX107" i="2" s="1"/>
  <c r="BH9" i="2"/>
  <c r="CS79" i="2"/>
  <c r="CR94" i="2"/>
  <c r="BC103" i="2"/>
  <c r="BD103" i="2" s="1"/>
  <c r="CW94" i="2"/>
  <c r="CV94" i="2"/>
  <c r="AY103" i="2"/>
  <c r="AZ103" i="2" s="1"/>
  <c r="CT104" i="2"/>
  <c r="CV95" i="2"/>
  <c r="CV96" i="2"/>
  <c r="BO103" i="2"/>
  <c r="BP103" i="2" s="1"/>
  <c r="BI107" i="2"/>
  <c r="BO104" i="2"/>
  <c r="BP104" i="2" s="1"/>
  <c r="BG104" i="2"/>
  <c r="BH104" i="2" s="1"/>
  <c r="CU79" i="2"/>
  <c r="BM107" i="2"/>
  <c r="CR79" i="2"/>
  <c r="CR97" i="2" s="1"/>
  <c r="CT79" i="2"/>
  <c r="BF105" i="2"/>
  <c r="BF107" i="2" s="1"/>
  <c r="BB105" i="2"/>
  <c r="BB107" i="2" s="1"/>
  <c r="BL104" i="2"/>
  <c r="CV104" i="2" s="1"/>
  <c r="BJ105" i="2"/>
  <c r="BJ107" i="2" s="1"/>
  <c r="BK103" i="2"/>
  <c r="BL103" i="2" s="1"/>
  <c r="BN105" i="2"/>
  <c r="BN107" i="2" s="1"/>
  <c r="BO98" i="2"/>
  <c r="BN98" i="2"/>
  <c r="BM98" i="2"/>
  <c r="BK98" i="2"/>
  <c r="BJ98" i="2"/>
  <c r="BI98" i="2"/>
  <c r="BG98" i="2"/>
  <c r="BF98" i="2"/>
  <c r="BE98" i="2"/>
  <c r="BC98" i="2"/>
  <c r="BB98" i="2"/>
  <c r="BA98" i="2"/>
  <c r="AY98" i="2"/>
  <c r="AX98" i="2"/>
  <c r="AW98" i="2"/>
  <c r="BP96" i="2"/>
  <c r="BO96" i="2"/>
  <c r="BN96" i="2"/>
  <c r="BM96" i="2"/>
  <c r="BL96" i="2"/>
  <c r="AY96" i="2"/>
  <c r="AX96" i="2"/>
  <c r="AW96" i="2"/>
  <c r="BP95" i="2"/>
  <c r="BO95" i="2"/>
  <c r="BN95" i="2"/>
  <c r="BM95" i="2"/>
  <c r="BL95" i="2"/>
  <c r="AY95" i="2"/>
  <c r="AX95" i="2"/>
  <c r="AW95" i="2"/>
  <c r="BP94" i="2"/>
  <c r="BO94" i="2"/>
  <c r="BN94" i="2"/>
  <c r="BM94" i="2"/>
  <c r="BL94" i="2"/>
  <c r="AY94" i="2"/>
  <c r="AX94" i="2"/>
  <c r="AW94" i="2"/>
  <c r="BQ98" i="2"/>
  <c r="BQ96" i="2"/>
  <c r="BQ94" i="2"/>
  <c r="BQ95" i="2"/>
  <c r="BA85" i="2"/>
  <c r="BA95" i="2" s="1"/>
  <c r="BB85" i="2"/>
  <c r="BB95" i="2" s="1"/>
  <c r="AZ85" i="2"/>
  <c r="AZ96" i="2" s="1"/>
  <c r="CR19" i="2" l="1"/>
  <c r="CU19" i="2"/>
  <c r="BG105" i="2"/>
  <c r="BG107" i="2" s="1"/>
  <c r="BC105" i="2"/>
  <c r="BC107" i="2" s="1"/>
  <c r="AZ94" i="2"/>
  <c r="AY105" i="2"/>
  <c r="AY107" i="2" s="1"/>
  <c r="CT103" i="2"/>
  <c r="CT105" i="2" s="1"/>
  <c r="CT107" i="2" s="1"/>
  <c r="CU18" i="2"/>
  <c r="BO105" i="2"/>
  <c r="BO107" i="2" s="1"/>
  <c r="CS103" i="2"/>
  <c r="CS105" i="2" s="1"/>
  <c r="CS107" i="2" s="1"/>
  <c r="CW103" i="2"/>
  <c r="CW104" i="2"/>
  <c r="CU104" i="2"/>
  <c r="AZ95" i="2"/>
  <c r="CS85" i="2"/>
  <c r="CV103" i="2"/>
  <c r="CV105" i="2" s="1"/>
  <c r="CV107" i="2" s="1"/>
  <c r="BK105" i="2"/>
  <c r="BK107" i="2" s="1"/>
  <c r="BA94" i="2"/>
  <c r="BA96" i="2"/>
  <c r="BB94" i="2"/>
  <c r="BB96" i="2"/>
  <c r="AZ105" i="2"/>
  <c r="AZ107" i="2" s="1"/>
  <c r="BL105" i="2"/>
  <c r="BL107" i="2" s="1"/>
  <c r="BD105" i="2"/>
  <c r="BD107" i="2" s="1"/>
  <c r="BH103" i="2"/>
  <c r="BP105" i="2"/>
  <c r="BP107" i="2" s="1"/>
  <c r="CW105" i="2" l="1"/>
  <c r="CW107" i="2" s="1"/>
  <c r="BH105" i="2"/>
  <c r="BH107" i="2" s="1"/>
  <c r="CU103" i="2"/>
  <c r="CU105" i="2" s="1"/>
  <c r="CU107" i="2" s="1"/>
  <c r="CS96" i="2"/>
  <c r="CS94" i="2"/>
  <c r="CS95" i="2"/>
  <c r="BC85" i="2" l="1"/>
  <c r="BC90" i="2" s="1"/>
  <c r="BC92" i="2" s="1"/>
  <c r="BE85" i="2"/>
  <c r="BF85" i="2"/>
  <c r="BG85" i="2"/>
  <c r="BD85" i="2"/>
  <c r="CT85" i="2" s="1"/>
  <c r="BI85" i="2"/>
  <c r="BJ85" i="2"/>
  <c r="BK85" i="2"/>
  <c r="BK90" i="2" s="1"/>
  <c r="BK92" i="2" s="1"/>
  <c r="BH85" i="2"/>
  <c r="CU85" i="2" s="1"/>
  <c r="BP90" i="2"/>
  <c r="BO90" i="2"/>
  <c r="BO92" i="2" s="1"/>
  <c r="BN90" i="2"/>
  <c r="BN92" i="2" s="1"/>
  <c r="BM90" i="2"/>
  <c r="BM92" i="2" s="1"/>
  <c r="BL90" i="2"/>
  <c r="BB90" i="2"/>
  <c r="BB92" i="2" s="1"/>
  <c r="BA90" i="2"/>
  <c r="BA92" i="2" s="1"/>
  <c r="AZ90" i="2"/>
  <c r="AY90" i="2"/>
  <c r="AY92" i="2" s="1"/>
  <c r="AX90" i="2"/>
  <c r="AX92" i="2" s="1"/>
  <c r="AW90" i="2"/>
  <c r="AW92" i="2" s="1"/>
  <c r="BQ90" i="2"/>
  <c r="BQ92" i="2" s="1"/>
  <c r="BL79" i="2"/>
  <c r="BP79" i="2"/>
  <c r="BO79" i="2"/>
  <c r="BN79" i="2"/>
  <c r="BM79" i="2"/>
  <c r="BK79" i="2"/>
  <c r="BJ79" i="2"/>
  <c r="BI79" i="2"/>
  <c r="BH79" i="2"/>
  <c r="BG79" i="2"/>
  <c r="BF79" i="2"/>
  <c r="BE79" i="2"/>
  <c r="BD79" i="2"/>
  <c r="BC79" i="2"/>
  <c r="BB79" i="2"/>
  <c r="BA79" i="2"/>
  <c r="AZ79" i="2"/>
  <c r="AY79" i="2"/>
  <c r="AX79" i="2"/>
  <c r="AW79" i="2"/>
  <c r="BQ79" i="2"/>
  <c r="AZ14" i="2"/>
  <c r="CS14" i="2" s="1"/>
  <c r="CS31" i="2" l="1"/>
  <c r="CT31" i="2"/>
  <c r="CT96" i="2"/>
  <c r="CT94" i="2"/>
  <c r="CT95" i="2"/>
  <c r="AZ92" i="2"/>
  <c r="CS90" i="2"/>
  <c r="CS92" i="2" s="1"/>
  <c r="BP92" i="2"/>
  <c r="CW90" i="2"/>
  <c r="CW92" i="2" s="1"/>
  <c r="CU96" i="2"/>
  <c r="CU95" i="2"/>
  <c r="CU94" i="2"/>
  <c r="BL92" i="2"/>
  <c r="CV90" i="2"/>
  <c r="CV92" i="2" s="1"/>
  <c r="BJ90" i="2"/>
  <c r="BJ92" i="2" s="1"/>
  <c r="BJ95" i="2"/>
  <c r="BJ96" i="2"/>
  <c r="BJ94" i="2"/>
  <c r="BD96" i="2"/>
  <c r="BD94" i="2"/>
  <c r="BD95" i="2"/>
  <c r="BG96" i="2"/>
  <c r="BG94" i="2"/>
  <c r="BG95" i="2"/>
  <c r="BF96" i="2"/>
  <c r="BF94" i="2"/>
  <c r="BF95" i="2"/>
  <c r="BD90" i="2"/>
  <c r="BE90" i="2"/>
  <c r="BE92" i="2" s="1"/>
  <c r="BE96" i="2"/>
  <c r="BE94" i="2"/>
  <c r="BE95" i="2"/>
  <c r="BF90" i="2"/>
  <c r="BF92" i="2" s="1"/>
  <c r="BH90" i="2"/>
  <c r="BH96" i="2"/>
  <c r="BH95" i="2"/>
  <c r="BH94" i="2"/>
  <c r="BC95" i="2"/>
  <c r="BC96" i="2"/>
  <c r="BC94" i="2"/>
  <c r="BI90" i="2"/>
  <c r="BI92" i="2" s="1"/>
  <c r="BI95" i="2"/>
  <c r="BI96" i="2"/>
  <c r="BI94" i="2"/>
  <c r="BG90" i="2"/>
  <c r="BG92" i="2" s="1"/>
  <c r="BK95" i="2"/>
  <c r="BK96" i="2"/>
  <c r="BK94" i="2"/>
  <c r="BH92" i="2" l="1"/>
  <c r="CU90" i="2"/>
  <c r="CU92" i="2" s="1"/>
  <c r="BD92" i="2"/>
  <c r="CT90" i="2"/>
  <c r="CT92"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AZ8" i="2"/>
  <c r="CS8" i="2" s="1"/>
  <c r="CS25" i="2" s="1"/>
  <c r="AZ7" i="2"/>
  <c r="CS7" i="2" s="1"/>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B9" i="2"/>
  <c r="BF9" i="2"/>
  <c r="BC9" i="2"/>
  <c r="BG9" i="2"/>
  <c r="BH36" i="2"/>
  <c r="CU36" i="2" s="1"/>
  <c r="BH35" i="2"/>
  <c r="CU35" i="2" s="1"/>
  <c r="BL36" i="2"/>
  <c r="CV36" i="2" s="1"/>
  <c r="BL35" i="2"/>
  <c r="CV35" i="2" s="1"/>
  <c r="BL12" i="2"/>
  <c r="BL14" i="2"/>
  <c r="BL13" i="2"/>
  <c r="BL11" i="2"/>
  <c r="BL10" i="2"/>
  <c r="BL8" i="2"/>
  <c r="CV8" i="2" s="1"/>
  <c r="CV25" i="2" s="1"/>
  <c r="BL7" i="2"/>
  <c r="CV7" i="2" s="1"/>
  <c r="CV24" i="2" s="1"/>
  <c r="BL6" i="2"/>
  <c r="CV6" i="2" s="1"/>
  <c r="CV23" i="2" s="1"/>
  <c r="BL5" i="2"/>
  <c r="CV5" i="2" s="1"/>
  <c r="CV22" i="2" s="1"/>
  <c r="BL4" i="2"/>
  <c r="CV4" i="2" s="1"/>
  <c r="BP36" i="2"/>
  <c r="CW36" i="2" s="1"/>
  <c r="BP35" i="2"/>
  <c r="CW35" i="2" s="1"/>
  <c r="BP14" i="2"/>
  <c r="BP13" i="2"/>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K9" i="2"/>
  <c r="BJ9" i="2"/>
  <c r="BI9" i="2"/>
  <c r="AY9" i="2"/>
  <c r="AX9" i="2"/>
  <c r="AW9" i="2"/>
  <c r="BO15" i="2"/>
  <c r="BN15" i="2"/>
  <c r="BM15" i="2"/>
  <c r="BK15" i="2"/>
  <c r="BJ15" i="2"/>
  <c r="BI15" i="2"/>
  <c r="BG15" i="2"/>
  <c r="BF15" i="2"/>
  <c r="BE15" i="2"/>
  <c r="BC15" i="2"/>
  <c r="BB15" i="2"/>
  <c r="BA15" i="2"/>
  <c r="AY15" i="2"/>
  <c r="AX15" i="2"/>
  <c r="AW15" i="2"/>
  <c r="BQ15" i="2"/>
  <c r="BQ9" i="2"/>
  <c r="G53" i="2" l="1"/>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1" i="2"/>
  <c r="CU25" i="2"/>
  <c r="CT25" i="2"/>
  <c r="CS21" i="2"/>
  <c r="CS9" i="2"/>
  <c r="CT30" i="2"/>
  <c r="CS30" i="2"/>
  <c r="CW21" i="2"/>
  <c r="CW9" i="2"/>
  <c r="CS42" i="2"/>
  <c r="CS37" i="2"/>
  <c r="CS44" i="2" s="1"/>
  <c r="CV42" i="2"/>
  <c r="CV37" i="2"/>
  <c r="CS43" i="2"/>
  <c r="CT21" i="2"/>
  <c r="CT9" i="2"/>
  <c r="CU21" i="2"/>
  <c r="CV43" i="2"/>
  <c r="BD98" i="2"/>
  <c r="CT47" i="2"/>
  <c r="CT98" i="2" s="1"/>
  <c r="BH98" i="2"/>
  <c r="CU47" i="2"/>
  <c r="CU98" i="2" s="1"/>
  <c r="BL98" i="2"/>
  <c r="CV47" i="2"/>
  <c r="CV98" i="2" s="1"/>
  <c r="AZ98" i="2"/>
  <c r="CS47" i="2"/>
  <c r="CS98" i="2" s="1"/>
  <c r="L53" i="2"/>
  <c r="L64" i="2" s="1"/>
  <c r="BP98" i="2"/>
  <c r="CW47" i="2"/>
  <c r="CW98" i="2" s="1"/>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R64"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CM53" i="2" s="1"/>
  <c r="CM64" i="2" s="1"/>
  <c r="H53" i="2"/>
  <c r="AN53" i="2"/>
  <c r="AB55" i="2"/>
  <c r="P61" i="2"/>
  <c r="X61" i="2"/>
  <c r="AF61" i="2"/>
  <c r="AV61" i="2"/>
  <c r="R64" i="2"/>
  <c r="Z64" i="2"/>
  <c r="AH64" i="2"/>
  <c r="Z61" i="2"/>
  <c r="O55" i="2"/>
  <c r="C61" i="2"/>
  <c r="S61" i="2"/>
  <c r="AI61" i="2"/>
  <c r="R61" i="2"/>
  <c r="AH61" i="2"/>
  <c r="BH23" i="2"/>
  <c r="BD9" i="2"/>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H42" i="2"/>
  <c r="BH15" i="2"/>
  <c r="BL28" i="2"/>
  <c r="BL31" i="2"/>
  <c r="BP31" i="2"/>
  <c r="BP28" i="2"/>
  <c r="BP24" i="2"/>
  <c r="BP25" i="2"/>
  <c r="BL25" i="2"/>
  <c r="BP43" i="2"/>
  <c r="BH30" i="2"/>
  <c r="BH25" i="2"/>
  <c r="BP23" i="2"/>
  <c r="BP42" i="2"/>
  <c r="BL43" i="2"/>
  <c r="BL37" i="2"/>
  <c r="BL39" i="2" s="1"/>
  <c r="BL15" i="2"/>
  <c r="BP29" i="2"/>
  <c r="BP30" i="2"/>
  <c r="BL23" i="2"/>
  <c r="BP21" i="2"/>
  <c r="BL9" i="2"/>
  <c r="BM44" i="2"/>
  <c r="BI39" i="2"/>
  <c r="BI40" i="2"/>
  <c r="BJ39" i="2"/>
  <c r="BJ40" i="2"/>
  <c r="BN40" i="2"/>
  <c r="BN44" i="2"/>
  <c r="BM40" i="2"/>
  <c r="BM39" i="2"/>
  <c r="BO40" i="2"/>
  <c r="BO44" i="2"/>
  <c r="BJ16" i="2"/>
  <c r="BB16" i="2"/>
  <c r="AX16" i="2"/>
  <c r="AX46" i="2" s="1"/>
  <c r="AW16" i="2"/>
  <c r="BE16" i="2"/>
  <c r="BQ16" i="2"/>
  <c r="BN16" i="2"/>
  <c r="AY16" i="2"/>
  <c r="BG16" i="2"/>
  <c r="BG33" i="2" s="1"/>
  <c r="BO16" i="2"/>
  <c r="BF16" i="2"/>
  <c r="BF33" i="2" s="1"/>
  <c r="BM16" i="2"/>
  <c r="BI16" i="2"/>
  <c r="BA16" i="2"/>
  <c r="BC16" i="2"/>
  <c r="BK16" i="2"/>
  <c r="CJ53" i="2" l="1"/>
  <c r="CJ64" i="2" s="1"/>
  <c r="W55" i="2"/>
  <c r="G55" i="2"/>
  <c r="BA33" i="2"/>
  <c r="BE33" i="2"/>
  <c r="BC46" i="2"/>
  <c r="BC97" i="2" s="1"/>
  <c r="BC33" i="2"/>
  <c r="BN33" i="2"/>
  <c r="Q65" i="2"/>
  <c r="BQ33" i="2"/>
  <c r="BQ46" i="2"/>
  <c r="BQ97" i="2" s="1"/>
  <c r="BK33" i="2"/>
  <c r="BM33" i="2"/>
  <c r="BJ46" i="2"/>
  <c r="BJ97" i="2" s="1"/>
  <c r="BJ33" i="2"/>
  <c r="CX9" i="2"/>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7" i="2"/>
  <c r="C57" i="2"/>
  <c r="Y66" i="2"/>
  <c r="R66" i="2"/>
  <c r="AM55" i="2"/>
  <c r="AM65" i="2" s="1"/>
  <c r="AX44" i="2"/>
  <c r="AX97" i="2"/>
  <c r="AO57" i="2"/>
  <c r="AL55" i="2"/>
  <c r="AL57" i="2" s="1"/>
  <c r="N55" i="2"/>
  <c r="N57" i="2" s="1"/>
  <c r="AD55" i="2"/>
  <c r="F57" i="2"/>
  <c r="AT55" i="2"/>
  <c r="AT65" i="2" s="1"/>
  <c r="BD16" i="2"/>
  <c r="E64" i="2"/>
  <c r="E55" i="2"/>
  <c r="AC64" i="2"/>
  <c r="AC55" i="2"/>
  <c r="AW19" i="2"/>
  <c r="AW46" i="2"/>
  <c r="BB19" i="2"/>
  <c r="BB46" i="2"/>
  <c r="BB97" i="2" s="1"/>
  <c r="BG19" i="2"/>
  <c r="BG46" i="2"/>
  <c r="BG97" i="2" s="1"/>
  <c r="M64" i="2"/>
  <c r="M55" i="2"/>
  <c r="BF19" i="2"/>
  <c r="BF46" i="2"/>
  <c r="BF97" i="2" s="1"/>
  <c r="AK64" i="2"/>
  <c r="AK55" i="2"/>
  <c r="BK19" i="2"/>
  <c r="BK46" i="2"/>
  <c r="BK97" i="2" s="1"/>
  <c r="AY19" i="2"/>
  <c r="AY46" i="2"/>
  <c r="AQ64" i="2"/>
  <c r="AQ55" i="2"/>
  <c r="CQ55" i="2" s="1"/>
  <c r="CQ65" i="2" s="1"/>
  <c r="BM19" i="2"/>
  <c r="BM46" i="2"/>
  <c r="BN19" i="2"/>
  <c r="BN46" i="2"/>
  <c r="BN97" i="2" s="1"/>
  <c r="BE19" i="2"/>
  <c r="BE46" i="2"/>
  <c r="BE97" i="2" s="1"/>
  <c r="AX63" i="2"/>
  <c r="AX48" i="2"/>
  <c r="AX62" i="2"/>
  <c r="BO19" i="2"/>
  <c r="BO46" i="2"/>
  <c r="BO97" i="2" s="1"/>
  <c r="BC48" i="2"/>
  <c r="BA19" i="2"/>
  <c r="BA46" i="2"/>
  <c r="BQ19" i="2"/>
  <c r="AS64" i="2"/>
  <c r="AS55" i="2"/>
  <c r="W57" i="2"/>
  <c r="W6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BJ62" i="2" l="1"/>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Y16" i="2" s="1"/>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7" i="2"/>
  <c r="F66" i="2"/>
  <c r="CS46" i="2"/>
  <c r="AO66" i="2"/>
  <c r="AU66" i="2"/>
  <c r="W66" i="2"/>
  <c r="U65" i="2"/>
  <c r="BD18" i="2"/>
  <c r="AF66" i="2"/>
  <c r="AB66" i="2"/>
  <c r="BA97" i="2"/>
  <c r="N66" i="2"/>
  <c r="C66" i="2"/>
  <c r="S66" i="2"/>
  <c r="T66" i="2"/>
  <c r="G66" i="2"/>
  <c r="AL66" i="2"/>
  <c r="AY44" i="2"/>
  <c r="AY97" i="2"/>
  <c r="AW44" i="2"/>
  <c r="AW97" i="2"/>
  <c r="N65" i="2"/>
  <c r="AZ44" i="2"/>
  <c r="AZ97" i="2"/>
  <c r="AV66" i="2"/>
  <c r="AV99" i="2"/>
  <c r="AV100" i="2"/>
  <c r="BD46" i="2"/>
  <c r="BD97"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7" i="2" s="1"/>
  <c r="AZ19" i="2"/>
  <c r="AS65" i="2"/>
  <c r="AS57" i="2"/>
  <c r="CR57" i="2" s="1"/>
  <c r="BN62" i="2"/>
  <c r="BN48" i="2"/>
  <c r="BN63" i="2"/>
  <c r="AY48" i="2"/>
  <c r="AY62" i="2"/>
  <c r="AY63" i="2"/>
  <c r="M65" i="2"/>
  <c r="M57" i="2"/>
  <c r="CJ57" i="2" s="1"/>
  <c r="CJ66" i="2" s="1"/>
  <c r="AW63" i="2"/>
  <c r="AW48" i="2"/>
  <c r="AW62" i="2"/>
  <c r="BC53" i="2"/>
  <c r="BC61" i="2"/>
  <c r="BE48" i="2"/>
  <c r="BE63" i="2"/>
  <c r="BE62" i="2"/>
  <c r="BD63" i="2"/>
  <c r="BB63" i="2"/>
  <c r="BB48" i="2"/>
  <c r="BB62" i="2"/>
  <c r="BH19" i="2"/>
  <c r="BH46" i="2"/>
  <c r="BP18" i="2"/>
  <c r="BP46" i="2"/>
  <c r="BP97" i="2" s="1"/>
  <c r="BO62" i="2"/>
  <c r="BO48" i="2"/>
  <c r="BO63" i="2"/>
  <c r="AN65" i="2"/>
  <c r="AN57" i="2"/>
  <c r="D65" i="2"/>
  <c r="D57" i="2"/>
  <c r="K57" i="2"/>
  <c r="K65" i="2"/>
  <c r="J57" i="2"/>
  <c r="J65" i="2"/>
  <c r="AA57" i="2"/>
  <c r="CM57" i="2" s="1"/>
  <c r="CM66" i="2" s="1"/>
  <c r="AA65" i="2"/>
  <c r="BP19" i="2"/>
  <c r="H57" i="2"/>
  <c r="H65" i="2"/>
  <c r="AZ18" i="2"/>
  <c r="BH18" i="2"/>
  <c r="BL18" i="2"/>
  <c r="CZ16" i="2" l="1"/>
  <c r="CZ26" i="2"/>
  <c r="DA16" i="2"/>
  <c r="DA26" i="2"/>
  <c r="BI53" i="2"/>
  <c r="U66" i="2"/>
  <c r="CH57" i="2"/>
  <c r="CH66" i="2" s="1"/>
  <c r="CI57" i="2"/>
  <c r="CI66" i="2" s="1"/>
  <c r="CY46" i="2"/>
  <c r="CY50" i="2" s="1"/>
  <c r="CY18" i="2"/>
  <c r="CY19" i="2"/>
  <c r="DA18" i="2"/>
  <c r="DA19" i="2"/>
  <c r="CZ46" i="2"/>
  <c r="CZ50" i="2" s="1"/>
  <c r="CZ18" i="2"/>
  <c r="CZ19" i="2"/>
  <c r="DC4" i="2"/>
  <c r="DB9" i="2"/>
  <c r="CZ33" i="2"/>
  <c r="DA46" i="2"/>
  <c r="DA50" i="2" s="1"/>
  <c r="DA33" i="2"/>
  <c r="CQ59" i="2"/>
  <c r="CQ102" i="2"/>
  <c r="CQ66" i="2"/>
  <c r="CP57" i="2"/>
  <c r="CN59" i="2"/>
  <c r="CN102" i="2"/>
  <c r="CN66" i="2"/>
  <c r="CR100" i="2"/>
  <c r="CR66" i="2"/>
  <c r="CR59" i="2"/>
  <c r="CR99" i="2"/>
  <c r="CR102" i="2"/>
  <c r="CO59" i="2"/>
  <c r="CO102" i="2"/>
  <c r="CO66" i="2"/>
  <c r="CW46" i="2"/>
  <c r="CW97" i="2" s="1"/>
  <c r="M66" i="2"/>
  <c r="AS66" i="2"/>
  <c r="AN66" i="2"/>
  <c r="AA66" i="2"/>
  <c r="J66" i="2"/>
  <c r="AK66" i="2"/>
  <c r="CV46" i="2"/>
  <c r="H66" i="2"/>
  <c r="CS97" i="2"/>
  <c r="CS62" i="2"/>
  <c r="CS63" i="2"/>
  <c r="BD62" i="2"/>
  <c r="E66" i="2"/>
  <c r="AC66" i="2"/>
  <c r="AD66" i="2"/>
  <c r="D66" i="2"/>
  <c r="AQ66" i="2"/>
  <c r="CT46" i="2"/>
  <c r="K66" i="2"/>
  <c r="BD48" i="2"/>
  <c r="BD61" i="2" s="1"/>
  <c r="BH97"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BI55" i="2"/>
  <c r="AX55" i="2"/>
  <c r="AX64" i="2"/>
  <c r="AW61" i="2"/>
  <c r="AW53" i="2"/>
  <c r="BN61" i="2"/>
  <c r="BN53" i="2"/>
  <c r="BQ53" i="2"/>
  <c r="BQ61" i="2"/>
  <c r="BE53" i="2"/>
  <c r="BE61" i="2"/>
  <c r="AZ63" i="2"/>
  <c r="AZ48" i="2"/>
  <c r="CS48" i="2" s="1"/>
  <c r="AZ62" i="2"/>
  <c r="BH63" i="2"/>
  <c r="BH48" i="2"/>
  <c r="CU48" i="2" s="1"/>
  <c r="BH62" i="2"/>
  <c r="DB16" i="2" l="1"/>
  <c r="DB26" i="2"/>
  <c r="CW62" i="2"/>
  <c r="CW63" i="2"/>
  <c r="CY49" i="2"/>
  <c r="CY47" i="2"/>
  <c r="CY48" i="2" s="1"/>
  <c r="CV61" i="2"/>
  <c r="DB18" i="2"/>
  <c r="DB19" i="2"/>
  <c r="CZ49" i="2"/>
  <c r="CZ47" i="2"/>
  <c r="CZ48" i="2" s="1"/>
  <c r="DB46" i="2"/>
  <c r="DB50" i="2" s="1"/>
  <c r="DB33" i="2"/>
  <c r="DC9" i="2"/>
  <c r="DD4" i="2"/>
  <c r="DA49" i="2"/>
  <c r="DA47" i="2"/>
  <c r="DA48" i="2" s="1"/>
  <c r="CP59" i="2"/>
  <c r="CP102" i="2"/>
  <c r="CP66" i="2"/>
  <c r="CS61" i="2"/>
  <c r="CU61" i="2"/>
  <c r="BD53" i="2"/>
  <c r="BD55" i="2" s="1"/>
  <c r="CT97" i="2"/>
  <c r="CT62" i="2"/>
  <c r="CT63" i="2"/>
  <c r="CT48" i="2"/>
  <c r="CT61" i="2" s="1"/>
  <c r="CU97" i="2"/>
  <c r="CU62" i="2"/>
  <c r="CU63" i="2"/>
  <c r="CV97" i="2"/>
  <c r="CV63" i="2"/>
  <c r="CV62" i="2"/>
  <c r="BO55" i="2"/>
  <c r="BO57" i="2" s="1"/>
  <c r="BO102" i="2" s="1"/>
  <c r="BO64" i="2"/>
  <c r="BQ64" i="2"/>
  <c r="BQ55" i="2"/>
  <c r="BL61" i="2"/>
  <c r="BL53" i="2"/>
  <c r="CV53" i="2" s="1"/>
  <c r="CV64" i="2" s="1"/>
  <c r="BA55" i="2"/>
  <c r="BA64" i="2"/>
  <c r="AY55" i="2"/>
  <c r="AY64" i="2"/>
  <c r="BH53" i="2"/>
  <c r="CU53" i="2" s="1"/>
  <c r="CU64" i="2" s="1"/>
  <c r="BH61" i="2"/>
  <c r="BE55" i="2"/>
  <c r="BE64" i="2"/>
  <c r="AX57" i="2"/>
  <c r="AX102" i="2" s="1"/>
  <c r="AX65" i="2"/>
  <c r="BN55" i="2"/>
  <c r="BN64" i="2"/>
  <c r="BM55" i="2"/>
  <c r="BM64" i="2"/>
  <c r="BK64" i="2"/>
  <c r="BK55" i="2"/>
  <c r="BC65" i="2"/>
  <c r="BC57" i="2"/>
  <c r="BC102" i="2" s="1"/>
  <c r="BB55" i="2"/>
  <c r="BB64" i="2"/>
  <c r="BI65" i="2"/>
  <c r="BI57" i="2"/>
  <c r="AZ61" i="2"/>
  <c r="AZ53" i="2"/>
  <c r="CS53" i="2" s="1"/>
  <c r="CS64" i="2" s="1"/>
  <c r="AW55" i="2"/>
  <c r="AW64" i="2"/>
  <c r="BG64" i="2"/>
  <c r="BG55" i="2"/>
  <c r="BF55" i="2"/>
  <c r="BF64" i="2"/>
  <c r="BJ65" i="2"/>
  <c r="BJ57" i="2"/>
  <c r="BJ102" i="2" s="1"/>
  <c r="CY53" i="2" l="1"/>
  <c r="DC16" i="2"/>
  <c r="DC26" i="2"/>
  <c r="CZ53" i="2"/>
  <c r="CZ64" i="2" s="1"/>
  <c r="DA53" i="2"/>
  <c r="DC18" i="2"/>
  <c r="DC19" i="2"/>
  <c r="CY64" i="2"/>
  <c r="DD9" i="2"/>
  <c r="DE4" i="2"/>
  <c r="DC46" i="2"/>
  <c r="DC50" i="2" s="1"/>
  <c r="DC33" i="2"/>
  <c r="DB47" i="2"/>
  <c r="DB48" i="2" s="1"/>
  <c r="DB49" i="2"/>
  <c r="BD64" i="2"/>
  <c r="CT53" i="2"/>
  <c r="CT64" i="2" s="1"/>
  <c r="CT55" i="2"/>
  <c r="CT65" i="2" s="1"/>
  <c r="BI102" i="2"/>
  <c r="AX100" i="2"/>
  <c r="AX99" i="2"/>
  <c r="BC100" i="2"/>
  <c r="BC99" i="2"/>
  <c r="BI100" i="2"/>
  <c r="BI99" i="2"/>
  <c r="BJ100" i="2"/>
  <c r="BJ99" i="2"/>
  <c r="BO99" i="2"/>
  <c r="BO100" i="2"/>
  <c r="AX66" i="2"/>
  <c r="AX59" i="2"/>
  <c r="BC66" i="2"/>
  <c r="BC59" i="2"/>
  <c r="BI66" i="2"/>
  <c r="BI59" i="2"/>
  <c r="BJ66" i="2"/>
  <c r="BJ59" i="2"/>
  <c r="AZ55" i="2"/>
  <c r="CS55" i="2" s="1"/>
  <c r="CS65" i="2" s="1"/>
  <c r="AZ64" i="2"/>
  <c r="BK65" i="2"/>
  <c r="BK57" i="2"/>
  <c r="BK102" i="2" s="1"/>
  <c r="BF65" i="2"/>
  <c r="BF57" i="2"/>
  <c r="BF102" i="2" s="1"/>
  <c r="BA65" i="2"/>
  <c r="BA57" i="2"/>
  <c r="BL64" i="2"/>
  <c r="BL55" i="2"/>
  <c r="CV55" i="2" s="1"/>
  <c r="CV65" i="2" s="1"/>
  <c r="BQ65" i="2"/>
  <c r="BQ57" i="2"/>
  <c r="BQ102" i="2" s="1"/>
  <c r="BM65" i="2"/>
  <c r="BM57" i="2"/>
  <c r="BD65" i="2"/>
  <c r="BD57" i="2"/>
  <c r="BD102" i="2" s="1"/>
  <c r="BB65" i="2"/>
  <c r="BB57" i="2"/>
  <c r="BB102" i="2" s="1"/>
  <c r="BN57" i="2"/>
  <c r="BN102" i="2" s="1"/>
  <c r="BN65" i="2"/>
  <c r="BH55" i="2"/>
  <c r="CU55" i="2" s="1"/>
  <c r="CU65" i="2" s="1"/>
  <c r="BH64" i="2"/>
  <c r="BG57" i="2"/>
  <c r="BG102" i="2" s="1"/>
  <c r="BG65" i="2"/>
  <c r="BE65" i="2"/>
  <c r="BE57" i="2"/>
  <c r="BE102" i="2" s="1"/>
  <c r="AW65" i="2"/>
  <c r="AW57" i="2"/>
  <c r="AY57" i="2"/>
  <c r="AY102" i="2" s="1"/>
  <c r="AY65" i="2"/>
  <c r="BO65" i="2"/>
  <c r="DD16" i="2" l="1"/>
  <c r="DD26" i="2"/>
  <c r="DB53" i="2"/>
  <c r="DD18" i="2"/>
  <c r="DD19" i="2"/>
  <c r="DA64" i="2"/>
  <c r="DC47" i="2"/>
  <c r="DC48" i="2" s="1"/>
  <c r="DC49" i="2"/>
  <c r="DE9" i="2"/>
  <c r="DF4" i="2"/>
  <c r="DD33" i="2"/>
  <c r="DD46" i="2"/>
  <c r="DD50" i="2" s="1"/>
  <c r="BA102" i="2"/>
  <c r="CT102" i="2" s="1"/>
  <c r="CT57" i="2"/>
  <c r="BM102" i="2"/>
  <c r="AW102" i="2"/>
  <c r="BM99" i="2"/>
  <c r="BM100" i="2"/>
  <c r="BK100" i="2"/>
  <c r="BK99" i="2"/>
  <c r="BF99" i="2"/>
  <c r="BF100" i="2"/>
  <c r="BN99" i="2"/>
  <c r="BN100" i="2"/>
  <c r="BB100" i="2"/>
  <c r="BB99" i="2"/>
  <c r="BQ100" i="2"/>
  <c r="BQ99" i="2"/>
  <c r="BE99" i="2"/>
  <c r="BE100" i="2"/>
  <c r="AY99" i="2"/>
  <c r="AY100" i="2"/>
  <c r="BD99" i="2"/>
  <c r="BD100" i="2"/>
  <c r="AW100" i="2"/>
  <c r="AW99" i="2"/>
  <c r="BA100" i="2"/>
  <c r="BA99" i="2"/>
  <c r="BG99" i="2"/>
  <c r="BG100"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2" i="2" s="1"/>
  <c r="AZ65" i="2"/>
  <c r="BH57" i="2"/>
  <c r="BH65" i="2"/>
  <c r="BL57" i="2"/>
  <c r="BL102" i="2" s="1"/>
  <c r="CV102" i="2" s="1"/>
  <c r="BL65" i="2"/>
  <c r="DE16" i="2" l="1"/>
  <c r="DE33" i="2" s="1"/>
  <c r="DE26" i="2"/>
  <c r="DC53" i="2"/>
  <c r="DE18" i="2"/>
  <c r="DE19" i="2"/>
  <c r="DB64" i="2"/>
  <c r="DF9" i="2"/>
  <c r="DG4" i="2"/>
  <c r="DG9" i="2" s="1"/>
  <c r="DE46" i="2"/>
  <c r="DE50" i="2" s="1"/>
  <c r="DD49" i="2"/>
  <c r="DD47" i="2"/>
  <c r="DD48" i="2" s="1"/>
  <c r="CV57" i="2"/>
  <c r="CV66" i="2" s="1"/>
  <c r="CT59" i="2"/>
  <c r="CT100" i="2"/>
  <c r="CT99" i="2"/>
  <c r="CT66" i="2"/>
  <c r="CS57" i="2"/>
  <c r="CS102" i="2"/>
  <c r="BH102" i="2"/>
  <c r="CU102" i="2" s="1"/>
  <c r="CU57" i="2"/>
  <c r="BH99" i="2"/>
  <c r="BH100" i="2"/>
  <c r="AZ99" i="2"/>
  <c r="AZ100" i="2"/>
  <c r="BL99" i="2"/>
  <c r="BL100" i="2"/>
  <c r="AZ66" i="2"/>
  <c r="AZ59" i="2"/>
  <c r="CS59" i="2" s="1"/>
  <c r="BH66" i="2"/>
  <c r="BH59" i="2"/>
  <c r="CU59" i="2" s="1"/>
  <c r="BL66" i="2"/>
  <c r="BL59" i="2"/>
  <c r="CV59" i="2" s="1"/>
  <c r="DF16" i="2" l="1"/>
  <c r="DF26" i="2"/>
  <c r="DG16" i="2"/>
  <c r="DG19" i="2" s="1"/>
  <c r="DG26" i="2"/>
  <c r="DD53" i="2"/>
  <c r="DC64" i="2"/>
  <c r="CV99" i="2"/>
  <c r="DE49" i="2"/>
  <c r="DE47" i="2"/>
  <c r="DE48" i="2" s="1"/>
  <c r="CV100" i="2"/>
  <c r="DF33" i="2"/>
  <c r="CU99" i="2"/>
  <c r="CU66" i="2"/>
  <c r="CU100" i="2"/>
  <c r="CS100" i="2"/>
  <c r="CS66" i="2"/>
  <c r="CS99" i="2"/>
  <c r="DG18" i="2" l="1"/>
  <c r="DG46" i="2"/>
  <c r="DG50" i="2" s="1"/>
  <c r="DG33" i="2"/>
  <c r="DF46" i="2"/>
  <c r="DF50" i="2" s="1"/>
  <c r="DF19" i="2"/>
  <c r="DF18" i="2"/>
  <c r="DE53" i="2"/>
  <c r="DD64" i="2"/>
  <c r="DG49" i="2"/>
  <c r="DG47" i="2"/>
  <c r="DG48" i="2" s="1"/>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F47" i="2" l="1"/>
  <c r="DF48" i="2" s="1"/>
  <c r="DF49" i="2"/>
  <c r="DG53" i="2"/>
  <c r="DG64" i="2" s="1"/>
  <c r="DE64" i="2"/>
  <c r="K192" i="3"/>
  <c r="K195" i="3"/>
  <c r="P205" i="3" s="1"/>
  <c r="K196" i="3"/>
  <c r="K197" i="3" s="1"/>
  <c r="K194" i="3"/>
  <c r="K193" i="3"/>
  <c r="DF53" i="2" l="1"/>
  <c r="DF64" i="2" s="1"/>
  <c r="P217" i="3"/>
  <c r="P208" i="3"/>
  <c r="M284" i="3"/>
  <c r="M276" i="3"/>
  <c r="M268" i="3"/>
  <c r="M260" i="3"/>
  <c r="M252" i="3"/>
  <c r="M244" i="3"/>
  <c r="M236" i="3"/>
  <c r="M228" i="3"/>
  <c r="M220" i="3"/>
  <c r="M212" i="3"/>
  <c r="M204" i="3"/>
  <c r="M263" i="3"/>
  <c r="M255" i="3"/>
  <c r="M231" i="3"/>
  <c r="M215" i="3"/>
  <c r="M229" i="3"/>
  <c r="M205" i="3"/>
  <c r="P216" i="3"/>
  <c r="P209" i="3"/>
  <c r="M283" i="3"/>
  <c r="M275" i="3"/>
  <c r="M267" i="3"/>
  <c r="M259" i="3"/>
  <c r="M251" i="3"/>
  <c r="M243" i="3"/>
  <c r="M235" i="3"/>
  <c r="M227" i="3"/>
  <c r="M219" i="3"/>
  <c r="M211" i="3"/>
  <c r="M279" i="3"/>
  <c r="P215" i="3"/>
  <c r="P207" i="3"/>
  <c r="M282" i="3"/>
  <c r="M274" i="3"/>
  <c r="M266" i="3"/>
  <c r="M258" i="3"/>
  <c r="M250" i="3"/>
  <c r="M242" i="3"/>
  <c r="M234" i="3"/>
  <c r="M226" i="3"/>
  <c r="M218" i="3"/>
  <c r="M210" i="3"/>
  <c r="M271" i="3"/>
  <c r="M247" i="3"/>
  <c r="M223" i="3"/>
  <c r="M207" i="3"/>
  <c r="M237" i="3"/>
  <c r="P214" i="3"/>
  <c r="P206" i="3"/>
  <c r="M281" i="3"/>
  <c r="M273" i="3"/>
  <c r="M265" i="3"/>
  <c r="M257" i="3"/>
  <c r="M249" i="3"/>
  <c r="M241" i="3"/>
  <c r="M233" i="3"/>
  <c r="M225" i="3"/>
  <c r="M217" i="3"/>
  <c r="M209" i="3"/>
  <c r="P213" i="3"/>
  <c r="P204" i="3"/>
  <c r="M280" i="3"/>
  <c r="M272" i="3"/>
  <c r="M264" i="3"/>
  <c r="M256" i="3"/>
  <c r="M248" i="3"/>
  <c r="M240" i="3"/>
  <c r="M232" i="3"/>
  <c r="M224" i="3"/>
  <c r="M216" i="3"/>
  <c r="M208" i="3"/>
  <c r="P212" i="3"/>
  <c r="M239" i="3"/>
  <c r="M221" i="3"/>
  <c r="P211" i="3"/>
  <c r="M286" i="3"/>
  <c r="M278" i="3"/>
  <c r="M270" i="3"/>
  <c r="M262" i="3"/>
  <c r="M254" i="3"/>
  <c r="M246" i="3"/>
  <c r="M238" i="3"/>
  <c r="M230" i="3"/>
  <c r="M222" i="3"/>
  <c r="M214" i="3"/>
  <c r="M206" i="3"/>
  <c r="P210" i="3"/>
  <c r="M285" i="3"/>
  <c r="M277" i="3"/>
  <c r="M269" i="3"/>
  <c r="M261" i="3"/>
  <c r="M253" i="3"/>
  <c r="M245" i="3"/>
  <c r="M213"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65" i="2"/>
  <c r="BP57" i="2"/>
  <c r="BP102" i="2" l="1"/>
  <c r="CW102" i="2" s="1"/>
  <c r="CW57" i="2"/>
  <c r="BP99" i="2"/>
  <c r="BP100" i="2"/>
  <c r="BP59" i="2"/>
  <c r="CW59" i="2" s="1"/>
  <c r="BP66" i="2"/>
  <c r="CW100" i="2" l="1"/>
  <c r="CW66" i="2"/>
  <c r="CW99" i="2"/>
  <c r="CX15" i="2" l="1"/>
  <c r="CX16" i="2" l="1"/>
  <c r="CX18" i="2" s="1"/>
  <c r="CX33" i="2" l="1"/>
  <c r="CX46" i="2"/>
  <c r="CY33" i="2"/>
  <c r="CX19" i="2"/>
  <c r="CX50" i="2"/>
  <c r="CX47" i="2"/>
  <c r="CX48" i="2" s="1"/>
  <c r="CX49" i="2"/>
  <c r="CX53" i="2" l="1"/>
  <c r="CX64" i="2" s="1"/>
  <c r="CY54" i="2"/>
  <c r="CZ54" i="2" s="1"/>
  <c r="DA54" i="2" s="1"/>
  <c r="CX55" i="2" l="1"/>
  <c r="CX56" i="2" s="1"/>
  <c r="CX57" i="2" s="1"/>
  <c r="CX68" i="2" s="1"/>
  <c r="CY55" i="2"/>
  <c r="CY56" i="2" s="1"/>
  <c r="CY57" i="2" s="1"/>
  <c r="DB54" i="2"/>
  <c r="DA55" i="2"/>
  <c r="CZ55" i="2"/>
  <c r="CX66" i="2" l="1"/>
  <c r="CY66" i="2"/>
  <c r="CY68" i="2"/>
  <c r="CZ56" i="2"/>
  <c r="CZ57" i="2" s="1"/>
  <c r="DC54" i="2"/>
  <c r="DB55" i="2"/>
  <c r="DA56" i="2"/>
  <c r="DA57" i="2" s="1"/>
  <c r="CZ66" i="2" l="1"/>
  <c r="CZ68" i="2"/>
  <c r="DA68" i="2" s="1"/>
  <c r="DA66" i="2"/>
  <c r="DB56" i="2"/>
  <c r="DB57" i="2" s="1"/>
  <c r="DC55" i="2"/>
  <c r="DD54" i="2"/>
  <c r="DB66" i="2" l="1"/>
  <c r="DB68" i="2"/>
  <c r="DE54" i="2"/>
  <c r="DD55" i="2"/>
  <c r="DC56" i="2"/>
  <c r="DC57" i="2" s="1"/>
  <c r="DC66" i="2" l="1"/>
  <c r="DD56" i="2"/>
  <c r="DD57" i="2" s="1"/>
  <c r="DC68" i="2"/>
  <c r="DF54" i="2"/>
  <c r="DE55" i="2"/>
  <c r="DD68" i="2" l="1"/>
  <c r="DE56" i="2"/>
  <c r="DE57" i="2" s="1"/>
  <c r="DF55" i="2"/>
  <c r="DG54" i="2"/>
  <c r="DG55" i="2" s="1"/>
  <c r="DD66" i="2"/>
  <c r="DE68" i="2" l="1"/>
  <c r="DG56" i="2"/>
  <c r="DG57" i="2" s="1"/>
  <c r="DF56" i="2"/>
  <c r="DF57" i="2" s="1"/>
  <c r="DE66" i="2"/>
  <c r="DF66" i="2" l="1"/>
  <c r="DF68" i="2"/>
  <c r="DG68"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8" i="2" s="1"/>
  <c r="CZ80" i="2" s="1"/>
  <c r="CZ82" i="2" s="1"/>
  <c r="DA8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<sst xmlns="http://schemas.openxmlformats.org/spreadsheetml/2006/main" count="1667" uniqueCount="1606">
  <si>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</si>
  <si>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</si>
  <si>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</si>
  <si>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</si>
  <si>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</si>
  <si>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</si>
  <si>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</si>
  <si>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</si>
  <si>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</si>
  <si>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</si>
  <si>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</si>
  <si>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</si>
  <si>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</si>
  <si>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</si>
  <si>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</si>
  <si>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</si>
  <si>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</si>
  <si>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</si>
  <si>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</si>
  <si>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</si>
  <si>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</si>
  <si>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</si>
  <si>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</si>
  <si>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</si>
  <si>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</si>
  <si>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</si>
  <si>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</si>
  <si>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</si>
  <si>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</si>
  <si>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</si>
  <si>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</si>
  <si>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</si>
  <si>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</si>
  <si>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</si>
  <si>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</si>
  <si>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</si>
  <si>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</si>
  <si>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</si>
  <si>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</si>
  <si>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</si>
  <si>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</si>
  <si>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</si>
  <si>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</si>
  <si>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</si>
  <si>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</si>
  <si>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</si>
  <si>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</si>
  <si>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</si>
  <si>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</si>
  <si>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</si>
  <si>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</si>
  <si>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</si>
  <si>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</si>
  <si>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</si>
  <si>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</si>
  <si>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</si>
  <si>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</si>
  <si>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</si>
  <si>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</si>
  <si>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</si>
  <si>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</si>
  <si>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</si>
  <si>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</si>
  <si>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</si>
  <si>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</si>
  <si>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</si>
  <si>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</si>
  <si>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</si>
  <si>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</si>
  <si>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</si>
  <si>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</si>
  <si>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</si>
  <si>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</si>
  <si>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</si>
  <si>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</si>
  <si>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</si>
  <si>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</si>
  <si>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</si>
  <si>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</si>
  <si>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</si>
  <si>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</si>
  <si>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</si>
  <si>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</si>
  <si>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</si>
  <si>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</si>
  <si>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</si>
  <si>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</si>
  <si>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</si>
  <si>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</si>
  <si>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</si>
  <si>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</si>
  <si>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</si>
  <si>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</si>
  <si>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</si>
  <si>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</si>
  <si>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</si>
  <si>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</si>
  <si>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</si>
  <si>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</si>
  <si>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</si>
  <si>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</si>
  <si>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</si>
  <si>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</si>
  <si>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</si>
  <si>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</si>
  <si>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</si>
  <si>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</si>
  <si>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</si>
  <si>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</si>
  <si>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</si>
  <si>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</si>
  <si>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</si>
  <si>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</si>
  <si>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</si>
  <si>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</si>
  <si>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</si>
  <si>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</si>
  <si>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</si>
  <si>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</si>
  <si>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</si>
  <si>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</si>
  <si>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</si>
  <si>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</si>
  <si>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</si>
  <si>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</si>
  <si>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</si>
  <si>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</si>
  <si>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</si>
  <si>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</si>
  <si>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</si>
  <si>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</si>
  <si>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</si>
  <si>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</si>
  <si>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</si>
  <si>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</si>
  <si>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</si>
  <si>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</si>
  <si>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</si>
  <si>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</si>
  <si>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</si>
  <si>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</si>
  <si>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</si>
  <si>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</si>
  <si>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</si>
  <si>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</si>
  <si>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</si>
  <si>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</si>
  <si>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</si>
  <si>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</si>
  <si>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</si>
  <si>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</si>
  <si>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</si>
  <si>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</si>
  <si>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</si>
  <si>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</si>
  <si>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</si>
  <si>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</si>
  <si>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</si>
  <si>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</si>
  <si>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</si>
  <si>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</si>
  <si>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</si>
  <si>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</si>
  <si>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</si>
  <si>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</si>
  <si>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</si>
  <si>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</si>
  <si>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</si>
  <si>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</si>
  <si>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</si>
  <si>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</si>
  <si>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</si>
  <si>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</si>
  <si>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</si>
  <si>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</si>
  <si>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</si>
  <si>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</si>
  <si>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</si>
  <si>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</si>
  <si>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</si>
  <si>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</si>
  <si>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</si>
  <si>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</si>
  <si>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</si>
  <si>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</si>
  <si>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</si>
  <si>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</si>
  <si>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</si>
  <si>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</si>
  <si>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</si>
  <si>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</si>
  <si>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</si>
  <si>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</si>
  <si>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</si>
  <si>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</si>
  <si>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</si>
  <si>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</si>
  <si>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</si>
  <si>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</si>
  <si>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</si>
  <si>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</si>
  <si>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</si>
  <si>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</si>
  <si>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</si>
  <si>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</si>
  <si>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</si>
  <si>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</si>
  <si>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</si>
  <si>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</si>
  <si>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</si>
  <si>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</si>
  <si>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</si>
  <si>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</si>
  <si>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</si>
  <si>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</si>
  <si>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</si>
  <si>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</si>
  <si>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</si>
  <si>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</si>
  <si>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</si>
  <si>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</si>
  <si>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</si>
  <si>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</si>
  <si>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</si>
  <si>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</si>
  <si>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</si>
  <si>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</si>
  <si>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</si>
  <si>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</si>
  <si>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</si>
  <si>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</si>
  <si>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</si>
  <si>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</si>
  <si>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</si>
  <si>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</si>
  <si>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</si>
  <si>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</si>
  <si>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</si>
  <si>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</si>
  <si>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</si>
  <si>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</si>
  <si>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</si>
  <si>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</si>
  <si>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</si>
  <si>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</si>
  <si>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</si>
  <si>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</si>
  <si>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</si>
  <si>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</si>
  <si>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</si>
  <si>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</si>
  <si>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</si>
  <si>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</si>
  <si>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</si>
  <si>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</si>
  <si>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</si>
  <si>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</si>
  <si>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</si>
  <si>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</si>
  <si>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</si>
  <si>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</si>
  <si>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</si>
  <si>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</si>
  <si>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</si>
  <si>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</si>
  <si>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</si>
  <si>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</si>
  <si>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</si>
  <si>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</si>
  <si>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</si>
  <si>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</si>
  <si>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</si>
  <si>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</si>
  <si>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</si>
  <si>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</si>
  <si>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</si>
  <si>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</si>
  <si>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</si>
  <si>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</si>
  <si>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</si>
  <si>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</si>
  <si>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</si>
  <si>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</si>
  <si>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</si>
  <si>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</si>
  <si>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</si>
  <si>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</si>
  <si>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</si>
  <si>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</si>
  <si>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</si>
  <si>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</si>
  <si>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</si>
  <si>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</si>
  <si>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</si>
  <si>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</si>
  <si>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</si>
  <si>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</si>
  <si>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</si>
  <si>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</si>
  <si>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</si>
  <si>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</si>
  <si>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</si>
  <si>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</si>
  <si>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</si>
  <si>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</si>
  <si>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</si>
  <si>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</si>
  <si>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</si>
  <si>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</si>
  <si>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</si>
  <si>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</si>
  <si>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</si>
  <si>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</si>
  <si>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</si>
  <si>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</si>
  <si>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</si>
  <si>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</si>
  <si>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</si>
  <si>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</si>
  <si>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</si>
  <si>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</si>
  <si>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</si>
  <si>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</si>
  <si>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</si>
  <si>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</si>
  <si>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</si>
  <si>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</si>
  <si>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</si>
  <si>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</si>
  <si>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</si>
  <si>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</si>
  <si>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</si>
  <si>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</si>
  <si>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</si>
  <si>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</si>
  <si>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</si>
  <si>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</si>
  <si>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</si>
  <si>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</si>
  <si>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</si>
  <si>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</si>
  <si>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</si>
  <si>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</si>
  <si>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</si>
  <si>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</si>
  <si>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</si>
  <si>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</si>
  <si>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</si>
  <si>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</si>
  <si>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</si>
  <si>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</si>
  <si>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</si>
  <si>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</si>
  <si>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</si>
  <si>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</si>
  <si>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</si>
  <si>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</si>
  <si>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</si>
  <si>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</si>
  <si>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</si>
  <si>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</si>
  <si>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</si>
  <si>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</si>
  <si>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</si>
  <si>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</si>
  <si>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</si>
  <si>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</si>
  <si>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</si>
  <si>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</si>
  <si>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</si>
  <si>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</si>
  <si>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</si>
  <si>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</si>
  <si>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</si>
  <si>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</si>
  <si>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</si>
  <si>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</si>
  <si>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</si>
  <si>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</si>
  <si>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</si>
  <si>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</si>
  <si>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</si>
  <si>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</si>
  <si>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</si>
  <si>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</si>
  <si>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</si>
  <si>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</si>
  <si>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</si>
  <si>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</si>
  <si>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</si>
  <si>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</si>
  <si>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</si>
  <si>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</si>
  <si>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</si>
  <si>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</si>
  <si>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</si>
  <si>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</si>
  <si>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</si>
  <si>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</si>
  <si>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</si>
  <si>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</si>
  <si>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</si>
  <si>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</si>
  <si>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</si>
  <si>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</si>
  <si>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</si>
  <si>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</si>
  <si>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</si>
  <si>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</si>
  <si>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</si>
  <si>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</si>
  <si>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</si>
  <si>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</si>
  <si>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</si>
  <si>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</si>
  <si>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</si>
  <si>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</si>
  <si>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</si>
  <si>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</si>
  <si>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</si>
  <si>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</si>
  <si>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</si>
  <si>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</si>
  <si>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</si>
  <si>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</si>
  <si>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</si>
  <si>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</si>
  <si>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</si>
  <si>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</si>
  <si>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</si>
  <si>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</si>
  <si>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</si>
  <si>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</si>
  <si>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</si>
  <si>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</si>
  <si>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</si>
  <si>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</si>
  <si>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</si>
  <si>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</si>
  <si>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</si>
  <si>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</si>
  <si>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</si>
  <si>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</si>
  <si>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</si>
  <si>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</si>
  <si>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</si>
  <si>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</si>
  <si>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</si>
  <si>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</si>
  <si>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</si>
  <si>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</si>
  <si>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</si>
  <si>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</si>
  <si>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</si>
  <si>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</si>
  <si>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</si>
  <si>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</si>
  <si>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</si>
  <si>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</si>
  <si>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</si>
  <si>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</si>
  <si>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</si>
  <si>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</si>
  <si>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</si>
  <si>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</si>
  <si>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</si>
  <si>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</si>
  <si>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</si>
  <si>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</si>
  <si>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</si>
  <si>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</si>
  <si>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</si>
  <si>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</si>
  <si>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</si>
  <si>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</si>
  <si>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</si>
  <si>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</si>
  <si>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</si>
  <si>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</si>
  <si>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</si>
  <si>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</si>
  <si>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</si>
  <si>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</si>
  <si>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</si>
  <si>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</si>
  <si>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</si>
  <si>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</si>
  <si>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</si>
  <si>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</si>
  <si>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</si>
  <si>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</si>
  <si>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</si>
  <si>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</si>
  <si>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</si>
  <si>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</si>
  <si>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</si>
  <si>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</si>
  <si>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</si>
  <si>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</si>
  <si>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</si>
  <si>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</si>
  <si>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</si>
  <si>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</si>
  <si>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</si>
  <si>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</si>
  <si>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</si>
  <si>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</si>
  <si>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</si>
  <si>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</si>
  <si>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</si>
  <si>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</si>
  <si>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</si>
  <si>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</si>
  <si>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</si>
  <si>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</si>
  <si>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</si>
  <si>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</si>
  <si>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</si>
  <si>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</si>
  <si>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</si>
  <si>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</si>
  <si>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</si>
  <si>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</si>
  <si>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</si>
  <si>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</si>
  <si>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</si>
  <si>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</si>
  <si>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</si>
  <si>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</si>
  <si>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</si>
  <si>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</si>
  <si>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</si>
  <si>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</si>
  <si>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</si>
  <si>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</si>
  <si>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</si>
  <si>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</si>
  <si>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</si>
  <si>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</si>
  <si>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</si>
  <si>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</si>
  <si>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</si>
  <si>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</si>
  <si>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</si>
  <si>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</si>
  <si>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</si>
  <si>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</si>
  <si>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</si>
  <si>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</si>
  <si>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</si>
  <si>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</si>
  <si>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</si>
  <si>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</si>
  <si>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</si>
  <si>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</si>
  <si>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</si>
  <si>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</si>
  <si>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</si>
  <si>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</si>
  <si>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</si>
  <si>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</si>
  <si>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</si>
  <si>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</si>
  <si>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</si>
  <si>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</si>
  <si>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</si>
  <si>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</si>
  <si>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</si>
  <si>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</si>
  <si>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</si>
  <si>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</si>
  <si>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</si>
  <si>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</si>
  <si>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</si>
  <si>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</si>
  <si>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</si>
  <si>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</si>
  <si>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</si>
  <si>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</si>
  <si>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</si>
  <si>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</si>
  <si>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</si>
  <si>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</si>
  <si>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</si>
  <si>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</si>
  <si>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</si>
  <si>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</si>
  <si>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</si>
  <si>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</si>
  <si>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</si>
  <si>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</si>
  <si>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</si>
  <si>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</si>
  <si>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</si>
  <si>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</si>
  <si>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</si>
  <si>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</si>
  <si>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</si>
  <si>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</si>
  <si>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</si>
  <si>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</si>
  <si>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</si>
  <si>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</si>
  <si>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</si>
  <si>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</si>
  <si>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</si>
  <si>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</si>
  <si>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</si>
  <si>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</si>
  <si>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</si>
  <si>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</si>
  <si>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</si>
  <si>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</si>
  <si>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</si>
  <si>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</si>
  <si>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</si>
  <si>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</si>
  <si>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</si>
  <si>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</si>
  <si>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</si>
  <si>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</si>
  <si>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</si>
  <si>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</si>
  <si>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</si>
  <si>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</si>
  <si>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</si>
  <si>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</si>
  <si>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</si>
  <si>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</si>
  <si>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</si>
  <si>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</si>
  <si>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</si>
  <si>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</si>
  <si>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</si>
  <si>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</si>
  <si>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</si>
  <si>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</si>
  <si>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</si>
  <si>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</si>
  <si>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</si>
  <si>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</si>
  <si>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</si>
  <si>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</si>
  <si>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</si>
  <si>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</si>
  <si>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</si>
  <si>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</si>
  <si>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</si>
  <si>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</si>
  <si>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</si>
  <si>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</si>
  <si>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</si>
  <si>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</si>
  <si>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</si>
  <si>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</si>
  <si>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</si>
  <si>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</si>
  <si>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</si>
  <si>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</si>
  <si>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</si>
  <si>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</si>
  <si>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</si>
  <si>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</si>
  <si>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</si>
  <si>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</si>
  <si>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</si>
  <si>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</si>
  <si>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</si>
  <si>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</si>
  <si>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</si>
  <si>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</si>
  <si>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</si>
  <si>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</si>
  <si>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</si>
  <si>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</si>
  <si>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</si>
  <si>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</si>
  <si>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</si>
  <si>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</si>
  <si>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</si>
  <si>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</si>
  <si>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</si>
  <si>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</si>
  <si>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</si>
  <si>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</si>
  <si>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</si>
  <si>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</si>
  <si>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</si>
  <si>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</si>
  <si>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</si>
  <si>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</si>
  <si>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</si>
  <si>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</si>
  <si>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</si>
  <si>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</si>
  <si>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</si>
  <si>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</si>
  <si>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</si>
  <si>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</si>
  <si>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</si>
  <si>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</si>
  <si>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</si>
  <si>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</si>
  <si>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</si>
  <si>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</si>
  <si>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</si>
  <si>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</si>
  <si>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</si>
  <si>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</si>
  <si>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</si>
  <si>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</si>
  <si>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</si>
  <si>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</si>
  <si>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</si>
  <si>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</si>
  <si>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</si>
  <si>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</si>
  <si>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</si>
  <si>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</si>
  <si>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</si>
  <si>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</si>
  <si>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</si>
  <si>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</si>
  <si>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</si>
  <si>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</si>
  <si>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</si>
  <si>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</si>
  <si>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</si>
  <si>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</si>
  <si>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</si>
  <si>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</si>
  <si>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</si>
  <si>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</si>
  <si>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</si>
  <si>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</si>
  <si>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</si>
  <si>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</si>
  <si>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</si>
  <si>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</si>
  <si>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</si>
  <si>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</si>
  <si>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</si>
  <si>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</si>
  <si>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</si>
  <si>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</si>
  <si>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</si>
  <si>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</si>
  <si>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</si>
  <si>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</si>
  <si>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</si>
  <si>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</si>
  <si>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</si>
  <si>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</si>
  <si>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</si>
  <si>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</si>
  <si>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</si>
  <si>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</si>
  <si>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</si>
  <si>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</si>
  <si>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</si>
  <si>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</si>
  <si>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</si>
  <si>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</si>
  <si>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</si>
  <si>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</si>
  <si>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</si>
  <si>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</si>
  <si>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</si>
  <si>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</si>
  <si>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</si>
  <si>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</si>
  <si>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</si>
  <si>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</si>
  <si>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</si>
  <si>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</si>
  <si>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</si>
  <si>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</si>
  <si>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</si>
  <si>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</si>
  <si>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</si>
  <si>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</si>
  <si>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</si>
  <si>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</si>
  <si>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</si>
  <si>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</si>
  <si>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</si>
  <si>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</si>
  <si>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</si>
  <si>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</si>
  <si>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</si>
  <si>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</si>
  <si>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</si>
  <si>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</si>
  <si>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</si>
  <si>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</si>
  <si>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</si>
  <si>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</si>
  <si>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</si>
  <si>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</si>
  <si>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</si>
  <si>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</si>
  <si>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</si>
  <si>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</si>
  <si>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</si>
  <si>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</si>
  <si>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</si>
  <si>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</si>
  <si>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</si>
  <si>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</si>
  <si>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</si>
  <si>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</si>
  <si>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</si>
  <si>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</si>
  <si>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</si>
  <si>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</si>
  <si>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</si>
  <si>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</si>
  <si>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</si>
  <si>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</si>
  <si>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</si>
  <si>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</si>
  <si>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</si>
  <si>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</si>
  <si>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</si>
  <si>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</si>
  <si>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</si>
  <si>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</si>
  <si>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</si>
  <si>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</si>
  <si>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</si>
  <si>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</si>
  <si>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</si>
  <si>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</si>
  <si>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</si>
  <si>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</si>
  <si>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</si>
  <si>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</si>
  <si>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</si>
  <si>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</si>
  <si>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</si>
  <si>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</si>
  <si>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</si>
  <si>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</si>
  <si>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</si>
  <si>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</si>
  <si>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</si>
  <si>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</si>
  <si>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</si>
  <si>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</si>
  <si>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</si>
  <si>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</si>
  <si>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</si>
  <si>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</si>
  <si>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</si>
  <si>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</si>
  <si>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</si>
  <si>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</si>
  <si>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</si>
  <si>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</si>
  <si>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</si>
  <si>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</si>
  <si>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</si>
  <si>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</si>
  <si>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</si>
  <si>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</si>
  <si>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</si>
  <si>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</si>
  <si>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</si>
  <si>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</si>
  <si>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</si>
  <si>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</si>
  <si>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</si>
  <si>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</si>
  <si>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</si>
  <si>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</si>
  <si>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</si>
  <si>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</si>
  <si>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</si>
  <si>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</si>
  <si>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</si>
  <si>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</si>
  <si>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</si>
  <si>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</si>
  <si>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</si>
  <si>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</si>
  <si>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</si>
  <si>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</si>
  <si>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</si>
  <si>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</si>
  <si>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</si>
  <si>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</si>
  <si>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</si>
  <si>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</si>
  <si>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</si>
  <si>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</si>
  <si>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</si>
  <si>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</si>
  <si>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</si>
  <si>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</si>
  <si>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</si>
  <si>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</si>
  <si>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</si>
  <si>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</si>
  <si>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</si>
  <si>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</si>
  <si>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</si>
  <si>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</si>
  <si>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</si>
  <si>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</si>
  <si>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</si>
  <si>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</si>
  <si>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</si>
  <si>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</si>
  <si>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</si>
  <si>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</si>
  <si>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</si>
  <si>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</si>
  <si>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</si>
  <si>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</si>
  <si>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</si>
  <si>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</si>
  <si>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</si>
  <si>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</si>
  <si>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</si>
  <si>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</si>
  <si>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</si>
  <si>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</si>
  <si>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</si>
  <si>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</si>
  <si>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</si>
  <si>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</si>
  <si>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</si>
  <si>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</si>
  <si>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</si>
  <si>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</si>
  <si>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</si>
  <si>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</si>
  <si>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</si>
  <si>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</si>
  <si>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</si>
  <si>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</si>
  <si>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</si>
  <si>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</si>
  <si>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</si>
  <si>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</si>
  <si>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</si>
  <si>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</si>
  <si>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</si>
  <si>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</si>
  <si>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</si>
  <si>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</si>
  <si>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</si>
  <si>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</si>
  <si>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</si>
  <si>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</si>
  <si>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</si>
  <si>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</si>
  <si>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</si>
  <si>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</si>
  <si>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</si>
  <si>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</si>
  <si>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</si>
  <si>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</si>
  <si>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</si>
  <si>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</si>
  <si>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</si>
  <si>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</si>
  <si>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</si>
  <si>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</si>
  <si>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</si>
  <si>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</si>
  <si>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</si>
  <si>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</si>
  <si>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</si>
  <si>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</si>
  <si>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</si>
  <si>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</si>
  <si>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</si>
  <si>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</si>
  <si>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</si>
  <si>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</si>
  <si>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</si>
  <si>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</si>
  <si>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</si>
  <si>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</si>
  <si>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</si>
  <si>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</si>
  <si>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</si>
  <si>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</si>
  <si>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</si>
  <si>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</si>
  <si>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</si>
  <si>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</si>
  <si>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</si>
  <si>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</si>
  <si>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</si>
  <si>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</si>
  <si>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</si>
  <si>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</si>
  <si>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</si>
  <si>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</si>
  <si>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</si>
  <si>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</si>
  <si>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</si>
  <si>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</si>
  <si>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</si>
  <si>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</si>
  <si>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</si>
  <si>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</si>
  <si>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</si>
  <si>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</si>
  <si>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</si>
  <si>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</si>
  <si>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</si>
  <si>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</si>
  <si>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</si>
  <si>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</si>
  <si>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</si>
  <si>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</si>
  <si>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</si>
  <si>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</si>
  <si>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</si>
  <si>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</si>
  <si>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</si>
  <si>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</si>
  <si>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</si>
  <si>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</si>
  <si>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</si>
  <si>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</si>
  <si>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</si>
  <si>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</si>
  <si>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</si>
  <si>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</si>
  <si>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</si>
  <si>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</si>
  <si>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</si>
  <si>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</si>
  <si>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</si>
  <si>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</si>
  <si>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</si>
  <si>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</si>
  <si>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</si>
  <si>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</si>
  <si>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</si>
  <si>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</si>
  <si>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</si>
  <si>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</si>
  <si>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</si>
  <si>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</si>
  <si>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</si>
  <si>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</si>
  <si>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</si>
  <si>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</si>
  <si>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</si>
  <si>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</si>
  <si>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</si>
  <si>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</si>
  <si>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</si>
  <si>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</si>
  <si>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</si>
  <si>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</si>
  <si>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</si>
  <si>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</si>
  <si>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</si>
  <si>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</si>
  <si>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</si>
  <si>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</si>
  <si>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</si>
  <si>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</si>
  <si>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</si>
  <si>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</si>
  <si>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</si>
  <si>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</si>
  <si>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</si>
  <si>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</si>
  <si>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</si>
  <si>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</si>
  <si>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</si>
  <si>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</si>
  <si>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</si>
  <si>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</si>
  <si>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</si>
  <si>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</si>
  <si>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</si>
  <si>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</si>
  <si>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</si>
  <si>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</si>
  <si>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</si>
  <si>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</si>
  <si>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</si>
  <si>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</si>
  <si>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</si>
  <si>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</si>
  <si>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</si>
  <si>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</si>
  <si>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</si>
  <si>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</si>
  <si>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</si>
  <si>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</si>
  <si>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</si>
  <si>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</si>
  <si>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</si>
  <si>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</si>
  <si>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</si>
  <si>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</si>
  <si>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</si>
  <si>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</si>
  <si>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</si>
  <si>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</si>
  <si>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</si>
  <si>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</si>
  <si>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</si>
  <si>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</si>
  <si>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</si>
  <si>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</si>
  <si>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</si>
  <si>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</si>
  <si>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</si>
  <si>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</si>
  <si>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</si>
  <si>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</si>
  <si>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</si>
  <si>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</si>
  <si>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</si>
  <si>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</si>
  <si>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</si>
  <si>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</si>
  <si>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</si>
  <si>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</si>
  <si>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</si>
  <si>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</si>
  <si>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</si>
  <si>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</si>
  <si>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</si>
  <si>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</si>
  <si>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</si>
  <si>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</si>
  <si>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</si>
  <si>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</si>
  <si>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</si>
  <si>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</si>
  <si>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</si>
  <si>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</si>
  <si>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</si>
  <si>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</si>
  <si>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</si>
  <si>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</si>
  <si>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</si>
  <si>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</si>
  <si>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</si>
  <si>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</si>
  <si>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</si>
  <si>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</si>
  <si>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</si>
  <si>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</si>
  <si>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</si>
  <si>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</si>
  <si>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</si>
  <si>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</si>
  <si>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</si>
  <si>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</si>
  <si>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</si>
  <si>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</si>
  <si>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</si>
  <si>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</si>
  <si>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</si>
  <si>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</si>
  <si>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</si>
  <si>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</si>
  <si>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</si>
  <si>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</si>
  <si>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</si>
  <si>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</si>
  <si>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</si>
  <si>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</si>
  <si>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</si>
  <si>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</si>
  <si>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</si>
  <si>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</si>
  <si>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</si>
  <si>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</si>
  <si>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</si>
  <si>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</si>
  <si>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</si>
  <si>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</si>
  <si>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</si>
  <si>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</si>
  <si>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</si>
  <si>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</si>
  <si>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</si>
  <si>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</si>
  <si>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</si>
  <si>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</si>
  <si>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</si>
  <si>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</si>
  <si>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</si>
  <si>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</si>
  <si>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</si>
  <si>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</si>
  <si>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</si>
  <si>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</si>
  <si>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</si>
  <si>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</si>
  <si>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</si>
  <si>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</si>
  <si>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</si>
  <si>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</si>
  <si>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</si>
  <si>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</si>
  <si>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</si>
  <si>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</si>
  <si>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</si>
  <si>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</si>
  <si>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</si>
  <si>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</si>
  <si>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</si>
  <si>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</si>
  <si>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</si>
  <si>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</si>
  <si>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</si>
  <si>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</si>
  <si>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</si>
  <si>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</si>
  <si>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</si>
  <si>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</si>
  <si>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</si>
  <si>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</si>
  <si>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</si>
  <si>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</si>
  <si>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</si>
  <si>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</si>
  <si>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</si>
  <si>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</si>
  <si>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</si>
  <si>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</si>
  <si>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</si>
  <si>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</si>
  <si>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</si>
  <si>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</si>
  <si>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</si>
  <si>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</si>
  <si>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</si>
  <si>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</si>
  <si>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</si>
  <si>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</si>
  <si>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</si>
  <si>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</si>
  <si>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</si>
  <si>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</si>
  <si>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</si>
  <si>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</si>
  <si>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</si>
  <si>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</si>
  <si>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</si>
  <si>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</si>
  <si>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</si>
  <si>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</si>
  <si>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</si>
  <si>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</si>
  <si>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</si>
  <si>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</si>
  <si>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</si>
  <si>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</si>
  <si>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</si>
  <si>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</si>
  <si>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</si>
  <si>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</si>
  <si>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</si>
  <si>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</si>
  <si>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</si>
  <si>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</si>
  <si>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</si>
  <si>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</si>
  <si>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</si>
  <si>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</si>
  <si>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</si>
  <si>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</si>
  <si>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</si>
  <si>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</si>
  <si>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</si>
  <si>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</si>
  <si>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</si>
  <si>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</si>
  <si>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</si>
  <si>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</si>
  <si>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</si>
  <si>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</si>
  <si>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</si>
  <si>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</si>
  <si>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</si>
  <si>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</si>
  <si>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</si>
  <si>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</si>
  <si>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</si>
  <si>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</si>
  <si>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</si>
  <si>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</si>
  <si>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</si>
  <si>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</si>
  <si>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</si>
  <si>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</si>
  <si>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</si>
  <si>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</si>
  <si>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</si>
  <si>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</si>
  <si>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</si>
  <si>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</si>
  <si>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</si>
  <si>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</si>
  <si>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</si>
  <si>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</si>
  <si>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</si>
  <si>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</si>
  <si>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</si>
  <si>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</si>
  <si>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</si>
  <si>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</si>
  <si>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</si>
  <si>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</si>
  <si>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</si>
  <si>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</si>
  <si>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</si>
  <si>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</si>
  <si>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</si>
  <si>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</si>
  <si>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</si>
  <si>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</si>
  <si>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</si>
  <si>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</si>
  <si>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</si>
  <si>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</si>
  <si>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</si>
  <si>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</si>
  <si>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</si>
  <si>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</si>
  <si>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</si>
  <si>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</si>
  <si>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</si>
  <si>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</si>
  <si>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</si>
  <si>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</si>
  <si>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</si>
  <si>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</si>
  <si>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</si>
  <si>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</si>
  <si>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</si>
  <si>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</si>
  <si>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</si>
  <si>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</si>
  <si>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</si>
  <si>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</si>
  <si>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</si>
  <si>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</si>
  <si>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</si>
  <si>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</si>
  <si>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</si>
  <si>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</si>
  <si>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</si>
  <si>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</si>
  <si>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</si>
  <si>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</si>
  <si>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</si>
  <si>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</si>
  <si>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</si>
  <si>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</si>
  <si>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</si>
  <si>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</si>
  <si>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</si>
  <si>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</si>
  <si>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</si>
  <si>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</si>
  <si>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</si>
  <si>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</si>
  <si>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</si>
  <si>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</si>
  <si>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</si>
  <si>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</si>
  <si>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</si>
  <si>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</si>
  <si>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</si>
  <si>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</si>
  <si>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</si>
  <si>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</si>
  <si>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</si>
  <si>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</si>
  <si>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</si>
  <si>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</si>
  <si>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</si>
  <si>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</si>
  <si>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</si>
  <si>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</si>
  <si>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</si>
  <si>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</si>
  <si>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</si>
  <si>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</si>
  <si>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</si>
  <si>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</si>
  <si>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</si>
  <si>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</si>
  <si>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</si>
  <si>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</si>
  <si>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</si>
  <si>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</si>
  <si>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</si>
  <si>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</si>
  <si>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</si>
  <si>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</si>
  <si>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</si>
  <si>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</si>
  <si>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</si>
  <si>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</si>
  <si>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</si>
  <si>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</si>
  <si>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</si>
  <si>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</si>
  <si>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</si>
  <si>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</si>
  <si>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</si>
  <si>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</si>
  <si>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</si>
  <si>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</si>
  <si>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</si>
  <si>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</si>
  <si>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</si>
  <si>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</si>
  <si>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</si>
  <si>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</si>
  <si>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</si>
  <si>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</si>
  <si>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</si>
  <si>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</si>
  <si>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</si>
  <si>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</si>
  <si>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</si>
  <si>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</si>
  <si>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</si>
  <si>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</si>
  <si>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</si>
  <si>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</si>
  <si>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</si>
  <si>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</si>
  <si>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</si>
  <si>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</si>
  <si>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</si>
  <si>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</si>
  <si>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</si>
  <si>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</si>
  <si>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</si>
  <si>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</si>
  <si>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</si>
  <si>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</si>
  <si>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</si>
  <si>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</si>
  <si>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</si>
  <si>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</si>
  <si>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</si>
  <si>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</si>
  <si>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</si>
  <si>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</si>
  <si>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</si>
  <si>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</si>
  <si>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</si>
  <si>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</si>
  <si>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</si>
  <si>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</si>
  <si>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</si>
  <si>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</si>
  <si>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</si>
  <si>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</si>
  <si>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</si>
  <si>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</si>
  <si>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</si>
  <si>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</si>
  <si>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</si>
  <si>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</si>
  <si>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</si>
  <si>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</si>
  <si>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</si>
  <si>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</si>
  <si>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</si>
  <si>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</si>
  <si>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</si>
  <si>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</si>
  <si>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</si>
  <si>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</si>
  <si>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</si>
  <si>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</si>
  <si>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</si>
  <si>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</si>
  <si>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</si>
  <si>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</si>
  <si>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</si>
  <si>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</si>
  <si>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</si>
  <si>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</si>
  <si>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</si>
  <si>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</si>
  <si>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</si>
  <si>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</si>
  <si>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</si>
  <si>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</si>
  <si>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</si>
  <si>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</si>
  <si>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</si>
  <si>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</si>
  <si>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</si>
  <si>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</si>
  <si>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</si>
  <si>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</si>
  <si>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</si>
  <si>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</si>
  <si>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</si>
  <si>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</si>
  <si>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</si>
  <si>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</si>
  <si>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</si>
  <si>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</si>
  <si>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</si>
  <si>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</si>
  <si>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</si>
  <si>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</si>
  <si>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</si>
  <si>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</si>
  <si>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</si>
  <si>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</si>
  <si>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</si>
  <si>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r>
      <t>Cerus Endovascular (2023) – Neurovascular devices for treatment of intracranial aneurysms,</t>
    </r>
    <r>
      <rPr>
        <sz val="11"/>
        <color theme="1"/>
        <rFont val="Calibre"/>
      </rPr>
      <t xml:space="preserve"> including the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</si>
  <si>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</si>
  <si>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</si>
  <si>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</si>
  <si>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</si>
  <si>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</si>
  <si>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</si>
  <si>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</si>
  <si>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</si>
  <si>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</si>
  <si>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</si>
  <si>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</si>
  <si>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</si>
  <si>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</si>
  <si>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</si>
  <si>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</si>
  <si>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</si>
  <si>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</si>
  <si>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</si>
  <si>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</si>
  <si>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</si>
  <si>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</si>
  <si>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</si>
  <si>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</si>
  <si>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</si>
  <si>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</si>
  <si>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</si>
  <si>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</si>
  <si>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</si>
  <si>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</si>
  <si>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</si>
  <si>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</si>
  <si>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</si>
  <si>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</si>
  <si>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</si>
  <si>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</si>
  <si>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</si>
  <si>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</si>
  <si>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</si>
  <si>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</si>
  <si>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</si>
  <si>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</si>
  <si>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</si>
  <si>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</si>
  <si>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</si>
  <si>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</si>
  <si>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</si>
  <si>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</si>
  <si>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</si>
  <si>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</si>
  <si>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</si>
  <si>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</si>
  <si>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</si>
  <si>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</si>
  <si>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</si>
  <si>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</si>
  <si>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</si>
  <si>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</si>
  <si>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</si>
  <si>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</si>
  <si>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https://www.sec.gov/edgar/browse/?CIK=1321732&amp;owner=exclude</t>
  </si>
  <si>
    <t>Resources:</t>
  </si>
  <si>
    <t>Stryker IR Page</t>
  </si>
  <si>
    <t>https://seekingalpha.com/article/4780866-stryker-corporation-syk-q1-2025-earnings-call-transcript</t>
  </si>
  <si>
    <t>Earnings Calls</t>
  </si>
  <si>
    <t>Stryker Homepage</t>
  </si>
  <si>
    <t>https://www.fda.gov/medical-devices</t>
  </si>
  <si>
    <t>FDA Med Device reporting's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</si>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</sst>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quot;$&quot;#,##0"/>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86">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65" fontId="2" fillId="0" borderId="0" xfId="0" applyNumberFormat="1" applyFont="1" applyAlignment="1">
      <alignment horizontal="right"/>
    </xf>
    <xf numFmtId="2" fontId="2" fillId="0" borderId="0" xfId="0" applyNumberFormat="1" applyFont="1" applyAlignment="1">
      <alignment horizontal="right"/>
    </xf>
    <xf numFmtId="166" fontId="2" fillId="0" borderId="0" xfId="0" applyNumberFormat="1" applyFont="1" applyAlignment="1">
      <alignment horizontal="right"/>
    </xf>
    <xf numFmtId="166" fontId="2"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0" fontId="14" fillId="0" borderId="0" xfId="0" applyFont="1" applyAlignment="1">
      <alignment horizontal="left" indent="1"/>
    </xf>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Analysis'!$I$204:$I$284</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Analysis'!$J$204:$J$284</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Analysis'!$L$202</c:f>
              <c:strCache>
                <c:ptCount val="1"/>
                <c:pt idx="0">
                  <c:v>Distribution Overlay</c:v>
                </c:pt>
              </c:strCache>
            </c:strRef>
          </c:tx>
          <c:spPr>
            <a:ln w="19050" cap="rnd">
              <a:solidFill>
                <a:srgbClr val="FFC000"/>
              </a:solidFill>
              <a:round/>
            </a:ln>
            <a:effectLst/>
          </c:spPr>
          <c:marker>
            <c:symbol val="none"/>
          </c:marker>
          <c:xVal>
            <c:numRef>
              <c:f>'Notes | Quant Analysis'!$L$204:$L$286</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Analysis'!$M$204:$M$286</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Analysis'!$O$204</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Analysis'!$P$204:$P$205</c:f>
              <c:numCache>
                <c:formatCode>0.00%</c:formatCode>
                <c:ptCount val="2"/>
                <c:pt idx="0">
                  <c:v>2.8840192365155138E-4</c:v>
                </c:pt>
                <c:pt idx="1">
                  <c:v>3.4810405770502317E-4</c:v>
                </c:pt>
              </c:numCache>
            </c:numRef>
          </c:xVal>
          <c:yVal>
            <c:numRef>
              <c:f>'Notes | Quant Analysis'!$Q$204:$Q$205</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Analysis'!$O$206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Analysis'!$P$206:$P$207</c:f>
              <c:numCache>
                <c:formatCode>0.00%</c:formatCode>
                <c:ptCount val="2"/>
                <c:pt idx="0">
                  <c:v>-3.9630645898099899E-2</c:v>
                </c:pt>
                <c:pt idx="1">
                  <c:v>-3.9630645898099899E-2</c:v>
                </c:pt>
              </c:numCache>
            </c:numRef>
          </c:xVal>
          <c:yVal>
            <c:numRef>
              <c:f>'Notes | Quant Analysis'!$Q$206:$Q$207</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Analysis'!$O$208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Analysis'!$P$208:$P$209</c:f>
              <c:numCache>
                <c:formatCode>0.00%</c:formatCode>
                <c:ptCount val="2"/>
                <c:pt idx="0">
                  <c:v>-2.6324296624182748E-2</c:v>
                </c:pt>
                <c:pt idx="1">
                  <c:v>-2.6324296624182748E-2</c:v>
                </c:pt>
              </c:numCache>
            </c:numRef>
          </c:xVal>
          <c:yVal>
            <c:numRef>
              <c:f>'Notes | Quant Analysis'!$Q$208:$Q$209</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Analysis'!$O$210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Analysis'!$P$210:$P$211</c:f>
              <c:numCache>
                <c:formatCode>0.00%</c:formatCode>
                <c:ptCount val="2"/>
                <c:pt idx="0">
                  <c:v>-1.3017947350265598E-2</c:v>
                </c:pt>
                <c:pt idx="1">
                  <c:v>-1.3017947350265598E-2</c:v>
                </c:pt>
              </c:numCache>
            </c:numRef>
          </c:xVal>
          <c:yVal>
            <c:numRef>
              <c:f>'Notes | Quant Analysis'!$Q$210:$Q$211</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Analysis'!$O$212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Analysis'!$P$212:$P$213</c:f>
              <c:numCache>
                <c:formatCode>0.00%</c:formatCode>
                <c:ptCount val="2"/>
                <c:pt idx="0">
                  <c:v>1.3594751197568701E-2</c:v>
                </c:pt>
                <c:pt idx="1">
                  <c:v>1.3594751197568701E-2</c:v>
                </c:pt>
              </c:numCache>
            </c:numRef>
          </c:xVal>
          <c:yVal>
            <c:numRef>
              <c:f>'Notes | Quant Analysis'!$Q$212:$Q$213</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Analysis'!$O$214</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Analysis'!$P$214:$P$215</c:f>
              <c:numCache>
                <c:formatCode>0.00%</c:formatCode>
                <c:ptCount val="2"/>
                <c:pt idx="0">
                  <c:v>2.6901100471485851E-2</c:v>
                </c:pt>
                <c:pt idx="1">
                  <c:v>2.6901100471485851E-2</c:v>
                </c:pt>
              </c:numCache>
            </c:numRef>
          </c:xVal>
          <c:yVal>
            <c:numRef>
              <c:f>'Notes | Quant Analysis'!$Q$214:$Q$215</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Analysis'!$O$216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Analysis'!$P$216:$P$217</c:f>
              <c:numCache>
                <c:formatCode>0.00%</c:formatCode>
                <c:ptCount val="2"/>
                <c:pt idx="0">
                  <c:v>4.0207449745403002E-2</c:v>
                </c:pt>
                <c:pt idx="1">
                  <c:v>4.0207449745403002E-2</c:v>
                </c:pt>
              </c:numCache>
            </c:numRef>
          </c:xVal>
          <c:yVal>
            <c:numRef>
              <c:f>'Notes | Quant Analysis'!$Q$216:$Q$217</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1111112326237131"/>
          <c:y val="5.2058346839546188E-2"/>
          <c:w val="0.83333331510644293"/>
          <c:h val="0.107383538159836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Model!$AW$105:$BQ$105</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1</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11</xdr:col>
      <xdr:colOff>0</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120</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120</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18</xdr:col>
      <xdr:colOff>0</xdr:colOff>
      <xdr:row>32</xdr:row>
      <xdr:rowOff>168087</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155</xdr:row>
      <xdr:rowOff>0</xdr:rowOff>
    </xdr:from>
    <xdr:to>
      <xdr:col>23</xdr:col>
      <xdr:colOff>1</xdr:colOff>
      <xdr:row>183</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86</xdr:row>
      <xdr:rowOff>0</xdr:rowOff>
    </xdr:from>
    <xdr:to>
      <xdr:col>23</xdr:col>
      <xdr:colOff>0</xdr:colOff>
      <xdr:row>118</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0</xdr:colOff>
      <xdr:row>127</xdr:row>
      <xdr:rowOff>0</xdr:rowOff>
    </xdr:from>
    <xdr:to>
      <xdr:col>40</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40</xdr:col>
      <xdr:colOff>0</xdr:colOff>
      <xdr:row>127</xdr:row>
      <xdr:rowOff>11206</xdr:rowOff>
    </xdr:from>
    <xdr:to>
      <xdr:col>51</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29</xdr:col>
      <xdr:colOff>0</xdr:colOff>
      <xdr:row>222</xdr:row>
      <xdr:rowOff>0</xdr:rowOff>
    </xdr:from>
    <xdr:to>
      <xdr:col>39</xdr:col>
      <xdr:colOff>7331</xdr:colOff>
      <xdr:row>244</xdr:row>
      <xdr:rowOff>11205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39</xdr:col>
      <xdr:colOff>0</xdr:colOff>
      <xdr:row>221</xdr:row>
      <xdr:rowOff>179294</xdr:rowOff>
    </xdr:from>
    <xdr:to>
      <xdr:col>49</xdr:col>
      <xdr:colOff>11206</xdr:colOff>
      <xdr:row>244</xdr:row>
      <xdr:rowOff>11205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48</xdr:col>
      <xdr:colOff>605116</xdr:colOff>
      <xdr:row>221</xdr:row>
      <xdr:rowOff>190499</xdr:rowOff>
    </xdr:from>
    <xdr:to>
      <xdr:col>59</xdr:col>
      <xdr:colOff>537881</xdr:colOff>
      <xdr:row>244</xdr:row>
      <xdr:rowOff>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29</xdr:col>
      <xdr:colOff>0</xdr:colOff>
      <xdr:row>302</xdr:row>
      <xdr:rowOff>0</xdr:rowOff>
    </xdr:from>
    <xdr:to>
      <xdr:col>44</xdr:col>
      <xdr:colOff>11207</xdr:colOff>
      <xdr:row>337</xdr:row>
      <xdr:rowOff>11206</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29</xdr:col>
      <xdr:colOff>0</xdr:colOff>
      <xdr:row>37</xdr:row>
      <xdr:rowOff>0</xdr:rowOff>
    </xdr:from>
    <xdr:to>
      <xdr:col>40</xdr:col>
      <xdr:colOff>3452</xdr:colOff>
      <xdr:row>62</xdr:row>
      <xdr:rowOff>22412</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123</xdr:row>
      <xdr:rowOff>0</xdr:rowOff>
    </xdr:from>
    <xdr:to>
      <xdr:col>23</xdr:col>
      <xdr:colOff>0</xdr:colOff>
      <xdr:row>153</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59</xdr:col>
      <xdr:colOff>515470</xdr:colOff>
      <xdr:row>221</xdr:row>
      <xdr:rowOff>179294</xdr:rowOff>
    </xdr:from>
    <xdr:to>
      <xdr:col>70</xdr:col>
      <xdr:colOff>11206</xdr:colOff>
      <xdr:row>244</xdr:row>
      <xdr:rowOff>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seekingalpha.com/article/4780866-stryker-corporation-syk-q1-2025-earnings-call-transcript" TargetMode="External"/><Relationship Id="rId26" Type="http://schemas.openxmlformats.org/officeDocument/2006/relationships/drawing" Target="../drawings/drawing1.xml"/><Relationship Id="rId3" Type="http://schemas.openxmlformats.org/officeDocument/2006/relationships/hyperlink" Target="MDT_Model.xlsx" TargetMode="External"/><Relationship Id="rId21" Type="http://schemas.openxmlformats.org/officeDocument/2006/relationships/hyperlink" Target="https://evtoday.com/"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www.sec.gov/edgar/browse/?CIK=1321732&amp;owner=exclude" TargetMode="External"/><Relationship Id="rId25" Type="http://schemas.openxmlformats.org/officeDocument/2006/relationships/hyperlink" Target="mailto:preston.wells@stryker.com"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ppubs.uspto.gov/pubwebapp/static/pages/ppubsbasic.html"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https://app.godelterminal.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www.stryker.com/us/en/about/patents.html" TargetMode="External"/><Relationship Id="rId10" Type="http://schemas.openxmlformats.org/officeDocument/2006/relationships/hyperlink" Target="PEN_Model.xlsx" TargetMode="External"/><Relationship Id="rId19" Type="http://schemas.openxmlformats.org/officeDocument/2006/relationships/hyperlink" Target="https://www.fda.gov/medical-devices"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medtechdive.com/news/stryker-inari-medical-acquisition/73661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zoomScale="85" zoomScaleNormal="85" workbookViewId="0">
      <selection activeCell="F5" sqref="F5"/>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9">
      <c r="A1" s="6" t="s">
        <v>8</v>
      </c>
    </row>
    <row r="2" spans="1:19" ht="15">
      <c r="A2" s="1" t="s">
        <v>1605</v>
      </c>
    </row>
    <row r="3" spans="1:19">
      <c r="A3" s="6"/>
    </row>
    <row r="4" spans="1:19" ht="15">
      <c r="B4" s="1" t="s">
        <v>7</v>
      </c>
    </row>
    <row r="5" spans="1:19">
      <c r="B5" s="2" t="s">
        <v>0</v>
      </c>
      <c r="C5" s="39">
        <v>353.88</v>
      </c>
      <c r="D5" s="3">
        <v>45747</v>
      </c>
    </row>
    <row r="6" spans="1:19">
      <c r="B6" s="2" t="s">
        <v>6</v>
      </c>
      <c r="C6" s="40">
        <v>382.16399999999999</v>
      </c>
      <c r="D6" s="2" t="s">
        <v>1</v>
      </c>
    </row>
    <row r="7" spans="1:19">
      <c r="B7" s="2" t="s">
        <v>2</v>
      </c>
      <c r="C7" s="41">
        <f>C5*C6</f>
        <v>135240.19631999999</v>
      </c>
    </row>
    <row r="8" spans="1:19">
      <c r="B8" s="2" t="s">
        <v>3</v>
      </c>
      <c r="C8" s="41">
        <f>3652+750+91</f>
        <v>4493</v>
      </c>
      <c r="D8" s="2" t="s">
        <v>1</v>
      </c>
    </row>
    <row r="9" spans="1:19">
      <c r="B9" s="2" t="s">
        <v>4</v>
      </c>
      <c r="C9" s="42">
        <f>1409+12188</f>
        <v>13597</v>
      </c>
      <c r="D9" s="2" t="s">
        <v>1</v>
      </c>
    </row>
    <row r="10" spans="1:19">
      <c r="B10" s="2" t="s">
        <v>5</v>
      </c>
      <c r="C10" s="41">
        <f>C7-C8+C9</f>
        <v>144344.19631999999</v>
      </c>
      <c r="O10" s="2" t="s">
        <v>1587</v>
      </c>
    </row>
    <row r="11" spans="1:19">
      <c r="O11" s="2" t="s">
        <v>1248</v>
      </c>
      <c r="R11" s="85" t="s">
        <v>1586</v>
      </c>
    </row>
    <row r="12" spans="1:19" ht="15">
      <c r="B12" s="1" t="s">
        <v>1250</v>
      </c>
      <c r="O12" s="2" t="s">
        <v>1591</v>
      </c>
      <c r="R12" s="85" t="s">
        <v>1368</v>
      </c>
      <c r="S12" s="85"/>
    </row>
    <row r="13" spans="1:19">
      <c r="P13" s="2" t="s">
        <v>1588</v>
      </c>
      <c r="R13" s="85"/>
      <c r="S13" s="85" t="s">
        <v>1369</v>
      </c>
    </row>
    <row r="14" spans="1:19">
      <c r="B14" s="2" t="s">
        <v>1251</v>
      </c>
      <c r="F14" s="2" t="s">
        <v>1247</v>
      </c>
      <c r="O14" s="2" t="s">
        <v>1590</v>
      </c>
      <c r="R14" s="85" t="s">
        <v>1589</v>
      </c>
      <c r="S14" s="85"/>
    </row>
    <row r="15" spans="1:19">
      <c r="B15" s="2" t="s">
        <v>1494</v>
      </c>
      <c r="F15" s="2" t="s">
        <v>1257</v>
      </c>
      <c r="O15" s="2" t="s">
        <v>1249</v>
      </c>
      <c r="Q15" s="6"/>
      <c r="R15" s="85" t="s">
        <v>1602</v>
      </c>
      <c r="S15" s="85"/>
    </row>
    <row r="16" spans="1:19">
      <c r="B16" s="2" t="s">
        <v>1252</v>
      </c>
      <c r="F16" s="2" t="s">
        <v>1258</v>
      </c>
      <c r="O16" s="2" t="s">
        <v>1593</v>
      </c>
      <c r="R16" s="85" t="s">
        <v>1592</v>
      </c>
      <c r="S16" s="85"/>
    </row>
    <row r="17" spans="1:19">
      <c r="B17" s="2" t="s">
        <v>1276</v>
      </c>
      <c r="G17" s="2" t="s">
        <v>1259</v>
      </c>
      <c r="O17" s="2" t="s">
        <v>1594</v>
      </c>
      <c r="R17" s="85" t="s">
        <v>1595</v>
      </c>
      <c r="S17" s="85"/>
    </row>
    <row r="18" spans="1:19" ht="15">
      <c r="G18" s="2" t="s">
        <v>1261</v>
      </c>
      <c r="H18" s="2" t="s">
        <v>1260</v>
      </c>
      <c r="J18" s="2" t="s">
        <v>1544</v>
      </c>
      <c r="O18" s="4"/>
      <c r="P18" s="2" t="s">
        <v>1596</v>
      </c>
      <c r="R18" s="85"/>
      <c r="S18" s="85" t="s">
        <v>1601</v>
      </c>
    </row>
    <row r="19" spans="1:19">
      <c r="G19" s="2" t="s">
        <v>1545</v>
      </c>
      <c r="O19" s="2" t="s">
        <v>1597</v>
      </c>
      <c r="R19" s="85" t="s">
        <v>1598</v>
      </c>
    </row>
    <row r="20" spans="1:19">
      <c r="G20" s="2" t="s">
        <v>1261</v>
      </c>
      <c r="H20" s="2" t="s">
        <v>1260</v>
      </c>
      <c r="J20" s="2" t="s">
        <v>1603</v>
      </c>
      <c r="K20" s="85" t="s">
        <v>1604</v>
      </c>
      <c r="O20" s="2" t="s">
        <v>1599</v>
      </c>
      <c r="R20" s="85" t="s">
        <v>1600</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1552</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1551</v>
      </c>
    </row>
    <row r="77" spans="1:5">
      <c r="D77" s="2" t="s">
        <v>1473</v>
      </c>
    </row>
    <row r="78" spans="1:5">
      <c r="D78" s="2" t="s">
        <v>1474</v>
      </c>
    </row>
    <row r="79" spans="1:5">
      <c r="E79" s="2" t="s">
        <v>1553</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1554</v>
      </c>
    </row>
    <row r="114" spans="2:8">
      <c r="D114" s="2" t="s">
        <v>1378</v>
      </c>
    </row>
    <row r="115" spans="2:8">
      <c r="D115" s="2" t="s">
        <v>1379</v>
      </c>
    </row>
    <row r="116" spans="2:8">
      <c r="D116" s="2" t="s">
        <v>1380</v>
      </c>
    </row>
    <row r="117" spans="2:8">
      <c r="E117" s="2" t="s">
        <v>1555</v>
      </c>
    </row>
    <row r="118" spans="2:8">
      <c r="B118" s="2" t="s">
        <v>1451</v>
      </c>
    </row>
    <row r="119" spans="2:8">
      <c r="C119" s="2" t="s">
        <v>1344</v>
      </c>
    </row>
    <row r="120" spans="2:8" ht="15">
      <c r="B120" s="2" t="s">
        <v>1342</v>
      </c>
    </row>
    <row r="121" spans="2:8">
      <c r="C121" s="2" t="s">
        <v>1556</v>
      </c>
    </row>
    <row r="122" spans="2:8" ht="15">
      <c r="D122" s="2" t="s">
        <v>1294</v>
      </c>
      <c r="E122" s="44"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1557</v>
      </c>
    </row>
    <row r="134" spans="2:8" ht="15">
      <c r="D134" s="2" t="s">
        <v>1294</v>
      </c>
      <c r="E134" s="45"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1558</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1559</v>
      </c>
    </row>
    <row r="146" spans="1:8" ht="15">
      <c r="D146" s="2" t="s">
        <v>1294</v>
      </c>
      <c r="E146" s="44"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5" t="s">
        <v>1351</v>
      </c>
      <c r="C182" s="66"/>
      <c r="D182" s="66"/>
      <c r="E182" s="66"/>
      <c r="F182" s="66"/>
      <c r="G182" s="65" t="s">
        <v>1352</v>
      </c>
      <c r="H182" s="46"/>
      <c r="I182" s="46"/>
      <c r="J182" s="46"/>
      <c r="K182" s="46"/>
      <c r="L182" s="46"/>
      <c r="M182" s="46"/>
      <c r="N182" s="46"/>
      <c r="O182" s="46"/>
      <c r="P182" s="46"/>
      <c r="Q182" s="46"/>
      <c r="R182" s="46"/>
      <c r="S182" s="46"/>
      <c r="T182" s="46"/>
      <c r="U182" s="46"/>
      <c r="V182" s="46"/>
      <c r="W182" s="46"/>
      <c r="X182" s="46"/>
      <c r="Y182" s="46"/>
      <c r="Z182" s="47"/>
    </row>
    <row r="183" spans="1:26" ht="15">
      <c r="B183" s="56" t="s">
        <v>1354</v>
      </c>
      <c r="C183" s="57"/>
      <c r="D183" s="57"/>
      <c r="E183" s="57"/>
      <c r="F183" s="58"/>
      <c r="G183" s="48" t="s">
        <v>1355</v>
      </c>
      <c r="H183" s="48"/>
      <c r="I183" s="48"/>
      <c r="J183" s="48"/>
      <c r="K183" s="48"/>
      <c r="L183" s="48"/>
      <c r="M183" s="48"/>
      <c r="N183" s="48"/>
      <c r="O183" s="48"/>
      <c r="P183" s="48"/>
      <c r="Q183" s="48"/>
      <c r="R183" s="48"/>
      <c r="S183" s="48"/>
      <c r="T183" s="48"/>
      <c r="U183" s="48"/>
      <c r="V183" s="48"/>
      <c r="W183" s="48"/>
      <c r="X183" s="48"/>
      <c r="Y183" s="48"/>
      <c r="Z183" s="49"/>
    </row>
    <row r="184" spans="1:26" ht="15">
      <c r="B184" s="59" t="s">
        <v>1357</v>
      </c>
      <c r="C184" s="64"/>
      <c r="D184" s="64"/>
      <c r="E184" s="64"/>
      <c r="F184" s="60"/>
      <c r="G184" s="50" t="s">
        <v>1356</v>
      </c>
      <c r="H184" s="50"/>
      <c r="I184" s="50"/>
      <c r="J184" s="50"/>
      <c r="K184" s="50"/>
      <c r="L184" s="50"/>
      <c r="M184" s="50"/>
      <c r="N184" s="50"/>
      <c r="O184" s="50"/>
      <c r="P184" s="50"/>
      <c r="Q184" s="50"/>
      <c r="R184" s="50"/>
      <c r="S184" s="50"/>
      <c r="T184" s="50"/>
      <c r="U184" s="50"/>
      <c r="V184" s="50"/>
      <c r="W184" s="50"/>
      <c r="X184" s="50"/>
      <c r="Y184" s="50"/>
      <c r="Z184" s="51"/>
    </row>
    <row r="185" spans="1:26" ht="15">
      <c r="B185" s="59" t="s">
        <v>1353</v>
      </c>
      <c r="C185" s="64"/>
      <c r="D185" s="64"/>
      <c r="E185" s="64"/>
      <c r="F185" s="60"/>
      <c r="G185" s="52" t="s">
        <v>1361</v>
      </c>
      <c r="H185" s="52"/>
      <c r="I185" s="52"/>
      <c r="J185" s="52"/>
      <c r="K185" s="52"/>
      <c r="L185" s="52"/>
      <c r="M185" s="52"/>
      <c r="N185" s="52"/>
      <c r="O185" s="52"/>
      <c r="P185" s="52"/>
      <c r="Q185" s="52"/>
      <c r="R185" s="52"/>
      <c r="S185" s="52"/>
      <c r="T185" s="52"/>
      <c r="U185" s="52"/>
      <c r="V185" s="52"/>
      <c r="W185" s="52"/>
      <c r="X185" s="52"/>
      <c r="Y185" s="52"/>
      <c r="Z185" s="53"/>
    </row>
    <row r="186" spans="1:26" ht="15">
      <c r="B186" s="59" t="s">
        <v>1358</v>
      </c>
      <c r="C186" s="64"/>
      <c r="D186" s="64"/>
      <c r="E186" s="64"/>
      <c r="F186" s="60"/>
      <c r="G186" s="50" t="s">
        <v>1362</v>
      </c>
      <c r="H186" s="50"/>
      <c r="I186" s="50"/>
      <c r="J186" s="50"/>
      <c r="K186" s="50"/>
      <c r="L186" s="50"/>
      <c r="M186" s="50"/>
      <c r="N186" s="50"/>
      <c r="O186" s="50"/>
      <c r="P186" s="50"/>
      <c r="Q186" s="50"/>
      <c r="R186" s="50"/>
      <c r="S186" s="50"/>
      <c r="T186" s="50"/>
      <c r="U186" s="50"/>
      <c r="V186" s="50"/>
      <c r="W186" s="50"/>
      <c r="X186" s="50"/>
      <c r="Y186" s="50"/>
      <c r="Z186" s="51"/>
    </row>
    <row r="187" spans="1:26" ht="15">
      <c r="B187" s="59" t="s">
        <v>1359</v>
      </c>
      <c r="C187" s="64"/>
      <c r="D187" s="64"/>
      <c r="E187" s="64"/>
      <c r="F187" s="60"/>
      <c r="G187" s="52" t="s">
        <v>1364</v>
      </c>
      <c r="H187" s="52"/>
      <c r="I187" s="52"/>
      <c r="J187" s="52"/>
      <c r="K187" s="52"/>
      <c r="L187" s="52"/>
      <c r="M187" s="52"/>
      <c r="N187" s="52"/>
      <c r="O187" s="52"/>
      <c r="P187" s="52"/>
      <c r="Q187" s="52"/>
      <c r="R187" s="52"/>
      <c r="S187" s="52"/>
      <c r="T187" s="52"/>
      <c r="U187" s="52"/>
      <c r="V187" s="52"/>
      <c r="W187" s="52"/>
      <c r="X187" s="52"/>
      <c r="Y187" s="52"/>
      <c r="Z187" s="53"/>
    </row>
    <row r="188" spans="1:26" ht="15">
      <c r="B188" s="61" t="s">
        <v>1360</v>
      </c>
      <c r="C188" s="62"/>
      <c r="D188" s="62"/>
      <c r="E188" s="62"/>
      <c r="F188" s="63"/>
      <c r="G188" s="54" t="s">
        <v>1365</v>
      </c>
      <c r="H188" s="54"/>
      <c r="I188" s="54"/>
      <c r="J188" s="54"/>
      <c r="K188" s="54"/>
      <c r="L188" s="54"/>
      <c r="M188" s="54"/>
      <c r="N188" s="54"/>
      <c r="O188" s="54"/>
      <c r="P188" s="54"/>
      <c r="Q188" s="54"/>
      <c r="R188" s="54"/>
      <c r="S188" s="54"/>
      <c r="T188" s="54"/>
      <c r="U188" s="54"/>
      <c r="V188" s="54"/>
      <c r="W188" s="54"/>
      <c r="X188" s="54"/>
      <c r="Y188" s="54"/>
      <c r="Z188" s="55"/>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2" r:id="rId16" xr:uid="{49509B65-2F82-4464-988D-E2A7F994B604}"/>
    <hyperlink ref="R11" r:id="rId17" xr:uid="{C0C44A20-F4E2-42B0-81DA-7E1800BBE241}"/>
    <hyperlink ref="R14" r:id="rId18" xr:uid="{AD6187E0-F040-4003-8389-82EC232371F9}"/>
    <hyperlink ref="R16" r:id="rId19" xr:uid="{48349592-0CB0-4A5D-8D7E-66B7AA50875D}"/>
    <hyperlink ref="R17" r:id="rId20" display="https://ppubs.uspto.gov/pubwebapp/static/pages/ppubsbasic.html" xr:uid="{3875604B-8BBC-4DAF-AE9D-67C816C4334A}"/>
    <hyperlink ref="R19" r:id="rId21" xr:uid="{4198DA61-3D3D-4D00-A9F3-5F108216775A}"/>
    <hyperlink ref="R20" r:id="rId22" xr:uid="{6F6FAC30-8158-4FB7-A96F-FAE73548CD94}"/>
    <hyperlink ref="S18" r:id="rId23" xr:uid="{06BA7CAC-20BA-499F-92E3-8DC326BB088C}"/>
    <hyperlink ref="R15" r:id="rId24" xr:uid="{68DAC4F8-D106-489A-B576-CC32F5A0444C}"/>
    <hyperlink ref="K20" r:id="rId25" xr:uid="{EF4DF96A-BE16-4A0B-9A14-0D0CCDF767A2}"/>
  </hyperlinks>
  <pageMargins left="0.7" right="0.7" top="0.75" bottom="0.75" header="0.3" footer="0.3"/>
  <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7"/>
  <sheetViews>
    <sheetView zoomScale="85" zoomScaleNormal="85" workbookViewId="0">
      <pane xSplit="2" ySplit="3" topLeftCell="CW56" activePane="bottomRight" state="frozen"/>
      <selection pane="topRight" activeCell="C1" sqref="C1"/>
      <selection pane="bottomLeft" activeCell="A3" sqref="A3"/>
      <selection pane="bottomRight" activeCell="CZ75" sqref="CZ75"/>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71">
        <f>CW4*(1+CX21)</f>
        <v>3145.7400000000002</v>
      </c>
      <c r="CY4" s="71">
        <f t="shared" ref="CY4:DG4" si="4">CX4*(1+CY21)</f>
        <v>3435.1480800000004</v>
      </c>
      <c r="CZ4" s="71">
        <f t="shared" si="4"/>
        <v>3744.3114072000008</v>
      </c>
      <c r="DA4" s="71">
        <f t="shared" si="4"/>
        <v>4028.8790741472012</v>
      </c>
      <c r="DB4" s="71">
        <f t="shared" si="4"/>
        <v>4310.9006093375056</v>
      </c>
      <c r="DC4" s="71">
        <f t="shared" si="4"/>
        <v>4595.4200495537816</v>
      </c>
      <c r="DD4" s="71">
        <f t="shared" si="4"/>
        <v>4875.7406725765622</v>
      </c>
      <c r="DE4" s="71">
        <f t="shared" si="4"/>
        <v>5129.2791875505436</v>
      </c>
      <c r="DF4" s="71">
        <f t="shared" si="4"/>
        <v>5354.9674718027682</v>
      </c>
      <c r="DG4" s="71">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71">
        <f>CW5*(1+CX22)</f>
        <v>3700.7880000000005</v>
      </c>
      <c r="CY5" s="71">
        <f t="shared" ref="CY5:DG8" si="6">CX5*(1+CY22)</f>
        <v>4118.9770440000002</v>
      </c>
      <c r="CZ5" s="71">
        <f t="shared" si="6"/>
        <v>4477.328046828</v>
      </c>
      <c r="DA5" s="71">
        <f t="shared" si="6"/>
        <v>4848.9462747147236</v>
      </c>
      <c r="DB5" s="71">
        <f t="shared" si="6"/>
        <v>5236.8619766919019</v>
      </c>
      <c r="DC5" s="71">
        <f t="shared" si="6"/>
        <v>5645.3372108738704</v>
      </c>
      <c r="DD5" s="71">
        <f t="shared" si="6"/>
        <v>6074.3828389002847</v>
      </c>
      <c r="DE5" s="71">
        <f t="shared" si="6"/>
        <v>6523.8871689789057</v>
      </c>
      <c r="DF5" s="71">
        <f t="shared" si="6"/>
        <v>6993.607045145387</v>
      </c>
      <c r="DG5" s="71">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71">
        <f>CW6*(1+CX23)</f>
        <v>4179.42</v>
      </c>
      <c r="CY6" s="71">
        <f t="shared" si="6"/>
        <v>4446.9028800000006</v>
      </c>
      <c r="CZ6" s="71">
        <f t="shared" si="6"/>
        <v>4722.6108585600005</v>
      </c>
      <c r="DA6" s="71">
        <f t="shared" si="6"/>
        <v>5005.9675100736004</v>
      </c>
      <c r="DB6" s="71">
        <f t="shared" si="6"/>
        <v>5296.3136256578691</v>
      </c>
      <c r="DC6" s="71">
        <f t="shared" si="6"/>
        <v>5592.9071886947104</v>
      </c>
      <c r="DD6" s="71">
        <f t="shared" si="6"/>
        <v>5894.9241768842248</v>
      </c>
      <c r="DE6" s="71">
        <f t="shared" si="6"/>
        <v>6201.4602340822048</v>
      </c>
      <c r="DF6" s="71">
        <f t="shared" si="6"/>
        <v>6511.5332457863151</v>
      </c>
      <c r="DG6" s="71">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973-SUM(AW7:AY7)</f>
        <v>792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973</v>
      </c>
      <c r="CT7" s="2">
        <f t="shared" si="2"/>
        <v>1188</v>
      </c>
      <c r="CU7" s="2">
        <f t="shared" si="7"/>
        <v>1200</v>
      </c>
      <c r="CV7" s="2">
        <f t="shared" si="3"/>
        <v>1226</v>
      </c>
      <c r="CW7" s="2">
        <f t="shared" si="5"/>
        <v>1307</v>
      </c>
      <c r="CX7" s="71">
        <f>CW7*(1+CX24)</f>
        <v>2025.8500000000001</v>
      </c>
      <c r="CY7" s="71">
        <f t="shared" si="6"/>
        <v>2309.4690000000005</v>
      </c>
      <c r="CZ7" s="71">
        <f t="shared" si="6"/>
        <v>2632.7946600000009</v>
      </c>
      <c r="DA7" s="71">
        <f t="shared" si="6"/>
        <v>2975.0579658000006</v>
      </c>
      <c r="DB7" s="71">
        <f t="shared" si="6"/>
        <v>3361.8155013540004</v>
      </c>
      <c r="DC7" s="71">
        <f t="shared" si="6"/>
        <v>3765.2333615164807</v>
      </c>
      <c r="DD7" s="71">
        <f t="shared" si="6"/>
        <v>4217.061364898459</v>
      </c>
      <c r="DE7" s="71">
        <f t="shared" si="6"/>
        <v>4680.9381150372901</v>
      </c>
      <c r="DF7" s="71">
        <f t="shared" si="6"/>
        <v>5195.8413076913921</v>
      </c>
      <c r="DG7" s="71">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972-SUM(AW8:AY8)</f>
        <v>-398</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972</v>
      </c>
      <c r="CT8" s="2">
        <f t="shared" si="2"/>
        <v>1214</v>
      </c>
      <c r="CU8" s="2">
        <v>1658</v>
      </c>
      <c r="CV8" s="2">
        <f t="shared" si="3"/>
        <v>1876</v>
      </c>
      <c r="CW8" s="2">
        <f t="shared" si="5"/>
        <v>2136</v>
      </c>
      <c r="CX8" s="71">
        <f>CW8*(1+CX25)</f>
        <v>2403</v>
      </c>
      <c r="CY8" s="71">
        <f t="shared" si="6"/>
        <v>2643.3</v>
      </c>
      <c r="CZ8" s="71">
        <f t="shared" si="6"/>
        <v>2854.7640000000006</v>
      </c>
      <c r="DA8" s="71">
        <f t="shared" si="6"/>
        <v>3068.8713000000007</v>
      </c>
      <c r="DB8" s="71">
        <f t="shared" si="6"/>
        <v>3283.6922910000008</v>
      </c>
      <c r="DC8" s="71">
        <f t="shared" si="6"/>
        <v>3503.6996744970006</v>
      </c>
      <c r="DD8" s="71">
        <f t="shared" si="6"/>
        <v>3724.4327539903115</v>
      </c>
      <c r="DE8" s="71">
        <f t="shared" si="6"/>
        <v>3955.3475847377113</v>
      </c>
      <c r="DF8" s="71">
        <f t="shared" si="6"/>
        <v>4196.623787406711</v>
      </c>
      <c r="DG8" s="71">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6" customFormat="1" ht="15">
      <c r="B9" s="27" t="s">
        <v>1164</v>
      </c>
      <c r="AW9" s="26">
        <f>SUM(AW4:AW8)</f>
        <v>2105</v>
      </c>
      <c r="AX9" s="26">
        <f>SUM(AX4:AX8)</f>
        <v>1693</v>
      </c>
      <c r="AY9" s="26">
        <f>SUM(AY4:AY8)</f>
        <v>2118</v>
      </c>
      <c r="AZ9" s="26">
        <f>SUM(AZ4:AZ8)+250</f>
        <v>2429</v>
      </c>
      <c r="BA9" s="26">
        <f>SUM(BA4:BA8)+61</f>
        <v>2191</v>
      </c>
      <c r="BB9" s="26">
        <f>SUM(BB4:BB8)+73</f>
        <v>2359</v>
      </c>
      <c r="BC9" s="26">
        <f>SUM(BC4:BC8)+69</f>
        <v>2349</v>
      </c>
      <c r="BD9" s="26">
        <f>SUM(BD4:BD8)+277-61-73-69</f>
        <v>2639</v>
      </c>
      <c r="BE9" s="26">
        <f>SUM(BE4:BE8)+69</f>
        <v>2423</v>
      </c>
      <c r="BF9" s="26">
        <f>SUM(BF4:BF8)+77</f>
        <v>2549</v>
      </c>
      <c r="BG9" s="26">
        <f>SUM(BG4:BG8)+72</f>
        <v>2588</v>
      </c>
      <c r="BH9" s="26">
        <f>SUM(BH4:BH8)-69-72-77</f>
        <v>3051</v>
      </c>
      <c r="BI9" s="26">
        <f t="shared" ref="BI9:BQ9" si="8">SUM(BI4:BI8)</f>
        <v>2690</v>
      </c>
      <c r="BJ9" s="26">
        <f t="shared" si="8"/>
        <v>2860</v>
      </c>
      <c r="BK9" s="26">
        <f t="shared" si="8"/>
        <v>2859</v>
      </c>
      <c r="BL9" s="26">
        <f t="shared" si="8"/>
        <v>3754</v>
      </c>
      <c r="BM9" s="26">
        <f t="shared" si="8"/>
        <v>3097</v>
      </c>
      <c r="BN9" s="26">
        <f t="shared" si="8"/>
        <v>3117</v>
      </c>
      <c r="BO9" s="26">
        <f t="shared" si="8"/>
        <v>3224</v>
      </c>
      <c r="BP9" s="26">
        <f t="shared" si="8"/>
        <v>4080</v>
      </c>
      <c r="BQ9" s="26">
        <f t="shared" si="8"/>
        <v>3511</v>
      </c>
      <c r="BR9" s="25"/>
      <c r="BS9" s="25"/>
      <c r="BT9" s="25"/>
      <c r="BU9" s="25"/>
      <c r="BV9" s="25"/>
      <c r="BW9" s="25"/>
      <c r="BX9" s="25"/>
      <c r="BY9" s="25"/>
      <c r="CR9" s="2">
        <f>SUM(CR4:CR8)+286</f>
        <v>8475</v>
      </c>
      <c r="CS9" s="2">
        <f>SUM(CS4:CS8)+250</f>
        <v>8345</v>
      </c>
      <c r="CT9" s="2">
        <f>SUM(CT4:CT8)+277</f>
        <v>9538</v>
      </c>
      <c r="CU9" s="2">
        <f>SUM(CU4:CU8)</f>
        <v>10893</v>
      </c>
      <c r="CV9" s="2">
        <f>SUM(CV4:CV8)</f>
        <v>12163</v>
      </c>
      <c r="CW9" s="2">
        <f>SUM(CW4:CW8)</f>
        <v>13518</v>
      </c>
      <c r="CX9" s="71">
        <f>SUM(CX4:CX8)</f>
        <v>15454.798000000001</v>
      </c>
      <c r="CY9" s="71">
        <f t="shared" ref="CY9:DG9" si="9">SUM(CY4:CY8)</f>
        <v>16953.797004</v>
      </c>
      <c r="CZ9" s="71">
        <f t="shared" si="9"/>
        <v>18431.808972588005</v>
      </c>
      <c r="DA9" s="71">
        <f t="shared" si="9"/>
        <v>19927.722124735526</v>
      </c>
      <c r="DB9" s="71">
        <f t="shared" si="9"/>
        <v>21489.584004041277</v>
      </c>
      <c r="DC9" s="71">
        <f t="shared" si="9"/>
        <v>23102.597485135848</v>
      </c>
      <c r="DD9" s="71">
        <f t="shared" si="9"/>
        <v>24786.541807249843</v>
      </c>
      <c r="DE9" s="71">
        <f t="shared" si="9"/>
        <v>26490.912290386656</v>
      </c>
      <c r="DF9" s="71">
        <f t="shared" si="9"/>
        <v>28252.572857832576</v>
      </c>
      <c r="DG9" s="71">
        <f t="shared" si="9"/>
        <v>30167.597546945963</v>
      </c>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71">
        <f>CW10*(1+CX27)</f>
        <v>2593.8200000000002</v>
      </c>
      <c r="CY10" s="71">
        <f t="shared" ref="CY10:DG10" si="11">CX10*(1+CY27)</f>
        <v>2775.3874000000005</v>
      </c>
      <c r="CZ10" s="71">
        <f t="shared" si="11"/>
        <v>2891.9536708000005</v>
      </c>
      <c r="DA10" s="71">
        <f t="shared" si="11"/>
        <v>3007.6318176320005</v>
      </c>
      <c r="DB10" s="71">
        <f t="shared" si="11"/>
        <v>3127.9370903372806</v>
      </c>
      <c r="DC10" s="71">
        <f t="shared" si="11"/>
        <v>3253.054573950772</v>
      </c>
      <c r="DD10" s="71">
        <f t="shared" si="11"/>
        <v>3383.1767569088029</v>
      </c>
      <c r="DE10" s="71">
        <f t="shared" si="11"/>
        <v>3518.5038271851549</v>
      </c>
      <c r="DF10" s="71">
        <f t="shared" si="11"/>
        <v>3659.2439802725612</v>
      </c>
      <c r="DG10" s="71">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71">
        <f>CW11*(1+CX28)</f>
        <v>1848.84</v>
      </c>
      <c r="CY11" s="71">
        <f t="shared" ref="CY11:DG11" si="12">CX11*(1+CY28)</f>
        <v>1994.8983599999999</v>
      </c>
      <c r="CZ11" s="71">
        <f t="shared" si="12"/>
        <v>2158.4800255200003</v>
      </c>
      <c r="DA11" s="71">
        <f t="shared" si="12"/>
        <v>2266.4040267960004</v>
      </c>
      <c r="DB11" s="71">
        <f t="shared" si="12"/>
        <v>2379.7242281358003</v>
      </c>
      <c r="DC11" s="71">
        <f t="shared" si="12"/>
        <v>2474.9131972612327</v>
      </c>
      <c r="DD11" s="71">
        <f t="shared" si="12"/>
        <v>2573.9097251516819</v>
      </c>
      <c r="DE11" s="71">
        <f t="shared" si="12"/>
        <v>2651.1270169062323</v>
      </c>
      <c r="DF11" s="71">
        <f t="shared" si="12"/>
        <v>2730.6608274134192</v>
      </c>
      <c r="DG11" s="71">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71">
        <f>CW12*(1+CX29)</f>
        <v>3878.7420000000002</v>
      </c>
      <c r="CY12" s="71">
        <f t="shared" ref="CY12:DG12" si="13">CX12*(1+CY29)</f>
        <v>4247.2224900000001</v>
      </c>
      <c r="CZ12" s="71">
        <f t="shared" si="13"/>
        <v>4587.0002892000002</v>
      </c>
      <c r="DA12" s="71">
        <f t="shared" si="13"/>
        <v>4908.0903094440009</v>
      </c>
      <c r="DB12" s="71">
        <f t="shared" si="13"/>
        <v>5251.656631105081</v>
      </c>
      <c r="DC12" s="71">
        <f t="shared" si="13"/>
        <v>5619.2725952824367</v>
      </c>
      <c r="DD12" s="71">
        <f t="shared" si="13"/>
        <v>6001.3831317616423</v>
      </c>
      <c r="DE12" s="71">
        <f t="shared" si="13"/>
        <v>6391.4730353261484</v>
      </c>
      <c r="DF12" s="71">
        <f t="shared" si="13"/>
        <v>6806.9187826223479</v>
      </c>
      <c r="DG12" s="71">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713-SUM(BI13:BK13)</f>
        <v>-158</v>
      </c>
      <c r="BM13" s="26">
        <v>171</v>
      </c>
      <c r="BN13" s="26">
        <v>307</v>
      </c>
      <c r="BO13" s="26">
        <v>304</v>
      </c>
      <c r="BP13" s="26">
        <f>707-SUM(BM13:BO13)</f>
        <v>-75</v>
      </c>
      <c r="BQ13" s="26">
        <v>166</v>
      </c>
      <c r="BR13" s="25"/>
      <c r="BS13" s="25"/>
      <c r="BT13" s="25"/>
      <c r="BU13" s="25"/>
      <c r="BV13" s="25"/>
      <c r="BW13" s="25"/>
      <c r="BX13" s="25"/>
      <c r="BY13" s="25"/>
      <c r="CR13" s="26">
        <v>1157</v>
      </c>
      <c r="CS13" s="2">
        <f t="shared" si="10"/>
        <v>1047</v>
      </c>
      <c r="CT13" s="2">
        <v>1167</v>
      </c>
      <c r="CU13" s="2">
        <v>733</v>
      </c>
      <c r="CV13" s="2">
        <v>713</v>
      </c>
      <c r="CW13" s="2">
        <v>707</v>
      </c>
      <c r="CX13" s="71">
        <f>CW13*(1+CX30)</f>
        <v>714.07</v>
      </c>
      <c r="CY13" s="71">
        <f t="shared" ref="CY13:DG13" si="14">CX13*(1+CY30)</f>
        <v>678.36649999999997</v>
      </c>
      <c r="CZ13" s="71">
        <f t="shared" si="14"/>
        <v>664.79917</v>
      </c>
      <c r="DA13" s="71">
        <f t="shared" si="14"/>
        <v>658.15117829999997</v>
      </c>
      <c r="DB13" s="71">
        <f t="shared" si="14"/>
        <v>651.56966651699997</v>
      </c>
      <c r="DC13" s="71">
        <f t="shared" si="14"/>
        <v>645.05396985182995</v>
      </c>
      <c r="DD13" s="71">
        <f t="shared" si="14"/>
        <v>638.60343015331159</v>
      </c>
      <c r="DE13" s="71">
        <f t="shared" si="14"/>
        <v>632.21739585177852</v>
      </c>
      <c r="DF13" s="71">
        <f t="shared" si="14"/>
        <v>625.89522189326078</v>
      </c>
      <c r="DG13" s="71">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658-SUM(BI14:BK14)</f>
        <v>315</v>
      </c>
      <c r="BM14" s="26">
        <v>164</v>
      </c>
      <c r="BN14" s="26">
        <v>136</v>
      </c>
      <c r="BO14" s="26">
        <v>127</v>
      </c>
      <c r="BP14" s="26">
        <f>712-SUM(BM14:BO14)</f>
        <v>285</v>
      </c>
      <c r="BQ14" s="26">
        <v>162</v>
      </c>
      <c r="BR14" s="25"/>
      <c r="BS14" s="25"/>
      <c r="BT14" s="25"/>
      <c r="BU14" s="25"/>
      <c r="BV14" s="25"/>
      <c r="BW14" s="25"/>
      <c r="BX14" s="25"/>
      <c r="BY14" s="25"/>
      <c r="CR14" s="26">
        <v>415</v>
      </c>
      <c r="CS14" s="2">
        <f t="shared" si="10"/>
        <v>464</v>
      </c>
      <c r="CT14" s="2">
        <v>549</v>
      </c>
      <c r="CU14" s="2">
        <v>606</v>
      </c>
      <c r="CV14" s="2">
        <v>658</v>
      </c>
      <c r="CW14" s="2">
        <v>712</v>
      </c>
      <c r="CX14" s="71">
        <f>CW14*(1+CX31)</f>
        <v>776.08</v>
      </c>
      <c r="CY14" s="71">
        <f>CX14*(1+CY31)</f>
        <v>842.04679999999996</v>
      </c>
      <c r="CZ14" s="71">
        <f>CY14*(1+CZ31)</f>
        <v>900.99007600000004</v>
      </c>
      <c r="DA14" s="71">
        <f>CZ14*(1+DA31)</f>
        <v>964.05938132000006</v>
      </c>
      <c r="DB14" s="71">
        <f>DA14*(1+DB31)</f>
        <v>1031.5435380124002</v>
      </c>
      <c r="DC14" s="71">
        <f>DB14*(1+DC31)</f>
        <v>1103.7515856732682</v>
      </c>
      <c r="DD14" s="71">
        <f>DC14*(1+DD31)</f>
        <v>1181.014196670397</v>
      </c>
      <c r="DE14" s="71">
        <f>DD14*(1+DE31)</f>
        <v>1263.685190437325</v>
      </c>
      <c r="DF14" s="71">
        <f>DE14*(1+DF31)</f>
        <v>1352.1431537679377</v>
      </c>
      <c r="DG14" s="71">
        <f>DF14*(1+DG31)</f>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6" customFormat="1" ht="15">
      <c r="B15" s="27" t="s">
        <v>1170</v>
      </c>
      <c r="AW15" s="26">
        <f t="shared" ref="AW15:BP15" si="15">SUM(AW10:AW14)</f>
        <v>1483</v>
      </c>
      <c r="AX15" s="26">
        <f t="shared" si="15"/>
        <v>1071</v>
      </c>
      <c r="AY15" s="26">
        <f t="shared" si="15"/>
        <v>1619</v>
      </c>
      <c r="AZ15" s="26">
        <f t="shared" si="15"/>
        <v>1833</v>
      </c>
      <c r="BA15" s="26">
        <f t="shared" si="15"/>
        <v>1762</v>
      </c>
      <c r="BB15" s="26">
        <f t="shared" si="15"/>
        <v>1935</v>
      </c>
      <c r="BC15" s="26">
        <f t="shared" si="15"/>
        <v>1811</v>
      </c>
      <c r="BD15" s="26">
        <f t="shared" si="15"/>
        <v>2062</v>
      </c>
      <c r="BE15" s="26">
        <f t="shared" si="15"/>
        <v>1852</v>
      </c>
      <c r="BF15" s="26">
        <f t="shared" si="15"/>
        <v>1944</v>
      </c>
      <c r="BG15" s="26">
        <f t="shared" si="15"/>
        <v>1891</v>
      </c>
      <c r="BH15" s="26">
        <f t="shared" si="15"/>
        <v>2151</v>
      </c>
      <c r="BI15" s="26">
        <f t="shared" si="15"/>
        <v>2088</v>
      </c>
      <c r="BJ15" s="26">
        <f t="shared" si="15"/>
        <v>2136</v>
      </c>
      <c r="BK15" s="26">
        <f t="shared" si="15"/>
        <v>2050</v>
      </c>
      <c r="BL15" s="26">
        <f t="shared" si="15"/>
        <v>2061</v>
      </c>
      <c r="BM15" s="26">
        <f t="shared" si="15"/>
        <v>2146</v>
      </c>
      <c r="BN15" s="26">
        <f t="shared" si="15"/>
        <v>2305</v>
      </c>
      <c r="BO15" s="26">
        <f t="shared" si="15"/>
        <v>2270</v>
      </c>
      <c r="BP15" s="26">
        <f t="shared" si="15"/>
        <v>2356</v>
      </c>
      <c r="BQ15" s="26">
        <f>SUM(BQ10:BQ14)</f>
        <v>2355</v>
      </c>
      <c r="BR15" s="25"/>
      <c r="BS15" s="25"/>
      <c r="BT15" s="25"/>
      <c r="BU15" s="25"/>
      <c r="BV15" s="25"/>
      <c r="BW15" s="25"/>
      <c r="BX15" s="25"/>
      <c r="BY15" s="25"/>
      <c r="CR15" s="2">
        <f t="shared" ref="CR15:CV15" si="16">SUM(CR10:CR14)</f>
        <v>6409</v>
      </c>
      <c r="CS15" s="2">
        <f t="shared" si="16"/>
        <v>6006</v>
      </c>
      <c r="CT15" s="2">
        <f t="shared" si="16"/>
        <v>7570</v>
      </c>
      <c r="CU15" s="2">
        <f t="shared" si="16"/>
        <v>7556</v>
      </c>
      <c r="CV15" s="2">
        <f t="shared" si="16"/>
        <v>8335</v>
      </c>
      <c r="CW15" s="2">
        <f>SUM(CW10:CW14)</f>
        <v>9077</v>
      </c>
      <c r="CX15" s="71">
        <f>SUM(CX10:CX14)</f>
        <v>9811.5519999999997</v>
      </c>
      <c r="CY15" s="71">
        <f>SUM(CY10:CY14)</f>
        <v>10537.921550000001</v>
      </c>
      <c r="CZ15" s="71">
        <f t="shared" ref="CZ15:DG15" si="17">SUM(CZ10:CZ14)</f>
        <v>11203.223231520002</v>
      </c>
      <c r="DA15" s="71">
        <f t="shared" si="17"/>
        <v>11804.336713492003</v>
      </c>
      <c r="DB15" s="71">
        <f t="shared" si="17"/>
        <v>12442.431154107562</v>
      </c>
      <c r="DC15" s="71">
        <f t="shared" si="17"/>
        <v>13096.045922019539</v>
      </c>
      <c r="DD15" s="71">
        <f t="shared" si="17"/>
        <v>13778.087240645835</v>
      </c>
      <c r="DE15" s="71">
        <f t="shared" si="17"/>
        <v>14457.00646570664</v>
      </c>
      <c r="DF15" s="71">
        <f t="shared" si="17"/>
        <v>15174.861965969527</v>
      </c>
      <c r="DG15" s="71">
        <f t="shared" si="17"/>
        <v>15920.378501852863</v>
      </c>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row>
    <row r="16" spans="2:147" s="27" customFormat="1" ht="15">
      <c r="B16" s="27" t="s">
        <v>1171</v>
      </c>
      <c r="AW16" s="27">
        <f t="shared" ref="AW16:BQ16" si="18">AW9+AW15</f>
        <v>3588</v>
      </c>
      <c r="AX16" s="27">
        <f t="shared" si="18"/>
        <v>2764</v>
      </c>
      <c r="AY16" s="27">
        <f t="shared" si="18"/>
        <v>3737</v>
      </c>
      <c r="AZ16" s="27">
        <f t="shared" si="18"/>
        <v>4262</v>
      </c>
      <c r="BA16" s="27">
        <f t="shared" si="18"/>
        <v>3953</v>
      </c>
      <c r="BB16" s="27">
        <f t="shared" si="18"/>
        <v>4294</v>
      </c>
      <c r="BC16" s="27">
        <f t="shared" si="18"/>
        <v>4160</v>
      </c>
      <c r="BD16" s="27">
        <f t="shared" si="18"/>
        <v>4701</v>
      </c>
      <c r="BE16" s="27">
        <f t="shared" si="18"/>
        <v>4275</v>
      </c>
      <c r="BF16" s="27">
        <f t="shared" si="18"/>
        <v>4493</v>
      </c>
      <c r="BG16" s="27">
        <f t="shared" si="18"/>
        <v>4479</v>
      </c>
      <c r="BH16" s="27">
        <f t="shared" si="18"/>
        <v>5202</v>
      </c>
      <c r="BI16" s="27">
        <f t="shared" si="18"/>
        <v>4778</v>
      </c>
      <c r="BJ16" s="27">
        <f t="shared" si="18"/>
        <v>4996</v>
      </c>
      <c r="BK16" s="27">
        <f t="shared" si="18"/>
        <v>4909</v>
      </c>
      <c r="BL16" s="27">
        <f t="shared" si="18"/>
        <v>5815</v>
      </c>
      <c r="BM16" s="27">
        <f t="shared" si="18"/>
        <v>5243</v>
      </c>
      <c r="BN16" s="27">
        <f t="shared" si="18"/>
        <v>5422</v>
      </c>
      <c r="BO16" s="27">
        <f t="shared" si="18"/>
        <v>5494</v>
      </c>
      <c r="BP16" s="27">
        <f t="shared" si="18"/>
        <v>6436</v>
      </c>
      <c r="BQ16" s="27">
        <f t="shared" si="18"/>
        <v>5866</v>
      </c>
      <c r="BR16" s="28"/>
      <c r="BS16" s="28"/>
      <c r="BT16" s="28"/>
      <c r="BU16" s="28"/>
      <c r="BV16" s="28"/>
      <c r="BW16" s="28"/>
      <c r="BX16" s="28"/>
      <c r="BY16" s="28"/>
      <c r="CR16" s="1">
        <f t="shared" ref="CR16:DG16" si="19">CR9+CR15</f>
        <v>14884</v>
      </c>
      <c r="CS16" s="1">
        <f t="shared" si="19"/>
        <v>14351</v>
      </c>
      <c r="CT16" s="1">
        <f t="shared" si="19"/>
        <v>17108</v>
      </c>
      <c r="CU16" s="1">
        <f t="shared" si="19"/>
        <v>18449</v>
      </c>
      <c r="CV16" s="1">
        <f t="shared" si="19"/>
        <v>20498</v>
      </c>
      <c r="CW16" s="1">
        <f t="shared" si="19"/>
        <v>22595</v>
      </c>
      <c r="CX16" s="72">
        <f t="shared" si="19"/>
        <v>25266.35</v>
      </c>
      <c r="CY16" s="72">
        <f t="shared" si="19"/>
        <v>27491.718553999999</v>
      </c>
      <c r="CZ16" s="72">
        <f t="shared" si="19"/>
        <v>29635.032204108007</v>
      </c>
      <c r="DA16" s="72">
        <f t="shared" si="19"/>
        <v>31732.058838227531</v>
      </c>
      <c r="DB16" s="72">
        <f t="shared" si="19"/>
        <v>33932.015158148839</v>
      </c>
      <c r="DC16" s="72">
        <f t="shared" si="19"/>
        <v>36198.643407155389</v>
      </c>
      <c r="DD16" s="72">
        <f t="shared" si="19"/>
        <v>38564.62904789568</v>
      </c>
      <c r="DE16" s="72">
        <f t="shared" si="19"/>
        <v>40947.918756093291</v>
      </c>
      <c r="DF16" s="72">
        <f t="shared" si="19"/>
        <v>43427.434823802105</v>
      </c>
      <c r="DG16" s="72">
        <f t="shared" si="19"/>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0">AW9/AW16</f>
        <v>0.58667781493868454</v>
      </c>
      <c r="AX18" s="30">
        <f t="shared" si="20"/>
        <v>0.61251808972503619</v>
      </c>
      <c r="AY18" s="30">
        <f t="shared" si="20"/>
        <v>0.56676478458656676</v>
      </c>
      <c r="AZ18" s="30">
        <f t="shared" si="20"/>
        <v>0.56992022524636321</v>
      </c>
      <c r="BA18" s="30">
        <f t="shared" si="20"/>
        <v>0.55426258537819373</v>
      </c>
      <c r="BB18" s="30">
        <f t="shared" si="20"/>
        <v>0.54937121564974378</v>
      </c>
      <c r="BC18" s="30">
        <f t="shared" si="20"/>
        <v>0.56466346153846159</v>
      </c>
      <c r="BD18" s="30">
        <f t="shared" si="20"/>
        <v>0.56136992129334184</v>
      </c>
      <c r="BE18" s="30">
        <f t="shared" si="20"/>
        <v>0.56678362573099417</v>
      </c>
      <c r="BF18" s="30">
        <f t="shared" si="20"/>
        <v>0.56732695303805925</v>
      </c>
      <c r="BG18" s="30">
        <f t="shared" si="20"/>
        <v>0.57780754632730524</v>
      </c>
      <c r="BH18" s="30">
        <f t="shared" si="20"/>
        <v>0.58650519031141868</v>
      </c>
      <c r="BI18" s="30">
        <f t="shared" si="20"/>
        <v>0.56299706990372544</v>
      </c>
      <c r="BJ18" s="30">
        <f t="shared" si="20"/>
        <v>0.57245796637309843</v>
      </c>
      <c r="BK18" s="30">
        <f t="shared" si="20"/>
        <v>0.58239967406803828</v>
      </c>
      <c r="BL18" s="30">
        <f t="shared" si="20"/>
        <v>0.64557179707652623</v>
      </c>
      <c r="BM18" s="30">
        <f t="shared" si="20"/>
        <v>0.59069235170703793</v>
      </c>
      <c r="BN18" s="30">
        <f t="shared" si="20"/>
        <v>0.57488011803762451</v>
      </c>
      <c r="BO18" s="30">
        <f t="shared" si="20"/>
        <v>0.58682198762286131</v>
      </c>
      <c r="BP18" s="30">
        <f t="shared" si="20"/>
        <v>0.63393412057178367</v>
      </c>
      <c r="BQ18" s="30">
        <f t="shared" si="20"/>
        <v>0.59853392430958063</v>
      </c>
      <c r="BR18" s="28"/>
      <c r="BS18" s="28"/>
      <c r="BT18" s="28"/>
      <c r="BU18" s="28"/>
      <c r="BV18" s="28"/>
      <c r="BW18" s="28"/>
      <c r="BX18" s="28"/>
      <c r="BY18" s="28"/>
      <c r="CR18" s="30">
        <f t="shared" ref="CR18:CW18" si="21">CR9/CR16</f>
        <v>0.56940338618650899</v>
      </c>
      <c r="CS18" s="30">
        <f t="shared" si="21"/>
        <v>0.58149257891436135</v>
      </c>
      <c r="CT18" s="30">
        <f t="shared" si="21"/>
        <v>0.55751695113397237</v>
      </c>
      <c r="CU18" s="30">
        <f t="shared" si="21"/>
        <v>0.59043850615209492</v>
      </c>
      <c r="CV18" s="30">
        <f t="shared" si="21"/>
        <v>0.59337496341106455</v>
      </c>
      <c r="CW18" s="30">
        <f t="shared" si="21"/>
        <v>0.59827395441469355</v>
      </c>
      <c r="CX18" s="70">
        <f t="shared" ref="CX18:DG18" si="22">CX9/CX16</f>
        <v>0.61167513313161581</v>
      </c>
      <c r="CY18" s="70">
        <f t="shared" si="22"/>
        <v>0.61668742063901461</v>
      </c>
      <c r="CZ18" s="70">
        <f t="shared" si="22"/>
        <v>0.62196014654686249</v>
      </c>
      <c r="DA18" s="70">
        <f t="shared" si="22"/>
        <v>0.62799965884119213</v>
      </c>
      <c r="DB18" s="70">
        <f t="shared" si="22"/>
        <v>0.63331293186931492</v>
      </c>
      <c r="DC18" s="70">
        <f t="shared" si="22"/>
        <v>0.63821721784659902</v>
      </c>
      <c r="DD18" s="70">
        <f t="shared" si="22"/>
        <v>0.64272734936633202</v>
      </c>
      <c r="DE18" s="70">
        <f t="shared" si="22"/>
        <v>0.64694160521759492</v>
      </c>
      <c r="DF18" s="70">
        <f t="shared" si="22"/>
        <v>0.65056969108264362</v>
      </c>
      <c r="DG18" s="70">
        <f t="shared" si="22"/>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3">AW15/AW16</f>
        <v>0.41332218506131552</v>
      </c>
      <c r="AX19" s="30">
        <f t="shared" si="23"/>
        <v>0.38748191027496381</v>
      </c>
      <c r="AY19" s="30">
        <f t="shared" si="23"/>
        <v>0.43323521541343324</v>
      </c>
      <c r="AZ19" s="30">
        <f t="shared" si="23"/>
        <v>0.43007977475363679</v>
      </c>
      <c r="BA19" s="30">
        <f t="shared" si="23"/>
        <v>0.44573741462180622</v>
      </c>
      <c r="BB19" s="30">
        <f t="shared" si="23"/>
        <v>0.45062878435025616</v>
      </c>
      <c r="BC19" s="30">
        <f t="shared" si="23"/>
        <v>0.43533653846153847</v>
      </c>
      <c r="BD19" s="30">
        <f t="shared" si="23"/>
        <v>0.43863007870665816</v>
      </c>
      <c r="BE19" s="30">
        <f t="shared" si="23"/>
        <v>0.43321637426900583</v>
      </c>
      <c r="BF19" s="30">
        <f t="shared" si="23"/>
        <v>0.43267304696194081</v>
      </c>
      <c r="BG19" s="30">
        <f t="shared" si="23"/>
        <v>0.42219245367269481</v>
      </c>
      <c r="BH19" s="30">
        <f t="shared" si="23"/>
        <v>0.41349480968858132</v>
      </c>
      <c r="BI19" s="30">
        <f t="shared" si="23"/>
        <v>0.43700293009627461</v>
      </c>
      <c r="BJ19" s="30">
        <f t="shared" si="23"/>
        <v>0.42754203362690152</v>
      </c>
      <c r="BK19" s="30">
        <f t="shared" si="23"/>
        <v>0.41760032593196172</v>
      </c>
      <c r="BL19" s="30">
        <f t="shared" si="23"/>
        <v>0.35442820292347377</v>
      </c>
      <c r="BM19" s="30">
        <f t="shared" si="23"/>
        <v>0.40930764829296207</v>
      </c>
      <c r="BN19" s="30">
        <f t="shared" si="23"/>
        <v>0.42511988196237549</v>
      </c>
      <c r="BO19" s="30">
        <f t="shared" si="23"/>
        <v>0.41317801237713869</v>
      </c>
      <c r="BP19" s="30">
        <f t="shared" si="23"/>
        <v>0.36606587942821628</v>
      </c>
      <c r="BQ19" s="30">
        <f t="shared" si="23"/>
        <v>0.40146607569041937</v>
      </c>
      <c r="BR19" s="28"/>
      <c r="BS19" s="28"/>
      <c r="BT19" s="28"/>
      <c r="BU19" s="28"/>
      <c r="BV19" s="28"/>
      <c r="BW19" s="28"/>
      <c r="BX19" s="28"/>
      <c r="BY19" s="28"/>
      <c r="CR19" s="30">
        <f t="shared" ref="CR19:CW19" si="24">CR15/CR16</f>
        <v>0.43059661381349101</v>
      </c>
      <c r="CS19" s="30">
        <f t="shared" si="24"/>
        <v>0.41850742108563865</v>
      </c>
      <c r="CT19" s="30">
        <f t="shared" si="24"/>
        <v>0.44248304886602757</v>
      </c>
      <c r="CU19" s="30">
        <f t="shared" si="24"/>
        <v>0.40956149384790502</v>
      </c>
      <c r="CV19" s="30">
        <f t="shared" si="24"/>
        <v>0.40662503658893551</v>
      </c>
      <c r="CW19" s="30">
        <f t="shared" si="24"/>
        <v>0.4017260455853065</v>
      </c>
      <c r="CX19" s="70">
        <f t="shared" ref="CX19:DG19" si="25">CX15/CX16</f>
        <v>0.38832486686838424</v>
      </c>
      <c r="CY19" s="70">
        <f t="shared" si="25"/>
        <v>0.38331257936098545</v>
      </c>
      <c r="CZ19" s="70">
        <f t="shared" si="25"/>
        <v>0.37803985345313751</v>
      </c>
      <c r="DA19" s="70">
        <f t="shared" si="25"/>
        <v>0.37200034115880776</v>
      </c>
      <c r="DB19" s="70">
        <f t="shared" si="25"/>
        <v>0.36668706813068508</v>
      </c>
      <c r="DC19" s="70">
        <f t="shared" si="25"/>
        <v>0.36178278215340087</v>
      </c>
      <c r="DD19" s="70">
        <f t="shared" si="25"/>
        <v>0.35727265063366792</v>
      </c>
      <c r="DE19" s="70">
        <f t="shared" si="25"/>
        <v>0.35305839478240519</v>
      </c>
      <c r="DF19" s="70">
        <f t="shared" si="25"/>
        <v>0.34943030891735632</v>
      </c>
      <c r="DG19" s="70">
        <f t="shared" si="25"/>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6">BA4/AW4-1</f>
        <v>-8.5769980506822607E-2</v>
      </c>
      <c r="BB21" s="30">
        <f t="shared" si="26"/>
        <v>0.57621951219512191</v>
      </c>
      <c r="BC21" s="30">
        <f t="shared" si="26"/>
        <v>0.12419700214132767</v>
      </c>
      <c r="BD21" s="30">
        <f t="shared" si="26"/>
        <v>8.1081081081081141E-2</v>
      </c>
      <c r="BE21" s="30">
        <f t="shared" si="26"/>
        <v>0.12579957356076754</v>
      </c>
      <c r="BF21" s="30">
        <f t="shared" si="26"/>
        <v>8.8974854932301728E-2</v>
      </c>
      <c r="BG21" s="30">
        <f t="shared" si="26"/>
        <v>1.904761904761898E-2</v>
      </c>
      <c r="BH21" s="30">
        <f t="shared" si="26"/>
        <v>8.8333333333333375E-2</v>
      </c>
      <c r="BI21" s="30">
        <f t="shared" si="26"/>
        <v>7.1969696969697017E-2</v>
      </c>
      <c r="BJ21" s="30">
        <f t="shared" si="26"/>
        <v>0.10479573712255763</v>
      </c>
      <c r="BK21" s="30">
        <f t="shared" ref="BK21:BQ25" si="27">BK4/BG4-1</f>
        <v>0.1588785046728971</v>
      </c>
      <c r="BL21" s="30">
        <f t="shared" si="27"/>
        <v>0.11179173047473201</v>
      </c>
      <c r="BM21" s="30">
        <f t="shared" si="27"/>
        <v>0.17844522968197873</v>
      </c>
      <c r="BN21" s="30">
        <f t="shared" si="27"/>
        <v>0.12218649517684876</v>
      </c>
      <c r="BO21" s="30">
        <f t="shared" si="27"/>
        <v>9.5161290322580694E-2</v>
      </c>
      <c r="BP21" s="30">
        <f t="shared" si="27"/>
        <v>8.8154269972451793E-2</v>
      </c>
      <c r="BQ21" s="30">
        <f>BQ4/BM4-1</f>
        <v>9.4452773613193486E-2</v>
      </c>
      <c r="BR21" s="25"/>
      <c r="BS21" s="25"/>
      <c r="BT21" s="25"/>
      <c r="BU21" s="25"/>
      <c r="BV21" s="25"/>
      <c r="BW21" s="25"/>
      <c r="BX21" s="25"/>
      <c r="BY21" s="25"/>
      <c r="CS21" s="30">
        <f t="shared" ref="CS21:CW25" si="28">CS4/CR4-1</f>
        <v>-4.9004594180704464E-2</v>
      </c>
      <c r="CT21" s="30">
        <f t="shared" si="28"/>
        <v>0.13311862587224899</v>
      </c>
      <c r="CU21" s="30">
        <f t="shared" si="28"/>
        <v>6.3477025106584595E-2</v>
      </c>
      <c r="CV21" s="30">
        <f t="shared" si="28"/>
        <v>0.1287305122494431</v>
      </c>
      <c r="CW21" s="30">
        <f t="shared" si="28"/>
        <v>0.11838989739542227</v>
      </c>
      <c r="CX21" s="70">
        <v>0.11</v>
      </c>
      <c r="CY21" s="70">
        <v>9.1999999999999998E-2</v>
      </c>
      <c r="CZ21" s="70">
        <v>0.09</v>
      </c>
      <c r="DA21" s="70">
        <v>7.5999999999999998E-2</v>
      </c>
      <c r="DB21" s="70">
        <v>7.0000000000000007E-2</v>
      </c>
      <c r="DC21" s="70">
        <v>6.6000000000000003E-2</v>
      </c>
      <c r="DD21" s="70">
        <v>6.0999999999999999E-2</v>
      </c>
      <c r="DE21" s="70">
        <v>5.1999999999999998E-2</v>
      </c>
      <c r="DF21" s="70">
        <v>4.3999999999999997E-2</v>
      </c>
      <c r="DG21" s="70">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6"/>
        <v>3.076923076923066E-2</v>
      </c>
      <c r="BB22" s="30">
        <f t="shared" si="26"/>
        <v>0.639240506329114</v>
      </c>
      <c r="BC22" s="30">
        <f t="shared" si="26"/>
        <v>0.12419700214132767</v>
      </c>
      <c r="BD22" s="30">
        <f t="shared" si="26"/>
        <v>0.1980952380952381</v>
      </c>
      <c r="BE22" s="30">
        <f t="shared" si="26"/>
        <v>0.14712153518123672</v>
      </c>
      <c r="BF22" s="30">
        <f t="shared" si="26"/>
        <v>0.15830115830115821</v>
      </c>
      <c r="BG22" s="30">
        <f t="shared" si="26"/>
        <v>0.12380952380952381</v>
      </c>
      <c r="BH22" s="30">
        <f t="shared" si="26"/>
        <v>0.58505564387917319</v>
      </c>
      <c r="BI22" s="30">
        <f t="shared" si="26"/>
        <v>0.31412639405204468</v>
      </c>
      <c r="BJ22" s="30">
        <f t="shared" si="26"/>
        <v>0.18833333333333324</v>
      </c>
      <c r="BK22" s="30">
        <f t="shared" si="27"/>
        <v>0.264406779661017</v>
      </c>
      <c r="BL22" s="30">
        <f t="shared" si="27"/>
        <v>-9.5285857572718125E-2</v>
      </c>
      <c r="BM22" s="30">
        <f t="shared" si="27"/>
        <v>0.10042432814710045</v>
      </c>
      <c r="BN22" s="30">
        <f t="shared" si="27"/>
        <v>7.7138849929873743E-2</v>
      </c>
      <c r="BO22" s="30">
        <f t="shared" si="27"/>
        <v>0.12198391420911525</v>
      </c>
      <c r="BP22" s="30">
        <f t="shared" si="27"/>
        <v>0.11529933481152987</v>
      </c>
      <c r="BQ22" s="30">
        <f t="shared" si="27"/>
        <v>0.11439588688946012</v>
      </c>
      <c r="BR22" s="25"/>
      <c r="BS22" s="25"/>
      <c r="BT22" s="25"/>
      <c r="BU22" s="25"/>
      <c r="BV22" s="25"/>
      <c r="BW22" s="25"/>
      <c r="BX22" s="25"/>
      <c r="BY22" s="25"/>
      <c r="CS22" s="30">
        <f t="shared" si="28"/>
        <v>-0.11094301563287945</v>
      </c>
      <c r="CT22" s="30">
        <f t="shared" si="28"/>
        <v>0.21440726035167335</v>
      </c>
      <c r="CU22" s="30">
        <f t="shared" si="28"/>
        <v>0.2886501634750116</v>
      </c>
      <c r="CV22" s="30">
        <f t="shared" si="28"/>
        <v>0.11199710039869526</v>
      </c>
      <c r="CW22" s="30">
        <f t="shared" si="28"/>
        <v>0.10462842242503267</v>
      </c>
      <c r="CX22" s="70">
        <v>9.1999999999999998E-2</v>
      </c>
      <c r="CY22" s="70">
        <v>0.113</v>
      </c>
      <c r="CZ22" s="70">
        <v>8.6999999999999994E-2</v>
      </c>
      <c r="DA22" s="70">
        <v>8.3000000000000004E-2</v>
      </c>
      <c r="DB22" s="70">
        <v>0.08</v>
      </c>
      <c r="DC22" s="70">
        <v>7.8E-2</v>
      </c>
      <c r="DD22" s="70">
        <v>7.5999999999999998E-2</v>
      </c>
      <c r="DE22" s="70">
        <v>7.3999999999999996E-2</v>
      </c>
      <c r="DF22" s="70">
        <v>7.1999999999999995E-2</v>
      </c>
      <c r="DG22" s="70">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6"/>
        <v>5.9625212947189032E-2</v>
      </c>
      <c r="BB23" s="30">
        <f t="shared" si="26"/>
        <v>1.2658227848101333E-2</v>
      </c>
      <c r="BC23" s="30">
        <f t="shared" si="26"/>
        <v>6.0000000000000053E-2</v>
      </c>
      <c r="BD23" s="30">
        <f t="shared" si="26"/>
        <v>5.6737588652482351E-3</v>
      </c>
      <c r="BE23" s="30">
        <f t="shared" si="26"/>
        <v>6.7524115755627001E-2</v>
      </c>
      <c r="BF23" s="30">
        <f t="shared" si="26"/>
        <v>4.0624999999999911E-2</v>
      </c>
      <c r="BG23" s="30">
        <f t="shared" si="26"/>
        <v>0.20283018867924518</v>
      </c>
      <c r="BH23" s="30">
        <f t="shared" si="26"/>
        <v>0.32016925246826511</v>
      </c>
      <c r="BI23" s="30">
        <f t="shared" si="26"/>
        <v>0.17168674698795172</v>
      </c>
      <c r="BJ23" s="30">
        <f t="shared" si="26"/>
        <v>0.26276276276276267</v>
      </c>
      <c r="BK23" s="30">
        <f t="shared" si="27"/>
        <v>4.3137254901960853E-2</v>
      </c>
      <c r="BL23" s="30">
        <f t="shared" si="27"/>
        <v>0.11324786324786329</v>
      </c>
      <c r="BM23" s="30">
        <f t="shared" si="27"/>
        <v>0.11053984575835485</v>
      </c>
      <c r="BN23" s="30">
        <f t="shared" si="27"/>
        <v>7.9667063020214091E-2</v>
      </c>
      <c r="BO23" s="30">
        <f t="shared" si="27"/>
        <v>0.17543859649122817</v>
      </c>
      <c r="BP23" s="30">
        <f t="shared" si="27"/>
        <v>9.5969289827255277E-2</v>
      </c>
      <c r="BQ23" s="30">
        <f t="shared" si="27"/>
        <v>9.375E-2</v>
      </c>
      <c r="BR23" s="25"/>
      <c r="BS23" s="25"/>
      <c r="BT23" s="25"/>
      <c r="BU23" s="25"/>
      <c r="BV23" s="25"/>
      <c r="BW23" s="25"/>
      <c r="BX23" s="25"/>
      <c r="BY23" s="25"/>
      <c r="CS23" s="30">
        <f t="shared" si="28"/>
        <v>0.11484098939929321</v>
      </c>
      <c r="CT23" s="30">
        <f t="shared" si="28"/>
        <v>3.2884310618066515E-2</v>
      </c>
      <c r="CU23" s="30">
        <f t="shared" si="28"/>
        <v>0.16263904871499801</v>
      </c>
      <c r="CV23" s="30">
        <f t="shared" si="28"/>
        <v>0.14120752226987787</v>
      </c>
      <c r="CW23" s="30">
        <f t="shared" si="28"/>
        <v>0.11361665221162176</v>
      </c>
      <c r="CX23" s="70">
        <v>8.5000000000000006E-2</v>
      </c>
      <c r="CY23" s="70">
        <v>6.4000000000000001E-2</v>
      </c>
      <c r="CZ23" s="70">
        <v>6.2E-2</v>
      </c>
      <c r="DA23" s="70">
        <v>0.06</v>
      </c>
      <c r="DB23" s="70">
        <v>5.8000000000000003E-2</v>
      </c>
      <c r="DC23" s="70">
        <v>5.6000000000000001E-2</v>
      </c>
      <c r="DD23" s="70">
        <v>5.3999999999999999E-2</v>
      </c>
      <c r="DE23" s="70">
        <v>5.1999999999999998E-2</v>
      </c>
      <c r="DF23" s="70">
        <v>0.05</v>
      </c>
      <c r="DG23" s="70">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6"/>
        <v>3.3134328358208958</v>
      </c>
      <c r="BB24" s="8">
        <f t="shared" si="26"/>
        <v>5.270833333333333</v>
      </c>
      <c r="BC24" s="8">
        <f t="shared" si="26"/>
        <v>3.4696969696969697</v>
      </c>
      <c r="BD24" s="8">
        <f t="shared" si="26"/>
        <v>-0.61742424242424243</v>
      </c>
      <c r="BE24" s="8">
        <f t="shared" si="26"/>
        <v>4.1522491349480939E-2</v>
      </c>
      <c r="BF24" s="8">
        <f t="shared" si="26"/>
        <v>1.6611295681063121E-2</v>
      </c>
      <c r="BG24" s="8">
        <f t="shared" si="26"/>
        <v>-3.3898305084745228E-3</v>
      </c>
      <c r="BH24" s="8">
        <f t="shared" si="26"/>
        <v>-1.320132013201325E-2</v>
      </c>
      <c r="BI24" s="8">
        <f t="shared" si="26"/>
        <v>-5.6478405315614655E-2</v>
      </c>
      <c r="BJ24" s="8">
        <f t="shared" si="26"/>
        <v>1.6339869281045694E-2</v>
      </c>
      <c r="BK24" s="8">
        <f t="shared" si="27"/>
        <v>5.7823129251700633E-2</v>
      </c>
      <c r="BL24" s="8">
        <f t="shared" si="27"/>
        <v>7.0234113712374535E-2</v>
      </c>
      <c r="BM24" s="8">
        <f t="shared" si="27"/>
        <v>9.1549295774647987E-2</v>
      </c>
      <c r="BN24" s="8">
        <f t="shared" si="27"/>
        <v>5.1446945337620509E-2</v>
      </c>
      <c r="BO24" s="8">
        <f t="shared" si="27"/>
        <v>5.7877813504823239E-2</v>
      </c>
      <c r="BP24" s="8">
        <f t="shared" si="27"/>
        <v>6.5625000000000044E-2</v>
      </c>
      <c r="BQ24" s="8">
        <f t="shared" si="27"/>
        <v>0.30967741935483861</v>
      </c>
      <c r="CS24" s="8">
        <f t="shared" si="28"/>
        <v>5.3030303030302983E-2</v>
      </c>
      <c r="CT24" s="8">
        <f t="shared" si="28"/>
        <v>0.22096608427543685</v>
      </c>
      <c r="CU24" s="8">
        <f t="shared" si="28"/>
        <v>1.0101010101010166E-2</v>
      </c>
      <c r="CV24" s="8">
        <f t="shared" si="28"/>
        <v>2.1666666666666723E-2</v>
      </c>
      <c r="CW24" s="8">
        <f t="shared" si="28"/>
        <v>6.6068515497553104E-2</v>
      </c>
      <c r="CX24" s="70">
        <v>0.55000000000000004</v>
      </c>
      <c r="CY24" s="70">
        <v>0.14000000000000001</v>
      </c>
      <c r="CZ24" s="70">
        <v>0.14000000000000001</v>
      </c>
      <c r="DA24" s="70">
        <v>0.13</v>
      </c>
      <c r="DB24" s="70">
        <v>0.13</v>
      </c>
      <c r="DC24" s="70">
        <v>0.12</v>
      </c>
      <c r="DD24" s="70">
        <v>0.12</v>
      </c>
      <c r="DE24" s="70">
        <v>0.11</v>
      </c>
      <c r="DF24" s="70">
        <v>0.11</v>
      </c>
      <c r="DG24" s="70">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6"/>
        <v>-0.41821946169772262</v>
      </c>
      <c r="BB25" s="8">
        <f t="shared" si="26"/>
        <v>-0.15989159891598914</v>
      </c>
      <c r="BC25" s="8">
        <f t="shared" si="26"/>
        <v>-0.42277992277992282</v>
      </c>
      <c r="BD25" s="8">
        <f t="shared" si="26"/>
        <v>-1.8140703517587939</v>
      </c>
      <c r="BE25" s="8">
        <f t="shared" si="26"/>
        <v>0.14946619217081847</v>
      </c>
      <c r="BF25" s="8">
        <f t="shared" si="26"/>
        <v>8.7096774193548443E-2</v>
      </c>
      <c r="BG25" s="8">
        <f t="shared" si="26"/>
        <v>0.11036789297658856</v>
      </c>
      <c r="BH25" s="8">
        <f t="shared" si="26"/>
        <v>0.18518518518518512</v>
      </c>
      <c r="BI25" s="8">
        <f t="shared" si="26"/>
        <v>9.9071207430340591E-2</v>
      </c>
      <c r="BJ25" s="8">
        <f t="shared" si="26"/>
        <v>0.10682492581602365</v>
      </c>
      <c r="BK25" s="8">
        <f t="shared" si="27"/>
        <v>0.15662650602409633</v>
      </c>
      <c r="BL25" s="8">
        <f t="shared" si="27"/>
        <v>0.98958333333333326</v>
      </c>
      <c r="BM25" s="8">
        <f t="shared" si="27"/>
        <v>0.3464788732394366</v>
      </c>
      <c r="BN25" s="8">
        <f t="shared" si="27"/>
        <v>0.11528150134048265</v>
      </c>
      <c r="BO25" s="8">
        <f t="shared" si="27"/>
        <v>0.1484375</v>
      </c>
      <c r="BP25" s="8">
        <f t="shared" si="27"/>
        <v>4.8429319371727786E-2</v>
      </c>
      <c r="BQ25" s="8">
        <f t="shared" si="27"/>
        <v>0.17782426778242688</v>
      </c>
      <c r="CS25" s="8">
        <f t="shared" si="28"/>
        <v>-8.2152974504249299E-2</v>
      </c>
      <c r="CT25" s="8">
        <f t="shared" si="28"/>
        <v>0.24897119341563778</v>
      </c>
      <c r="CU25" s="8">
        <f t="shared" si="28"/>
        <v>0.36573311367380557</v>
      </c>
      <c r="CV25" s="8">
        <f t="shared" si="28"/>
        <v>0.13148371531966219</v>
      </c>
      <c r="CW25" s="8">
        <f t="shared" si="28"/>
        <v>0.13859275053304909</v>
      </c>
      <c r="CX25" s="70">
        <v>0.125</v>
      </c>
      <c r="CY25" s="70">
        <v>0.1</v>
      </c>
      <c r="CZ25" s="70">
        <v>0.08</v>
      </c>
      <c r="DA25" s="70">
        <v>7.4999999999999997E-2</v>
      </c>
      <c r="DB25" s="70">
        <v>7.0000000000000007E-2</v>
      </c>
      <c r="DC25" s="70">
        <v>6.7000000000000004E-2</v>
      </c>
      <c r="DD25" s="70">
        <v>6.3E-2</v>
      </c>
      <c r="DE25" s="70">
        <v>6.2E-2</v>
      </c>
      <c r="DF25" s="70">
        <v>6.0999999999999999E-2</v>
      </c>
      <c r="DG25" s="70">
        <v>0.1</v>
      </c>
    </row>
    <row r="26" spans="2:147" s="1" customFormat="1" ht="15">
      <c r="B26" s="79" t="s">
        <v>1585</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80"/>
      <c r="AX26" s="80"/>
      <c r="AY26" s="80"/>
      <c r="AZ26" s="80"/>
      <c r="BA26" s="81">
        <f t="shared" ref="BA26:BP26" si="29">BA9/AW9-1</f>
        <v>4.0855106888361137E-2</v>
      </c>
      <c r="BB26" s="81">
        <f t="shared" si="29"/>
        <v>0.39338452451269945</v>
      </c>
      <c r="BC26" s="81">
        <f t="shared" si="29"/>
        <v>0.10906515580736542</v>
      </c>
      <c r="BD26" s="81">
        <f t="shared" si="29"/>
        <v>8.6455331412103709E-2</v>
      </c>
      <c r="BE26" s="81">
        <f t="shared" si="29"/>
        <v>0.10588772250114098</v>
      </c>
      <c r="BF26" s="81">
        <f t="shared" si="29"/>
        <v>8.0542602797795571E-2</v>
      </c>
      <c r="BG26" s="81">
        <f t="shared" si="29"/>
        <v>0.10174542358450411</v>
      </c>
      <c r="BH26" s="81">
        <f t="shared" si="29"/>
        <v>0.15611974232663894</v>
      </c>
      <c r="BI26" s="81">
        <f t="shared" si="29"/>
        <v>0.11019397441188605</v>
      </c>
      <c r="BJ26" s="81">
        <f t="shared" si="29"/>
        <v>0.12200863083562186</v>
      </c>
      <c r="BK26" s="81">
        <f t="shared" si="29"/>
        <v>0.10471406491499224</v>
      </c>
      <c r="BL26" s="81">
        <f t="shared" si="29"/>
        <v>0.23041625696492951</v>
      </c>
      <c r="BM26" s="81">
        <f t="shared" si="29"/>
        <v>0.1513011152416357</v>
      </c>
      <c r="BN26" s="81">
        <f t="shared" si="29"/>
        <v>8.9860139860139965E-2</v>
      </c>
      <c r="BO26" s="81">
        <f t="shared" si="29"/>
        <v>0.12766701643931455</v>
      </c>
      <c r="BP26" s="81">
        <f t="shared" si="29"/>
        <v>8.6840703249866813E-2</v>
      </c>
      <c r="BQ26" s="81">
        <f>BQ9/BM9-1</f>
        <v>0.13367775266386817</v>
      </c>
      <c r="BR26" s="28"/>
      <c r="BS26" s="28"/>
      <c r="BT26" s="28"/>
      <c r="BU26" s="28"/>
      <c r="BV26" s="28"/>
      <c r="BW26" s="28"/>
      <c r="BX26" s="28"/>
      <c r="BY26" s="28"/>
      <c r="CS26" s="81">
        <f t="shared" ref="CS26:CV26" si="30">CS9/CR9-1</f>
        <v>-1.5339233038348055E-2</v>
      </c>
      <c r="CT26" s="81">
        <f t="shared" si="30"/>
        <v>0.14295985620131813</v>
      </c>
      <c r="CU26" s="81">
        <f t="shared" si="30"/>
        <v>0.14206332564478918</v>
      </c>
      <c r="CV26" s="81">
        <f t="shared" si="30"/>
        <v>0.11658863490314886</v>
      </c>
      <c r="CW26" s="81">
        <f>CW9/CV9-1</f>
        <v>0.1114034366521417</v>
      </c>
      <c r="CX26" s="82">
        <f>CX9/CW9-1</f>
        <v>0.14327548453913308</v>
      </c>
      <c r="CY26" s="82">
        <f t="shared" ref="CY26:DG26" si="31">CY9/CX9-1</f>
        <v>9.6992468228960238E-2</v>
      </c>
      <c r="CZ26" s="82">
        <f t="shared" si="31"/>
        <v>8.7178817125113106E-2</v>
      </c>
      <c r="DA26" s="82">
        <f t="shared" si="31"/>
        <v>8.1159323774039782E-2</v>
      </c>
      <c r="DB26" s="82">
        <f t="shared" si="31"/>
        <v>7.8376337723370382E-2</v>
      </c>
      <c r="DC26" s="82">
        <f t="shared" si="31"/>
        <v>7.5060246898740912E-2</v>
      </c>
      <c r="DD26" s="82">
        <f t="shared" si="31"/>
        <v>7.2889826488014675E-2</v>
      </c>
      <c r="DE26" s="82">
        <f t="shared" si="31"/>
        <v>6.8761931228272344E-2</v>
      </c>
      <c r="DF26" s="82">
        <f t="shared" si="31"/>
        <v>6.6500562462139756E-2</v>
      </c>
      <c r="DG26" s="82">
        <f t="shared" si="31"/>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BA10/AW10-1</f>
        <v>-4.629629629629628E-2</v>
      </c>
      <c r="BB27" s="8">
        <f>BB10/AX10-1</f>
        <v>0.96680497925311193</v>
      </c>
      <c r="BC27" s="8">
        <f>BC10/AY10-1</f>
        <v>9.1954022988505191E-3</v>
      </c>
      <c r="BD27" s="8">
        <f>BD10/AZ10-1</f>
        <v>0.13943355119825718</v>
      </c>
      <c r="BE27" s="8">
        <f>BE10/BA10-1</f>
        <v>0.12621359223300965</v>
      </c>
      <c r="BF27" s="8">
        <f>BF10/BB10-1</f>
        <v>5.4852320675105481E-2</v>
      </c>
      <c r="BG27" s="8">
        <f>BG10/BC10-1</f>
        <v>9.567198177676528E-2</v>
      </c>
      <c r="BH27" s="8">
        <f>BH10/BD10-1</f>
        <v>5.5449330783938766E-2</v>
      </c>
      <c r="BI27" s="8">
        <f>BI10/BE10-1</f>
        <v>0.21982758620689657</v>
      </c>
      <c r="BJ27" s="8">
        <f>BJ10/BF10-1</f>
        <v>0.12400000000000011</v>
      </c>
      <c r="BK27" s="8">
        <f>BK10/BG10-1</f>
        <v>7.0686070686070579E-2</v>
      </c>
      <c r="BL27" s="8">
        <f>BL10/BH10-1</f>
        <v>0.14130434782608692</v>
      </c>
      <c r="BM27" s="8">
        <f>BM10/BI10-1</f>
        <v>3.8869257950530089E-2</v>
      </c>
      <c r="BN27" s="8">
        <f>BN10/BJ10-1</f>
        <v>7.1174377224199281E-2</v>
      </c>
      <c r="BO27" s="8">
        <f>BO10/BK10-1</f>
        <v>0.10679611650485432</v>
      </c>
      <c r="BP27" s="8">
        <f>BP10/BL10-1</f>
        <v>9.0476190476190377E-2</v>
      </c>
      <c r="BQ27" s="8">
        <f>BQ10/BM10-1</f>
        <v>8.6734693877551061E-2</v>
      </c>
      <c r="CS27" s="8">
        <f>CS10/CR10-1</f>
        <v>-0.13663911845730026</v>
      </c>
      <c r="CT27" s="8">
        <f>CT10/CS10-1</f>
        <v>0.17932354818123808</v>
      </c>
      <c r="CU27" s="8">
        <f>CU10/CT10-1</f>
        <v>8.0627705627705604E-2</v>
      </c>
      <c r="CV27" s="8">
        <f>CV10/CU10-1</f>
        <v>0.13820731096644967</v>
      </c>
      <c r="CW27" s="8">
        <f>CW10/CV10-1</f>
        <v>7.6550813902331649E-2</v>
      </c>
      <c r="CX27" s="70">
        <v>0.06</v>
      </c>
      <c r="CY27" s="70">
        <v>7.0000000000000007E-2</v>
      </c>
      <c r="CZ27" s="70">
        <v>4.2000000000000003E-2</v>
      </c>
      <c r="DA27" s="70">
        <v>0.04</v>
      </c>
      <c r="DB27" s="70">
        <v>0.04</v>
      </c>
      <c r="DC27" s="70">
        <v>0.04</v>
      </c>
      <c r="DD27" s="70">
        <v>0.04</v>
      </c>
      <c r="DE27" s="70">
        <v>0.04</v>
      </c>
      <c r="DF27" s="70">
        <v>0.04</v>
      </c>
      <c r="DG27" s="70">
        <v>0.04</v>
      </c>
    </row>
    <row r="28" spans="2:147">
      <c r="B28" s="29" t="s">
        <v>1178</v>
      </c>
      <c r="AW28" s="9"/>
      <c r="AX28" s="9"/>
      <c r="AY28" s="9"/>
      <c r="AZ28" s="9"/>
      <c r="BA28" s="8">
        <f>BA11/AW11-1</f>
        <v>-2.2151898734177222E-2</v>
      </c>
      <c r="BB28" s="8">
        <f>BB11/AX11-1</f>
        <v>0.6342592592592593</v>
      </c>
      <c r="BC28" s="8">
        <f>BC11/AY11-1</f>
        <v>-1.7964071856287456E-2</v>
      </c>
      <c r="BD28" s="8">
        <f>BD11/AZ11-1</f>
        <v>3.529411764705892E-2</v>
      </c>
      <c r="BE28" s="8">
        <f>BE11/BA11-1</f>
        <v>5.8252427184465994E-2</v>
      </c>
      <c r="BF28" s="8">
        <f>BF11/BB11-1</f>
        <v>3.1161473087818692E-2</v>
      </c>
      <c r="BG28" s="8">
        <f>BG11/BC11-1</f>
        <v>5.7926829268292623E-2</v>
      </c>
      <c r="BH28" s="8">
        <f>BH11/BD11-1</f>
        <v>6.5340909090909172E-2</v>
      </c>
      <c r="BI28" s="8">
        <f>BI11/BE11-1</f>
        <v>0.14678899082568808</v>
      </c>
      <c r="BJ28" s="8">
        <f>BJ11/BF11-1</f>
        <v>7.9670329670329609E-2</v>
      </c>
      <c r="BK28" s="8">
        <f>BK11/BG11-1</f>
        <v>4.3227665706051965E-2</v>
      </c>
      <c r="BL28" s="8">
        <f>BL11/BH11-1</f>
        <v>0.10400000000000009</v>
      </c>
      <c r="BM28" s="8">
        <f>BM11/BI11-1</f>
        <v>4.8000000000000043E-2</v>
      </c>
      <c r="BN28" s="8">
        <f>BN11/BJ11-1</f>
        <v>8.9058524173027953E-2</v>
      </c>
      <c r="BO28" s="8">
        <f>BO11/BK11-1</f>
        <v>0.16022099447513805</v>
      </c>
      <c r="BP28" s="8">
        <f>BP11/BL11-1</f>
        <v>0.1183574879227054</v>
      </c>
      <c r="BQ28" s="8">
        <f>BQ11/BM11-1</f>
        <v>0.12722646310432562</v>
      </c>
      <c r="CS28" s="8">
        <f>CS11/CR11-1</f>
        <v>-0.12798264642082424</v>
      </c>
      <c r="CT28" s="8">
        <f>CT11/CS11-1</f>
        <v>0.11276948590381419</v>
      </c>
      <c r="CU28" s="8">
        <f>CU11/CT11-1</f>
        <v>5.2906110283159391E-2</v>
      </c>
      <c r="CV28" s="8">
        <f>CV11/CU11-1</f>
        <v>9.2710544939844208E-2</v>
      </c>
      <c r="CW28" s="8">
        <f>CW11/CV11-1</f>
        <v>0.10362694300518127</v>
      </c>
      <c r="CX28" s="70">
        <v>8.5000000000000006E-2</v>
      </c>
      <c r="CY28" s="70">
        <v>7.9000000000000001E-2</v>
      </c>
      <c r="CZ28" s="70">
        <v>8.2000000000000003E-2</v>
      </c>
      <c r="DA28" s="70">
        <v>0.05</v>
      </c>
      <c r="DB28" s="70">
        <v>0.05</v>
      </c>
      <c r="DC28" s="70">
        <v>0.04</v>
      </c>
      <c r="DD28" s="70">
        <v>0.04</v>
      </c>
      <c r="DE28" s="70">
        <v>0.03</v>
      </c>
      <c r="DF28" s="70">
        <v>0.03</v>
      </c>
      <c r="DG28" s="70">
        <v>0.03</v>
      </c>
    </row>
    <row r="29" spans="2:147">
      <c r="B29" s="29" t="s">
        <v>1179</v>
      </c>
      <c r="AW29" s="9"/>
      <c r="AX29" s="9"/>
      <c r="AY29" s="9"/>
      <c r="AZ29" s="9"/>
      <c r="BA29" s="8">
        <f>BA12/AW12-1</f>
        <v>0.63265306122448983</v>
      </c>
      <c r="BB29" s="8">
        <f>BB12/AX12-1</f>
        <v>1.0424242424242425</v>
      </c>
      <c r="BC29" s="8">
        <f>BC12/AY12-1</f>
        <v>0.48604651162790691</v>
      </c>
      <c r="BD29" s="8">
        <f>BD12/AZ12-1</f>
        <v>0.24736842105263168</v>
      </c>
      <c r="BE29" s="8">
        <f>BE12/BA12-1</f>
        <v>7.03125E-2</v>
      </c>
      <c r="BF29" s="8">
        <f>BF12/BB12-1</f>
        <v>2.9673590504450953E-3</v>
      </c>
      <c r="BG29" s="8">
        <f>BG12/BC12-1</f>
        <v>5.164319248826299E-2</v>
      </c>
      <c r="BH29" s="8">
        <f>BH12/BD12-1</f>
        <v>8.8607594936708889E-2</v>
      </c>
      <c r="BI29" s="8">
        <f>BI12/BE12-1</f>
        <v>0.1226277372262774</v>
      </c>
      <c r="BJ29" s="8">
        <f>BJ12/BF12-1</f>
        <v>0.13313609467455612</v>
      </c>
      <c r="BK29" s="8">
        <f>BK12/BG12-1</f>
        <v>0.11904761904761907</v>
      </c>
      <c r="BL29" s="8">
        <f>BL12/BH12-1</f>
        <v>0.11111111111111116</v>
      </c>
      <c r="BM29" s="8">
        <f>BM12/BI12-1</f>
        <v>7.9323797139141838E-2</v>
      </c>
      <c r="BN29" s="8">
        <f>BN12/BJ12-1</f>
        <v>8.6161879895561455E-2</v>
      </c>
      <c r="BO29" s="8">
        <f>BO12/BK12-1</f>
        <v>0.1289893617021276</v>
      </c>
      <c r="BP29" s="8">
        <f>BP12/BL12-1</f>
        <v>0.1581395348837209</v>
      </c>
      <c r="BQ29" s="8">
        <f>BQ12/BM12-1</f>
        <v>0.13855421686746983</v>
      </c>
      <c r="CS29" s="8">
        <f>CS12/CR12-1</f>
        <v>5.064063453325196E-2</v>
      </c>
      <c r="CT29" s="8">
        <f>CT12/CS12-1</f>
        <v>0.54703832752613235</v>
      </c>
      <c r="CU29" s="8">
        <f>CU12/CT12-1</f>
        <v>5.3678678678678704E-2</v>
      </c>
      <c r="CV29" s="8">
        <f>CV12/CU12-1</f>
        <v>0.12112575703598139</v>
      </c>
      <c r="CW29" s="8">
        <f>CW12/CV12-1</f>
        <v>0.11439466158245959</v>
      </c>
      <c r="CX29" s="70">
        <v>0.106</v>
      </c>
      <c r="CY29" s="70">
        <v>9.5000000000000001E-2</v>
      </c>
      <c r="CZ29" s="70">
        <v>0.08</v>
      </c>
      <c r="DA29" s="70">
        <v>7.0000000000000007E-2</v>
      </c>
      <c r="DB29" s="70">
        <v>7.0000000000000007E-2</v>
      </c>
      <c r="DC29" s="70">
        <v>7.0000000000000007E-2</v>
      </c>
      <c r="DD29" s="70">
        <v>6.8000000000000005E-2</v>
      </c>
      <c r="DE29" s="70">
        <v>6.5000000000000002E-2</v>
      </c>
      <c r="DF29" s="70">
        <v>6.5000000000000002E-2</v>
      </c>
      <c r="DG29" s="70">
        <v>6.3E-2</v>
      </c>
    </row>
    <row r="30" spans="2:147">
      <c r="B30" s="29" t="s">
        <v>1180</v>
      </c>
      <c r="AW30" s="9"/>
      <c r="AX30" s="9"/>
      <c r="AY30" s="9"/>
      <c r="AZ30" s="9"/>
      <c r="BA30" s="8">
        <f>BA13/AW13-1</f>
        <v>6.5134099616858343E-2</v>
      </c>
      <c r="BB30" s="8">
        <f>BB13/AX13-1</f>
        <v>0.73446327683615809</v>
      </c>
      <c r="BC30" s="8">
        <f>BC13/AY13-1</f>
        <v>-6.6225165562913912E-2</v>
      </c>
      <c r="BD30" s="8">
        <f>BD13/AZ13-1</f>
        <v>-2.2801302931596101E-2</v>
      </c>
      <c r="BE30" s="8">
        <f>BE13/BA13-1</f>
        <v>3.597122302158251E-3</v>
      </c>
      <c r="BF30" s="8">
        <f>BF13/BB13-1</f>
        <v>-5.5374592833876246E-2</v>
      </c>
      <c r="BG30" s="8">
        <f>BG13/BC13-1</f>
        <v>-7.0921985815602939E-3</v>
      </c>
      <c r="BH30" s="8">
        <f>BH13/BD13-1</f>
        <v>-1.0000000000000009E-2</v>
      </c>
      <c r="BI30" s="8">
        <f>BI13/BE13-1</f>
        <v>1.7921146953405076E-2</v>
      </c>
      <c r="BJ30" s="8">
        <f>BJ13/BF13-1</f>
        <v>2.0689655172413834E-2</v>
      </c>
      <c r="BK30" s="8">
        <f>BK13/BG13-1</f>
        <v>3.9285714285714368E-2</v>
      </c>
      <c r="BL30" s="8">
        <f>BL13/BH13-1</f>
        <v>-1.531986531986532</v>
      </c>
      <c r="BM30" s="8">
        <f>BM13/BI13-1</f>
        <v>-0.397887323943662</v>
      </c>
      <c r="BN30" s="8">
        <f>BN13/BJ13-1</f>
        <v>3.716216216216206E-2</v>
      </c>
      <c r="BO30" s="8">
        <f>BO13/BK13-1</f>
        <v>4.4673539518900407E-2</v>
      </c>
      <c r="BP30" s="8">
        <f>BP13/BL13-1</f>
        <v>-0.52531645569620256</v>
      </c>
      <c r="BQ30" s="8">
        <f>BQ13/BM13-1</f>
        <v>-2.9239766081871399E-2</v>
      </c>
      <c r="CS30" s="8">
        <f>CS13/CR13-1</f>
        <v>-9.5073465859982664E-2</v>
      </c>
      <c r="CT30" s="8">
        <f>CT13/CS13-1</f>
        <v>0.11461318051575931</v>
      </c>
      <c r="CU30" s="8">
        <f>CU13/CT13-1</f>
        <v>-0.37189374464438729</v>
      </c>
      <c r="CV30" s="8">
        <f>CV13/CU13-1</f>
        <v>-2.7285129604365577E-2</v>
      </c>
      <c r="CW30" s="8">
        <f>CW13/CV13-1</f>
        <v>-8.4151472650771941E-3</v>
      </c>
      <c r="CX30" s="70">
        <v>0.01</v>
      </c>
      <c r="CY30" s="70">
        <v>-0.05</v>
      </c>
      <c r="CZ30" s="70">
        <v>-0.02</v>
      </c>
      <c r="DA30" s="70">
        <v>-0.01</v>
      </c>
      <c r="DB30" s="70">
        <v>-0.01</v>
      </c>
      <c r="DC30" s="70">
        <v>-0.01</v>
      </c>
      <c r="DD30" s="70">
        <v>-0.01</v>
      </c>
      <c r="DE30" s="70">
        <v>-0.01</v>
      </c>
      <c r="DF30" s="70">
        <v>-0.01</v>
      </c>
      <c r="DG30" s="70">
        <v>-0.01</v>
      </c>
    </row>
    <row r="31" spans="2:147">
      <c r="B31" s="29" t="s">
        <v>1181</v>
      </c>
      <c r="AW31" s="9"/>
      <c r="AX31" s="9"/>
      <c r="AY31" s="9"/>
      <c r="AZ31" s="9"/>
      <c r="BA31" s="8">
        <f>BA14/AW14-1</f>
        <v>0.5</v>
      </c>
      <c r="BB31" s="8">
        <f>BB14/AX14-1</f>
        <v>0.18691588785046731</v>
      </c>
      <c r="BC31" s="8">
        <f>BC14/AY14-1</f>
        <v>4.2372881355932313E-2</v>
      </c>
      <c r="BD31" s="8">
        <f>BD14/AZ14-1</f>
        <v>0.12101910828025475</v>
      </c>
      <c r="BE31" s="8">
        <f>BE14/BA14-1</f>
        <v>-0.21138211382113825</v>
      </c>
      <c r="BF31" s="8">
        <f>BF14/BB14-1</f>
        <v>-0.10236220472440949</v>
      </c>
      <c r="BG31" s="8">
        <f>BG14/BC14-1</f>
        <v>-9.7560975609756073E-2</v>
      </c>
      <c r="BH31" s="8">
        <f>BH14/BD14-1</f>
        <v>-0.13068181818181823</v>
      </c>
      <c r="BI31" s="8">
        <f>BI14/BE14-1</f>
        <v>-3.0927835051546393E-2</v>
      </c>
      <c r="BJ31" s="8">
        <f>BJ14/BF14-1</f>
        <v>4.3859649122806932E-2</v>
      </c>
      <c r="BK31" s="8">
        <f>BK14/BG14-1</f>
        <v>0.1711711711711712</v>
      </c>
      <c r="BL31" s="8">
        <f>BL14/BH14-1</f>
        <v>1.0588235294117645</v>
      </c>
      <c r="BM31" s="8">
        <f>BM14/BI14-1</f>
        <v>0.74468085106382986</v>
      </c>
      <c r="BN31" s="8">
        <f>BN14/BJ14-1</f>
        <v>0.14285714285714279</v>
      </c>
      <c r="BO31" s="8">
        <f>BO14/BK14-1</f>
        <v>-2.3076923076923106E-2</v>
      </c>
      <c r="BP31" s="8">
        <f>BP14/BL14-1</f>
        <v>-9.5238095238095233E-2</v>
      </c>
      <c r="BQ31" s="8">
        <f>BQ14/BM14-1</f>
        <v>-1.2195121951219523E-2</v>
      </c>
      <c r="CS31" s="8">
        <f>CS14/CR14-1</f>
        <v>0.1180722891566266</v>
      </c>
      <c r="CT31" s="8">
        <f>CT14/CS14-1</f>
        <v>0.1831896551724137</v>
      </c>
      <c r="CU31" s="8">
        <f>CU14/CT14-1</f>
        <v>0.10382513661202175</v>
      </c>
      <c r="CV31" s="8">
        <f>CV14/CU14-1</f>
        <v>8.5808580858085737E-2</v>
      </c>
      <c r="CW31" s="8">
        <f>CW14/CV14-1</f>
        <v>8.2066869300911893E-2</v>
      </c>
      <c r="CX31" s="70">
        <v>0.09</v>
      </c>
      <c r="CY31" s="70">
        <v>8.5000000000000006E-2</v>
      </c>
      <c r="CZ31" s="70">
        <v>7.0000000000000007E-2</v>
      </c>
      <c r="DA31" s="70">
        <v>7.0000000000000007E-2</v>
      </c>
      <c r="DB31" s="70">
        <v>7.0000000000000007E-2</v>
      </c>
      <c r="DC31" s="70">
        <v>7.0000000000000007E-2</v>
      </c>
      <c r="DD31" s="70">
        <v>7.0000000000000007E-2</v>
      </c>
      <c r="DE31" s="70">
        <v>7.0000000000000007E-2</v>
      </c>
      <c r="DF31" s="70">
        <v>7.0000000000000007E-2</v>
      </c>
      <c r="DG31" s="70">
        <v>7.0000000000000007E-2</v>
      </c>
    </row>
    <row r="32" spans="2:147" s="1" customFormat="1" ht="15">
      <c r="B32" s="79" t="s">
        <v>1584</v>
      </c>
      <c r="AW32" s="83"/>
      <c r="AX32" s="83"/>
      <c r="AY32" s="83"/>
      <c r="AZ32" s="83"/>
      <c r="BA32" s="81">
        <f t="shared" ref="BA32:BP32" si="32">BA15/AW15-1</f>
        <v>0.18813216453135539</v>
      </c>
      <c r="BB32" s="81">
        <f t="shared" si="32"/>
        <v>0.80672268907563027</v>
      </c>
      <c r="BC32" s="81">
        <f t="shared" si="32"/>
        <v>0.118591723285979</v>
      </c>
      <c r="BD32" s="81">
        <f t="shared" si="32"/>
        <v>0.12493180578286966</v>
      </c>
      <c r="BE32" s="81">
        <f t="shared" si="32"/>
        <v>5.1078320090805818E-2</v>
      </c>
      <c r="BF32" s="81">
        <f t="shared" si="32"/>
        <v>4.6511627906977715E-3</v>
      </c>
      <c r="BG32" s="81">
        <f t="shared" si="32"/>
        <v>4.417448923246825E-2</v>
      </c>
      <c r="BH32" s="81">
        <f t="shared" si="32"/>
        <v>4.3161978661493627E-2</v>
      </c>
      <c r="BI32" s="81">
        <f t="shared" si="32"/>
        <v>0.12742980561555073</v>
      </c>
      <c r="BJ32" s="81">
        <f t="shared" si="32"/>
        <v>9.8765432098765427E-2</v>
      </c>
      <c r="BK32" s="81">
        <f t="shared" si="32"/>
        <v>8.4082496033844434E-2</v>
      </c>
      <c r="BL32" s="81">
        <f t="shared" si="32"/>
        <v>-4.1841004184100417E-2</v>
      </c>
      <c r="BM32" s="81">
        <f t="shared" si="32"/>
        <v>2.7777777777777679E-2</v>
      </c>
      <c r="BN32" s="81">
        <f t="shared" si="32"/>
        <v>7.9119850187265861E-2</v>
      </c>
      <c r="BO32" s="81">
        <f t="shared" si="32"/>
        <v>0.1073170731707318</v>
      </c>
      <c r="BP32" s="81">
        <f t="shared" si="32"/>
        <v>0.14313440077632222</v>
      </c>
      <c r="BQ32" s="81">
        <f>BQ15/BM15-1</f>
        <v>9.7390493942218104E-2</v>
      </c>
      <c r="BR32" s="28"/>
      <c r="BS32" s="28"/>
      <c r="BT32" s="28"/>
      <c r="BU32" s="28"/>
      <c r="BV32" s="28"/>
      <c r="BW32" s="28"/>
      <c r="BX32" s="28"/>
      <c r="BY32" s="28"/>
      <c r="CS32" s="81">
        <f t="shared" ref="CS32:CV32" si="33">CS15/CR15-1</f>
        <v>-6.2880324543610588E-2</v>
      </c>
      <c r="CT32" s="81">
        <f t="shared" si="33"/>
        <v>0.26040626040626047</v>
      </c>
      <c r="CU32" s="81">
        <f t="shared" si="33"/>
        <v>-1.8494055482166649E-3</v>
      </c>
      <c r="CV32" s="81">
        <f t="shared" si="33"/>
        <v>0.10309687665431455</v>
      </c>
      <c r="CW32" s="81">
        <f>CW15/CV15-1</f>
        <v>8.9022195560887862E-2</v>
      </c>
      <c r="CX32" s="82">
        <f>CX15/CW15-1</f>
        <v>8.0924534537842874E-2</v>
      </c>
      <c r="CY32" s="82">
        <f t="shared" ref="CY32:DG32" si="34">CY15/CX15-1</f>
        <v>7.4032074640179468E-2</v>
      </c>
      <c r="CZ32" s="82">
        <f t="shared" si="34"/>
        <v>6.3134051469570851E-2</v>
      </c>
      <c r="DA32" s="82">
        <f t="shared" si="34"/>
        <v>5.3655405194532158E-2</v>
      </c>
      <c r="DB32" s="82">
        <f t="shared" si="34"/>
        <v>5.4055933518588617E-2</v>
      </c>
      <c r="DC32" s="82">
        <f t="shared" si="34"/>
        <v>5.2531113880923685E-2</v>
      </c>
      <c r="DD32" s="82">
        <f t="shared" si="34"/>
        <v>5.2079942502302856E-2</v>
      </c>
      <c r="DE32" s="82">
        <f t="shared" si="34"/>
        <v>4.9275288594339051E-2</v>
      </c>
      <c r="DF32" s="82">
        <f t="shared" si="34"/>
        <v>4.9654505029496088E-2</v>
      </c>
      <c r="DG32" s="82">
        <f t="shared" si="34"/>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83"/>
      <c r="AX33" s="83"/>
      <c r="AY33" s="83"/>
      <c r="AZ33" s="83"/>
      <c r="BA33" s="83">
        <f>BA16/AW16-1</f>
        <v>0.1017279821627648</v>
      </c>
      <c r="BB33" s="83">
        <f>BB16/AX16-1</f>
        <v>0.55354558610709126</v>
      </c>
      <c r="BC33" s="83">
        <f>BC16/AY16-1</f>
        <v>0.11319240032111311</v>
      </c>
      <c r="BD33" s="83">
        <f>BD16/AZ16-1</f>
        <v>0.10300328484279686</v>
      </c>
      <c r="BE33" s="83">
        <f>BE16/BA16-1</f>
        <v>8.1457121173792002E-2</v>
      </c>
      <c r="BF33" s="83">
        <f>BF16/BB16-1</f>
        <v>4.6343735444806633E-2</v>
      </c>
      <c r="BG33" s="83">
        <f>BG16/BC16-1</f>
        <v>7.6682692307692202E-2</v>
      </c>
      <c r="BH33" s="83">
        <f>BH16/BD16-1</f>
        <v>0.10657306955966805</v>
      </c>
      <c r="BI33" s="83">
        <f>BI16/BE16-1</f>
        <v>0.11766081871345024</v>
      </c>
      <c r="BJ33" s="83">
        <f>BJ16/BF16-1</f>
        <v>0.11195192521700426</v>
      </c>
      <c r="BK33" s="83">
        <f>BK16/BG16-1</f>
        <v>9.6003572225943357E-2</v>
      </c>
      <c r="BL33" s="83">
        <f>BL16/BH16-1</f>
        <v>0.1178392925797771</v>
      </c>
      <c r="BM33" s="83">
        <f>BM16/BI16-1</f>
        <v>9.7321054834658804E-2</v>
      </c>
      <c r="BN33" s="83">
        <f>BN16/BJ16-1</f>
        <v>8.526821457165723E-2</v>
      </c>
      <c r="BO33" s="83">
        <f>BO16/BK16-1</f>
        <v>0.11916887349765726</v>
      </c>
      <c r="BP33" s="83">
        <f>BP16/BL16-1</f>
        <v>0.10679277730008607</v>
      </c>
      <c r="BQ33" s="83">
        <f>BQ16/BM16-1</f>
        <v>0.11882510013351144</v>
      </c>
      <c r="BR33" s="28"/>
      <c r="BS33" s="28"/>
      <c r="BT33" s="28"/>
      <c r="BU33" s="28"/>
      <c r="BV33" s="28"/>
      <c r="BW33" s="28"/>
      <c r="BX33" s="28"/>
      <c r="BY33" s="28"/>
      <c r="CS33" s="81">
        <f>CS16/CR16-1</f>
        <v>-3.5810266057511475E-2</v>
      </c>
      <c r="CT33" s="81">
        <f>CT16/CS16-1</f>
        <v>0.19211204794090997</v>
      </c>
      <c r="CU33" s="81">
        <f>CU16/CT16-1</f>
        <v>7.8384381575870909E-2</v>
      </c>
      <c r="CV33" s="81">
        <f>CV16/CU16-1</f>
        <v>0.11106293024012137</v>
      </c>
      <c r="CW33" s="81">
        <f>CW16/CV16-1</f>
        <v>0.1023026636745048</v>
      </c>
      <c r="CX33" s="82">
        <f>CX16/CW16-1</f>
        <v>0.11822748395662752</v>
      </c>
      <c r="CY33" s="82">
        <f>CY16/CX16-1</f>
        <v>8.8076376445351157E-2</v>
      </c>
      <c r="CZ33" s="82">
        <f>CZ16/CY16-1</f>
        <v>7.7962155981556869E-2</v>
      </c>
      <c r="DA33" s="82">
        <f>DA16/CZ16-1</f>
        <v>7.0761746424855776E-2</v>
      </c>
      <c r="DB33" s="82">
        <f>DB16/DA16-1</f>
        <v>6.9329139062071388E-2</v>
      </c>
      <c r="DC33" s="82">
        <f>DC16/DB16-1</f>
        <v>6.6799105164911277E-2</v>
      </c>
      <c r="DD33" s="82">
        <f>DD16/DC16-1</f>
        <v>6.5361168763374389E-2</v>
      </c>
      <c r="DE33" s="82">
        <f>DE16/DD16-1</f>
        <v>6.1799886762495815E-2</v>
      </c>
      <c r="DF33" s="82">
        <f>DF16/DE16-1</f>
        <v>6.0552920466558469E-2</v>
      </c>
      <c r="DG33" s="82">
        <f>DG16/DF16-1</f>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35">SUM(AW35:AZ35)</f>
        <v>10455</v>
      </c>
      <c r="CT35" s="2">
        <f t="shared" ref="CT35:CT36" si="36">SUM(BA35:BD35)</f>
        <v>12321</v>
      </c>
      <c r="CU35" s="2">
        <f t="shared" ref="CU35:CU36" si="37">SUM(BE35:BH35)</f>
        <v>13638</v>
      </c>
      <c r="CV35" s="2">
        <f t="shared" ref="CV35:CV36" si="38">SUM(BI35:BL35)</f>
        <v>15257</v>
      </c>
      <c r="CW35" s="2">
        <f t="shared" ref="CW35:CW36" si="39">SUM(BM35:BP35)</f>
        <v>16943</v>
      </c>
      <c r="CY35" s="71"/>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35"/>
        <v>3896</v>
      </c>
      <c r="CT36" s="2">
        <f t="shared" si="36"/>
        <v>4787</v>
      </c>
      <c r="CU36" s="2">
        <f t="shared" si="37"/>
        <v>4811</v>
      </c>
      <c r="CV36" s="2">
        <f t="shared" si="38"/>
        <v>5241</v>
      </c>
      <c r="CW36" s="2">
        <f t="shared" si="39"/>
        <v>5652</v>
      </c>
    </row>
    <row r="37" spans="2:147" s="1" customFormat="1" ht="15">
      <c r="B37" s="34" t="s">
        <v>1185</v>
      </c>
      <c r="AW37" s="1">
        <f t="shared" ref="AW37:BP37" si="40">AW35+AW36</f>
        <v>3588</v>
      </c>
      <c r="AX37" s="1">
        <f t="shared" si="40"/>
        <v>2764</v>
      </c>
      <c r="AY37" s="1">
        <f t="shared" si="40"/>
        <v>3737</v>
      </c>
      <c r="AZ37" s="1">
        <f t="shared" si="40"/>
        <v>4262</v>
      </c>
      <c r="BA37" s="1">
        <f t="shared" si="40"/>
        <v>3953</v>
      </c>
      <c r="BB37" s="1">
        <f t="shared" si="40"/>
        <v>4294</v>
      </c>
      <c r="BC37" s="1">
        <f t="shared" si="40"/>
        <v>4160</v>
      </c>
      <c r="BD37" s="1">
        <f t="shared" si="40"/>
        <v>4701</v>
      </c>
      <c r="BE37" s="1">
        <f t="shared" si="40"/>
        <v>4275</v>
      </c>
      <c r="BF37" s="1">
        <f t="shared" si="40"/>
        <v>4493</v>
      </c>
      <c r="BG37" s="1">
        <f t="shared" si="40"/>
        <v>4479</v>
      </c>
      <c r="BH37" s="1">
        <f t="shared" si="40"/>
        <v>5202</v>
      </c>
      <c r="BI37" s="1">
        <f t="shared" si="40"/>
        <v>4778</v>
      </c>
      <c r="BJ37" s="1">
        <f t="shared" si="40"/>
        <v>4996</v>
      </c>
      <c r="BK37" s="1">
        <f t="shared" si="40"/>
        <v>4909</v>
      </c>
      <c r="BL37" s="1">
        <f t="shared" si="40"/>
        <v>5815</v>
      </c>
      <c r="BM37" s="1">
        <f t="shared" si="40"/>
        <v>5243</v>
      </c>
      <c r="BN37" s="1">
        <f t="shared" si="40"/>
        <v>5422</v>
      </c>
      <c r="BO37" s="1">
        <f t="shared" si="40"/>
        <v>5494</v>
      </c>
      <c r="BP37" s="1">
        <f t="shared" si="40"/>
        <v>6436</v>
      </c>
      <c r="BQ37" s="1">
        <f>BQ35+BQ36</f>
        <v>5866</v>
      </c>
      <c r="BR37" s="28"/>
      <c r="BS37" s="28"/>
      <c r="BT37" s="28"/>
      <c r="BU37" s="28"/>
      <c r="BV37" s="28"/>
      <c r="BW37" s="28"/>
      <c r="BX37" s="28"/>
      <c r="BY37" s="28"/>
      <c r="CR37" s="1">
        <f t="shared" ref="CR37:CV37" si="41">CR35+CR36</f>
        <v>14884</v>
      </c>
      <c r="CS37" s="1">
        <f t="shared" si="41"/>
        <v>14351</v>
      </c>
      <c r="CT37" s="1">
        <f t="shared" si="41"/>
        <v>17108</v>
      </c>
      <c r="CU37" s="1">
        <f t="shared" si="41"/>
        <v>18449</v>
      </c>
      <c r="CV37" s="1">
        <f t="shared" si="41"/>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2">AW35/AW37</f>
        <v>0.73662207357859533</v>
      </c>
      <c r="AX39" s="8">
        <f t="shared" si="42"/>
        <v>0.71128798842257601</v>
      </c>
      <c r="AY39" s="8">
        <f t="shared" si="42"/>
        <v>0.7353492105967353</v>
      </c>
      <c r="AZ39" s="8">
        <f t="shared" si="42"/>
        <v>0.72688878460816519</v>
      </c>
      <c r="BA39" s="8">
        <f t="shared" si="42"/>
        <v>0.7042752339994941</v>
      </c>
      <c r="BB39" s="8">
        <f t="shared" si="42"/>
        <v>0.72193758733115976</v>
      </c>
      <c r="BC39" s="8">
        <f t="shared" si="42"/>
        <v>0.72572115384615388</v>
      </c>
      <c r="BD39" s="8">
        <f t="shared" si="42"/>
        <v>0.72707934482025105</v>
      </c>
      <c r="BE39" s="8">
        <f t="shared" si="42"/>
        <v>0.72631578947368425</v>
      </c>
      <c r="BF39" s="8">
        <f t="shared" si="42"/>
        <v>0.7369241041620298</v>
      </c>
      <c r="BG39" s="8">
        <f t="shared" si="42"/>
        <v>0.75016744809109182</v>
      </c>
      <c r="BH39" s="8">
        <f t="shared" si="42"/>
        <v>0.74240676662821992</v>
      </c>
      <c r="BI39" s="8">
        <f t="shared" si="42"/>
        <v>0.73503557974047717</v>
      </c>
      <c r="BJ39" s="8">
        <f t="shared" si="42"/>
        <v>0.74279423538831069</v>
      </c>
      <c r="BK39" s="8">
        <f t="shared" si="42"/>
        <v>0.74923609696475857</v>
      </c>
      <c r="BL39" s="8">
        <f t="shared" si="42"/>
        <v>0.74909716251074809</v>
      </c>
      <c r="BM39" s="8">
        <f t="shared" si="42"/>
        <v>0.74651916841502952</v>
      </c>
      <c r="BN39" s="8">
        <f t="shared" si="42"/>
        <v>0.74640354112873475</v>
      </c>
      <c r="BO39" s="8">
        <f t="shared" si="42"/>
        <v>0.74790680742628324</v>
      </c>
      <c r="BP39" s="8">
        <f t="shared" si="42"/>
        <v>0.75714729645742695</v>
      </c>
      <c r="BQ39" s="8">
        <f>BQ35/BQ37</f>
        <v>0.75690419365837025</v>
      </c>
      <c r="CS39" s="8">
        <f t="shared" ref="CS39:CW39" si="43">CS35/CS37</f>
        <v>0.72852066058114417</v>
      </c>
      <c r="CT39" s="8">
        <f t="shared" si="43"/>
        <v>0.72018938508300212</v>
      </c>
      <c r="CU39" s="8">
        <f t="shared" si="43"/>
        <v>0.73922705837714786</v>
      </c>
      <c r="CV39" s="8">
        <f t="shared" si="43"/>
        <v>0.74431651868474968</v>
      </c>
      <c r="CW39" s="8">
        <f t="shared" si="43"/>
        <v>0.74985616286789114</v>
      </c>
    </row>
    <row r="40" spans="2:147">
      <c r="B40" s="32" t="s">
        <v>1199</v>
      </c>
      <c r="AW40" s="8">
        <f t="shared" ref="AW40:BP40" si="44">AW36/AW37</f>
        <v>0.26337792642140467</v>
      </c>
      <c r="AX40" s="8">
        <f t="shared" si="44"/>
        <v>0.28871201157742404</v>
      </c>
      <c r="AY40" s="8">
        <f t="shared" si="44"/>
        <v>0.26465078940326464</v>
      </c>
      <c r="AZ40" s="8">
        <f t="shared" si="44"/>
        <v>0.27311121539183481</v>
      </c>
      <c r="BA40" s="8">
        <f t="shared" si="44"/>
        <v>0.29572476600050596</v>
      </c>
      <c r="BB40" s="8">
        <f t="shared" si="44"/>
        <v>0.27806241266884024</v>
      </c>
      <c r="BC40" s="8">
        <f t="shared" si="44"/>
        <v>0.27427884615384618</v>
      </c>
      <c r="BD40" s="8">
        <f t="shared" si="44"/>
        <v>0.27292065517974901</v>
      </c>
      <c r="BE40" s="8">
        <f t="shared" si="44"/>
        <v>0.27368421052631581</v>
      </c>
      <c r="BF40" s="8">
        <f t="shared" si="44"/>
        <v>0.2630758958379702</v>
      </c>
      <c r="BG40" s="8">
        <f t="shared" si="44"/>
        <v>0.24983255190890824</v>
      </c>
      <c r="BH40" s="8">
        <f t="shared" si="44"/>
        <v>0.25759323337178008</v>
      </c>
      <c r="BI40" s="8">
        <f t="shared" si="44"/>
        <v>0.26496442025952283</v>
      </c>
      <c r="BJ40" s="8">
        <f t="shared" si="44"/>
        <v>0.25720576461168937</v>
      </c>
      <c r="BK40" s="8">
        <f t="shared" si="44"/>
        <v>0.25076390303524138</v>
      </c>
      <c r="BL40" s="8">
        <f t="shared" si="44"/>
        <v>0.25090283748925196</v>
      </c>
      <c r="BM40" s="8">
        <f t="shared" si="44"/>
        <v>0.25348083158497042</v>
      </c>
      <c r="BN40" s="8">
        <f t="shared" si="44"/>
        <v>0.2535964588712652</v>
      </c>
      <c r="BO40" s="8">
        <f t="shared" si="44"/>
        <v>0.25209319257371676</v>
      </c>
      <c r="BP40" s="8">
        <f t="shared" si="44"/>
        <v>0.24285270354257302</v>
      </c>
      <c r="BQ40" s="8">
        <f>BQ36/BQ37</f>
        <v>0.24309580634162972</v>
      </c>
      <c r="CS40" s="8">
        <f t="shared" ref="CS40:CW40" si="45">CS36/CS37</f>
        <v>0.27147933941885583</v>
      </c>
      <c r="CT40" s="8">
        <f t="shared" si="45"/>
        <v>0.27981061491699788</v>
      </c>
      <c r="CU40" s="8">
        <f t="shared" si="45"/>
        <v>0.26077294162285219</v>
      </c>
      <c r="CV40" s="8">
        <f t="shared" si="45"/>
        <v>0.25568348131525026</v>
      </c>
      <c r="CW40" s="8">
        <f t="shared" si="45"/>
        <v>0.25014383713210886</v>
      </c>
    </row>
    <row r="42" spans="2:147">
      <c r="B42" s="29" t="s">
        <v>1187</v>
      </c>
      <c r="AW42" s="8"/>
      <c r="AX42" s="8"/>
      <c r="AY42" s="8"/>
      <c r="AZ42" s="8"/>
      <c r="BA42" s="8">
        <f t="shared" ref="BA42:BP42" si="46">BA35/AW35-1</f>
        <v>5.3348467650397247E-2</v>
      </c>
      <c r="BB42" s="8">
        <f t="shared" si="46"/>
        <v>0.5768056968463886</v>
      </c>
      <c r="BC42" s="8">
        <f t="shared" si="46"/>
        <v>9.8617176128093176E-2</v>
      </c>
      <c r="BD42" s="8">
        <f t="shared" si="46"/>
        <v>0.10329244673983218</v>
      </c>
      <c r="BE42" s="8">
        <f t="shared" si="46"/>
        <v>0.11530172413793105</v>
      </c>
      <c r="BF42" s="8">
        <f t="shared" si="46"/>
        <v>6.8064516129032304E-2</v>
      </c>
      <c r="BG42" s="8">
        <f t="shared" si="46"/>
        <v>0.11295130838025846</v>
      </c>
      <c r="BH42" s="8">
        <f t="shared" si="46"/>
        <v>0.12990052662375651</v>
      </c>
      <c r="BI42" s="8">
        <f t="shared" si="46"/>
        <v>0.13107890499194852</v>
      </c>
      <c r="BJ42" s="8">
        <f t="shared" si="46"/>
        <v>0.12080942313500453</v>
      </c>
      <c r="BK42" s="8">
        <f t="shared" si="46"/>
        <v>9.4642857142857251E-2</v>
      </c>
      <c r="BL42" s="8">
        <f t="shared" si="46"/>
        <v>0.12791299844640092</v>
      </c>
      <c r="BM42" s="8">
        <f t="shared" si="46"/>
        <v>0.1144646924829158</v>
      </c>
      <c r="BN42" s="8">
        <f t="shared" si="46"/>
        <v>9.0541632983023534E-2</v>
      </c>
      <c r="BO42" s="8">
        <f t="shared" si="46"/>
        <v>0.11718325176726485</v>
      </c>
      <c r="BP42" s="8">
        <f t="shared" si="46"/>
        <v>0.11868686868686873</v>
      </c>
      <c r="BQ42" s="8">
        <f>BQ35/BM35-1</f>
        <v>0.13438937148696994</v>
      </c>
      <c r="CS42" s="8">
        <f t="shared" ref="CS42" si="47">CS35/CR35-1</f>
        <v>-4.5815460436250843E-2</v>
      </c>
      <c r="CT42" s="8">
        <f t="shared" ref="CT42:CV42" si="48">CT35/CS35-1</f>
        <v>0.17847919655667144</v>
      </c>
      <c r="CU42" s="8">
        <f t="shared" si="48"/>
        <v>0.10689067445824207</v>
      </c>
      <c r="CV42" s="8">
        <f t="shared" si="48"/>
        <v>0.11871242117612546</v>
      </c>
      <c r="CW42" s="8">
        <f>CW35/CV35-1</f>
        <v>0.11050665268401394</v>
      </c>
    </row>
    <row r="43" spans="2:147">
      <c r="B43" s="29" t="s">
        <v>1188</v>
      </c>
      <c r="AW43" s="8"/>
      <c r="AX43" s="8"/>
      <c r="AY43" s="8"/>
      <c r="AZ43" s="8"/>
      <c r="BA43" s="8">
        <f t="shared" ref="BA43:BP43" si="49">BA36/AW36-1</f>
        <v>0.23703703703703694</v>
      </c>
      <c r="BB43" s="8">
        <f t="shared" si="49"/>
        <v>0.49624060150375948</v>
      </c>
      <c r="BC43" s="8">
        <f t="shared" si="49"/>
        <v>0.15369059656218398</v>
      </c>
      <c r="BD43" s="8">
        <f t="shared" si="49"/>
        <v>0.1022336769759451</v>
      </c>
      <c r="BE43" s="8">
        <f t="shared" si="49"/>
        <v>8.554319931566301E-4</v>
      </c>
      <c r="BF43" s="8">
        <f t="shared" si="49"/>
        <v>-1.0050251256281451E-2</v>
      </c>
      <c r="BG43" s="8">
        <f t="shared" si="49"/>
        <v>-1.9281332164767795E-2</v>
      </c>
      <c r="BH43" s="8">
        <f t="shared" si="49"/>
        <v>4.4427123928292955E-2</v>
      </c>
      <c r="BI43" s="8">
        <f t="shared" si="49"/>
        <v>8.2051282051281982E-2</v>
      </c>
      <c r="BJ43" s="8">
        <f t="shared" si="49"/>
        <v>8.7140439932318126E-2</v>
      </c>
      <c r="BK43" s="8">
        <f t="shared" si="49"/>
        <v>0.1000893655049151</v>
      </c>
      <c r="BL43" s="8">
        <f t="shared" si="49"/>
        <v>8.8805970149253621E-2</v>
      </c>
      <c r="BM43" s="8">
        <f t="shared" si="49"/>
        <v>4.9763033175355353E-2</v>
      </c>
      <c r="BN43" s="8">
        <f t="shared" si="49"/>
        <v>7.0038910505836549E-2</v>
      </c>
      <c r="BO43" s="8">
        <f t="shared" si="49"/>
        <v>0.12510154346060109</v>
      </c>
      <c r="BP43" s="8">
        <f t="shared" si="49"/>
        <v>7.1281699794379705E-2</v>
      </c>
      <c r="BQ43" s="8">
        <f>BQ36/BM36-1</f>
        <v>7.2987208427389039E-2</v>
      </c>
      <c r="CS43" s="8">
        <f t="shared" ref="CS43" si="50">CS36/CR36-1</f>
        <v>-7.8940667175961821E-3</v>
      </c>
      <c r="CT43" s="8">
        <f t="shared" ref="CT43:CV43" si="51">CT36/CS36-1</f>
        <v>0.22869609856262829</v>
      </c>
      <c r="CU43" s="8">
        <f t="shared" si="51"/>
        <v>5.0135784416127649E-3</v>
      </c>
      <c r="CV43" s="8">
        <f t="shared" si="51"/>
        <v>8.9378507586780342E-2</v>
      </c>
      <c r="CW43" s="8">
        <f>CW36/CV36-1</f>
        <v>7.8420148826559899E-2</v>
      </c>
    </row>
    <row r="44" spans="2:147">
      <c r="B44" s="32" t="s">
        <v>1186</v>
      </c>
      <c r="C44" s="8"/>
      <c r="D44" s="8"/>
      <c r="E44" s="8"/>
      <c r="F44" s="8"/>
      <c r="G44" s="8">
        <f t="shared" ref="G44:AY44" si="52">G46/C46-1</f>
        <v>-3.4625715286698555E-2</v>
      </c>
      <c r="H44" s="8">
        <f t="shared" si="52"/>
        <v>0.10955837870538399</v>
      </c>
      <c r="I44" s="8">
        <f t="shared" si="52"/>
        <v>0.12352463623306065</v>
      </c>
      <c r="J44" s="8">
        <f t="shared" si="52"/>
        <v>7.5812274368231014E-2</v>
      </c>
      <c r="K44" s="8">
        <f t="shared" si="52"/>
        <v>6.9376398717716059E-2</v>
      </c>
      <c r="L44" s="8">
        <f t="shared" si="52"/>
        <v>8.7563382585464256E-2</v>
      </c>
      <c r="M44" s="8">
        <f t="shared" si="52"/>
        <v>0.12000444666777832</v>
      </c>
      <c r="N44" s="8">
        <f t="shared" si="52"/>
        <v>0.1636901376407689</v>
      </c>
      <c r="O44" s="8">
        <f t="shared" si="52"/>
        <v>0.1487556561085972</v>
      </c>
      <c r="P44" s="8">
        <f t="shared" si="52"/>
        <v>0.11044267308367162</v>
      </c>
      <c r="Q44" s="8">
        <f t="shared" si="52"/>
        <v>7.2456575682382063E-2</v>
      </c>
      <c r="R44" s="8">
        <f t="shared" si="52"/>
        <v>2.9325513196480912E-2</v>
      </c>
      <c r="S44" s="8">
        <f t="shared" si="52"/>
        <v>1.0339734121122657E-2</v>
      </c>
      <c r="T44" s="8">
        <f t="shared" si="52"/>
        <v>5.5530474040632161E-2</v>
      </c>
      <c r="U44" s="8">
        <f t="shared" si="52"/>
        <v>1.3419713095788932E-2</v>
      </c>
      <c r="V44" s="8">
        <f t="shared" si="52"/>
        <v>5.0332383665717018E-2</v>
      </c>
      <c r="W44" s="8">
        <f t="shared" si="52"/>
        <v>4.8245614035087758E-2</v>
      </c>
      <c r="X44" s="8">
        <f t="shared" si="52"/>
        <v>5.5603079555175405E-2</v>
      </c>
      <c r="Y44" s="8">
        <f t="shared" si="52"/>
        <v>5.2511415525114069E-2</v>
      </c>
      <c r="Z44" s="8">
        <f t="shared" si="52"/>
        <v>6.8264014466546064E-2</v>
      </c>
      <c r="AA44" s="8">
        <f t="shared" si="52"/>
        <v>0.11064621106462114</v>
      </c>
      <c r="AB44" s="8">
        <f t="shared" si="52"/>
        <v>6.0777957860615794E-2</v>
      </c>
      <c r="AC44" s="8">
        <f t="shared" si="52"/>
        <v>3.2104121475054148E-2</v>
      </c>
      <c r="AD44" s="8">
        <f t="shared" si="52"/>
        <v>2.9200169276343724E-2</v>
      </c>
      <c r="AE44" s="8">
        <f t="shared" si="52"/>
        <v>1.2976140644621159E-2</v>
      </c>
      <c r="AF44" s="8">
        <f t="shared" si="52"/>
        <v>3.7051184110007629E-2</v>
      </c>
      <c r="AG44" s="8">
        <f t="shared" si="52"/>
        <v>4.8759983186212663E-2</v>
      </c>
      <c r="AH44" s="8">
        <f t="shared" si="52"/>
        <v>0.16776315789473695</v>
      </c>
      <c r="AI44" s="8">
        <f t="shared" si="52"/>
        <v>0.17066115702479334</v>
      </c>
      <c r="AJ44" s="8">
        <f t="shared" si="52"/>
        <v>0.16279926335174943</v>
      </c>
      <c r="AK44" s="8">
        <f t="shared" si="52"/>
        <v>0.18436873747494986</v>
      </c>
      <c r="AL44" s="8">
        <f t="shared" si="52"/>
        <v>6.056338028169006E-2</v>
      </c>
      <c r="AM44" s="8">
        <f t="shared" si="52"/>
        <v>6.1066007765619545E-2</v>
      </c>
      <c r="AN44" s="8">
        <f t="shared" si="52"/>
        <v>9.9461514095660508E-2</v>
      </c>
      <c r="AO44" s="8">
        <f t="shared" si="52"/>
        <v>9.6785109983079431E-2</v>
      </c>
      <c r="AP44" s="8">
        <f t="shared" si="52"/>
        <v>0.10292164674634785</v>
      </c>
      <c r="AQ44" s="8">
        <f t="shared" si="52"/>
        <v>7.8509647371922897E-2</v>
      </c>
      <c r="AR44" s="8">
        <f t="shared" si="52"/>
        <v>9.3632958801498134E-2</v>
      </c>
      <c r="AS44" s="8">
        <f t="shared" si="52"/>
        <v>8.4850354828756469E-2</v>
      </c>
      <c r="AT44" s="8">
        <f t="shared" si="52"/>
        <v>9.8735701384708108E-2</v>
      </c>
      <c r="AU44" s="8">
        <f t="shared" si="52"/>
        <v>0.10641579272054291</v>
      </c>
      <c r="AV44" s="8">
        <f t="shared" si="52"/>
        <v>8.8250790305584914E-2</v>
      </c>
      <c r="AW44" s="8">
        <f t="shared" si="52"/>
        <v>2.0477815699658786E-2</v>
      </c>
      <c r="AX44" s="8">
        <f t="shared" si="52"/>
        <v>-0.24273972602739724</v>
      </c>
      <c r="AY44" s="8">
        <f t="shared" si="52"/>
        <v>4.1817674937273397E-2</v>
      </c>
      <c r="AZ44" s="8">
        <f>AZ46/AV46-1</f>
        <v>3.1711450012103626E-2</v>
      </c>
      <c r="BA44" s="8">
        <f t="shared" ref="BA44:BP44" si="53">BA37/AW37-1</f>
        <v>0.1017279821627648</v>
      </c>
      <c r="BB44" s="8">
        <f>BB37/AX37-1</f>
        <v>0.55354558610709126</v>
      </c>
      <c r="BC44" s="8">
        <f t="shared" si="53"/>
        <v>0.11319240032111311</v>
      </c>
      <c r="BD44" s="8">
        <f t="shared" si="53"/>
        <v>0.10300328484279686</v>
      </c>
      <c r="BE44" s="8">
        <f t="shared" si="53"/>
        <v>8.1457121173792002E-2</v>
      </c>
      <c r="BF44" s="8">
        <f t="shared" si="53"/>
        <v>4.6343735444806633E-2</v>
      </c>
      <c r="BG44" s="8">
        <f t="shared" si="53"/>
        <v>7.6682692307692202E-2</v>
      </c>
      <c r="BH44" s="8">
        <f t="shared" si="53"/>
        <v>0.10657306955966805</v>
      </c>
      <c r="BI44" s="8">
        <f t="shared" si="53"/>
        <v>0.11766081871345024</v>
      </c>
      <c r="BJ44" s="8">
        <f t="shared" si="53"/>
        <v>0.11195192521700426</v>
      </c>
      <c r="BK44" s="8">
        <f t="shared" si="53"/>
        <v>9.6003572225943357E-2</v>
      </c>
      <c r="BL44" s="8">
        <f t="shared" si="53"/>
        <v>0.1178392925797771</v>
      </c>
      <c r="BM44" s="8">
        <f t="shared" si="53"/>
        <v>9.7321054834658804E-2</v>
      </c>
      <c r="BN44" s="8">
        <f t="shared" si="53"/>
        <v>8.526821457165723E-2</v>
      </c>
      <c r="BO44" s="8">
        <f t="shared" si="53"/>
        <v>0.11916887349765726</v>
      </c>
      <c r="BP44" s="8">
        <f t="shared" si="53"/>
        <v>0.10679277730008607</v>
      </c>
      <c r="BQ44" s="8">
        <f>BQ37/BM37-1</f>
        <v>0.11882510013351144</v>
      </c>
      <c r="CS44" s="8">
        <f t="shared" ref="CS44" si="54">CS37/CR37-1</f>
        <v>-3.5810266057511475E-2</v>
      </c>
      <c r="CT44" s="8">
        <f t="shared" ref="CT44:CV44" si="55">CT37/CS37-1</f>
        <v>0.19211204794090997</v>
      </c>
      <c r="CU44" s="8">
        <f t="shared" si="55"/>
        <v>7.8384381575870909E-2</v>
      </c>
      <c r="CV44" s="8">
        <f t="shared" si="55"/>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AW16</f>
        <v>3588</v>
      </c>
      <c r="AX46" s="1">
        <f>AX16</f>
        <v>2764</v>
      </c>
      <c r="AY46" s="1">
        <f>AY16</f>
        <v>3737</v>
      </c>
      <c r="AZ46" s="1">
        <f>AZ16</f>
        <v>4262</v>
      </c>
      <c r="BA46" s="1">
        <f>BA16</f>
        <v>3953</v>
      </c>
      <c r="BB46" s="1">
        <f>BB16</f>
        <v>4294</v>
      </c>
      <c r="BC46" s="1">
        <f>BC16</f>
        <v>4160</v>
      </c>
      <c r="BD46" s="1">
        <f>BD16</f>
        <v>4701</v>
      </c>
      <c r="BE46" s="1">
        <f>BE16</f>
        <v>4275</v>
      </c>
      <c r="BF46" s="1">
        <f>BF16</f>
        <v>4493</v>
      </c>
      <c r="BG46" s="1">
        <f>BG16</f>
        <v>4479</v>
      </c>
      <c r="BH46" s="1">
        <f>BH16</f>
        <v>5202</v>
      </c>
      <c r="BI46" s="1">
        <f>BI16</f>
        <v>4778</v>
      </c>
      <c r="BJ46" s="1">
        <f>BJ16</f>
        <v>4996</v>
      </c>
      <c r="BK46" s="1">
        <f>BK16</f>
        <v>4909</v>
      </c>
      <c r="BL46" s="1">
        <f>BL16</f>
        <v>5815</v>
      </c>
      <c r="BM46" s="1">
        <f>BM16</f>
        <v>5243</v>
      </c>
      <c r="BN46" s="1">
        <f>BN16</f>
        <v>5422</v>
      </c>
      <c r="BO46" s="1">
        <f>BO16</f>
        <v>5494</v>
      </c>
      <c r="BP46" s="1">
        <f>BP16</f>
        <v>6436</v>
      </c>
      <c r="BQ46" s="1">
        <f>BQ16</f>
        <v>5866</v>
      </c>
      <c r="BR46" s="28">
        <v>5930</v>
      </c>
      <c r="BS46" s="28">
        <v>5980</v>
      </c>
      <c r="BT46" s="28">
        <v>7030</v>
      </c>
      <c r="BU46" s="28">
        <v>6290</v>
      </c>
      <c r="BV46" s="28">
        <v>6390</v>
      </c>
      <c r="BW46" s="28">
        <v>9470</v>
      </c>
      <c r="BX46" s="28">
        <v>7640</v>
      </c>
      <c r="BY46" s="28">
        <v>6840</v>
      </c>
      <c r="CH46" s="43">
        <f>SUM(E46:H46)</f>
        <v>6723</v>
      </c>
      <c r="CI46" s="43">
        <f>SUM(I46:L46)</f>
        <v>7320</v>
      </c>
      <c r="CJ46" s="43">
        <f>SUM(M46:P46)</f>
        <v>8307</v>
      </c>
      <c r="CK46" s="43">
        <f>SUM(Q46:T46)</f>
        <v>8657</v>
      </c>
      <c r="CL46" s="43">
        <f>SUM(U46:X46)</f>
        <v>9021</v>
      </c>
      <c r="CM46" s="43">
        <f>SUM(Y46:AB46)</f>
        <v>9675</v>
      </c>
      <c r="CN46" s="43">
        <f>SUM(AC46:AF46)</f>
        <v>9946</v>
      </c>
      <c r="CO46" s="43">
        <f>SUM(AG46:AJ46)</f>
        <v>11325</v>
      </c>
      <c r="CP46" s="43">
        <f>SUM(AK46:AN46)</f>
        <v>12444</v>
      </c>
      <c r="CQ46" s="43">
        <f>SUM(AO46:AR46)</f>
        <v>13601</v>
      </c>
      <c r="CR46" s="43">
        <f>SUM(AS46:AV46)</f>
        <v>14884</v>
      </c>
      <c r="CS46" s="1">
        <f t="shared" ref="CS46:CS57" si="56">SUM(AW46:AZ46)</f>
        <v>14351</v>
      </c>
      <c r="CT46" s="1">
        <f t="shared" ref="CT46:CT57" si="57">SUM(BA46:BD46)</f>
        <v>17108</v>
      </c>
      <c r="CU46" s="1">
        <f t="shared" ref="CU46:CU57" si="58">SUM(BE46:BH46)</f>
        <v>18449</v>
      </c>
      <c r="CV46" s="1">
        <f t="shared" ref="CV46:CV57" si="59">SUM(BI46:BL46)</f>
        <v>20498</v>
      </c>
      <c r="CW46" s="1">
        <f t="shared" ref="CW46:CW57" si="60">SUM(BM46:BP46)</f>
        <v>22595</v>
      </c>
      <c r="CX46" s="72">
        <f>CX16</f>
        <v>25266.35</v>
      </c>
      <c r="CY46" s="72">
        <f>CY16</f>
        <v>27491.718553999999</v>
      </c>
      <c r="CZ46" s="72">
        <f>CZ16</f>
        <v>29635.032204108007</v>
      </c>
      <c r="DA46" s="72">
        <f>DA16</f>
        <v>31732.058838227531</v>
      </c>
      <c r="DB46" s="72">
        <f>DB16</f>
        <v>33932.015158148839</v>
      </c>
      <c r="DC46" s="72">
        <f>DC16</f>
        <v>36198.643407155389</v>
      </c>
      <c r="DD46" s="72">
        <f>DD16</f>
        <v>38564.62904789568</v>
      </c>
      <c r="DE46" s="72">
        <f>DE16</f>
        <v>40947.918756093291</v>
      </c>
      <c r="DF46" s="72">
        <f>DF16</f>
        <v>43427.434823802105</v>
      </c>
      <c r="DG46" s="72">
        <f>DG16</f>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1">SUM(E47:H47)</f>
        <v>2184</v>
      </c>
      <c r="CI47" s="37">
        <f t="shared" ref="CI47:CI57" si="62">SUM(I47:L47)</f>
        <v>2286</v>
      </c>
      <c r="CJ47" s="37">
        <f t="shared" ref="CJ47:CJ57" si="63">SUM(M47:P47)</f>
        <v>2811</v>
      </c>
      <c r="CK47" s="37">
        <f t="shared" ref="CK47:CK57" si="64">SUM(Q47:T47)</f>
        <v>2781</v>
      </c>
      <c r="CL47" s="37">
        <f t="shared" ref="CL47:CL57" si="65">SUM(U47:X47)</f>
        <v>3002</v>
      </c>
      <c r="CM47" s="37">
        <f t="shared" ref="CM47:CM57" si="66">SUM(Y47:AB47)</f>
        <v>3319</v>
      </c>
      <c r="CN47" s="37">
        <f t="shared" ref="CN47:CN57" si="67">SUM(AC47:AF47)</f>
        <v>3344</v>
      </c>
      <c r="CO47" s="37">
        <f t="shared" ref="CO47:CO57" si="68">SUM(AG47:AJ47)</f>
        <v>3821</v>
      </c>
      <c r="CP47" s="37">
        <f t="shared" ref="CP47:CP57" si="69">SUM(AK47:AN47)</f>
        <v>4264</v>
      </c>
      <c r="CQ47" s="37">
        <f t="shared" ref="CQ47:CQ57" si="70">SUM(AO47:AR47)</f>
        <v>4663</v>
      </c>
      <c r="CR47" s="37">
        <f t="shared" ref="CR47:CR57" si="71">SUM(AS47:AV47)</f>
        <v>5188</v>
      </c>
      <c r="CS47" s="2">
        <f t="shared" si="56"/>
        <v>5294</v>
      </c>
      <c r="CT47" s="2">
        <f t="shared" si="57"/>
        <v>6140</v>
      </c>
      <c r="CU47" s="2">
        <f t="shared" si="58"/>
        <v>6871</v>
      </c>
      <c r="CV47" s="2">
        <f t="shared" si="59"/>
        <v>7440</v>
      </c>
      <c r="CW47" s="2">
        <f t="shared" si="60"/>
        <v>8155</v>
      </c>
      <c r="CX47" s="71">
        <f>CX46*(1-CX61)</f>
        <v>8944.2878999999994</v>
      </c>
      <c r="CY47" s="71">
        <f t="shared" ref="CY47:DG47" si="72">CY46*(1-CY61)</f>
        <v>9677.0849310079993</v>
      </c>
      <c r="CZ47" s="71">
        <f t="shared" si="72"/>
        <v>10372.261271437801</v>
      </c>
      <c r="DA47" s="71">
        <f t="shared" si="72"/>
        <v>11042.75647570318</v>
      </c>
      <c r="DB47" s="71">
        <f t="shared" si="72"/>
        <v>11740.477244719497</v>
      </c>
      <c r="DC47" s="71">
        <f t="shared" si="72"/>
        <v>12452.333332061453</v>
      </c>
      <c r="DD47" s="71">
        <f t="shared" si="72"/>
        <v>13189.103134380321</v>
      </c>
      <c r="DE47" s="71">
        <f t="shared" si="72"/>
        <v>13922.292377071717</v>
      </c>
      <c r="DF47" s="71">
        <f t="shared" si="72"/>
        <v>14765.327840092714</v>
      </c>
      <c r="DG47" s="71">
        <f t="shared" si="72"/>
        <v>15669.9118565916</v>
      </c>
    </row>
    <row r="48" spans="2:147">
      <c r="B48" s="2" t="s">
        <v>1200</v>
      </c>
      <c r="C48" s="36">
        <f>C46-C47</f>
        <v>1179.3999999999999</v>
      </c>
      <c r="D48" s="36">
        <f t="shared" ref="D48:AV48" si="73">D46-D47</f>
        <v>1111.3</v>
      </c>
      <c r="E48" s="36">
        <f t="shared" si="73"/>
        <v>1085.8</v>
      </c>
      <c r="F48" s="36">
        <f t="shared" si="73"/>
        <v>1098</v>
      </c>
      <c r="G48" s="36">
        <f t="shared" si="73"/>
        <v>1114.5999999999999</v>
      </c>
      <c r="H48" s="36">
        <f t="shared" si="73"/>
        <v>1240.5999999999999</v>
      </c>
      <c r="I48" s="36">
        <f t="shared" si="73"/>
        <v>1217.6999999999998</v>
      </c>
      <c r="J48" s="36">
        <f t="shared" si="73"/>
        <v>1218.9000000000001</v>
      </c>
      <c r="K48" s="36">
        <f t="shared" si="73"/>
        <v>1227</v>
      </c>
      <c r="L48" s="36">
        <f t="shared" si="73"/>
        <v>1370.4</v>
      </c>
      <c r="M48" s="36">
        <f t="shared" si="73"/>
        <v>1326</v>
      </c>
      <c r="N48" s="36">
        <f t="shared" si="73"/>
        <v>1333</v>
      </c>
      <c r="O48" s="36">
        <f t="shared" si="73"/>
        <v>1362</v>
      </c>
      <c r="P48" s="36">
        <f t="shared" si="73"/>
        <v>1475</v>
      </c>
      <c r="Q48" s="36">
        <f t="shared" si="73"/>
        <v>1452</v>
      </c>
      <c r="R48" s="36">
        <f t="shared" si="73"/>
        <v>1434</v>
      </c>
      <c r="S48" s="36">
        <f t="shared" si="73"/>
        <v>1397</v>
      </c>
      <c r="T48" s="36">
        <f t="shared" si="73"/>
        <v>1593</v>
      </c>
      <c r="U48" s="36">
        <f t="shared" si="73"/>
        <v>1477</v>
      </c>
      <c r="V48" s="36">
        <f t="shared" si="73"/>
        <v>1482</v>
      </c>
      <c r="W48" s="36">
        <f t="shared" si="73"/>
        <v>1469</v>
      </c>
      <c r="X48" s="36">
        <f t="shared" si="73"/>
        <v>1591</v>
      </c>
      <c r="Y48" s="36">
        <f t="shared" si="73"/>
        <v>1529</v>
      </c>
      <c r="Z48" s="36">
        <f t="shared" si="73"/>
        <v>1548</v>
      </c>
      <c r="AA48" s="36">
        <f t="shared" si="73"/>
        <v>1560</v>
      </c>
      <c r="AB48" s="36">
        <f t="shared" si="73"/>
        <v>1719</v>
      </c>
      <c r="AC48" s="36">
        <f t="shared" si="73"/>
        <v>1553</v>
      </c>
      <c r="AD48" s="36">
        <f t="shared" si="73"/>
        <v>1605</v>
      </c>
      <c r="AE48" s="36">
        <f t="shared" si="73"/>
        <v>1624</v>
      </c>
      <c r="AF48" s="36">
        <f t="shared" si="73"/>
        <v>1820</v>
      </c>
      <c r="AG48" s="36">
        <f t="shared" si="73"/>
        <v>1694</v>
      </c>
      <c r="AH48" s="36">
        <f t="shared" si="73"/>
        <v>1842</v>
      </c>
      <c r="AI48" s="36">
        <f t="shared" si="73"/>
        <v>1873</v>
      </c>
      <c r="AJ48" s="36">
        <f t="shared" si="73"/>
        <v>2095</v>
      </c>
      <c r="AK48" s="36">
        <f t="shared" si="73"/>
        <v>1964</v>
      </c>
      <c r="AL48" s="36">
        <f t="shared" si="73"/>
        <v>1991</v>
      </c>
      <c r="AM48" s="36">
        <f t="shared" si="73"/>
        <v>1984</v>
      </c>
      <c r="AN48" s="36">
        <f t="shared" si="73"/>
        <v>2241</v>
      </c>
      <c r="AO48" s="36">
        <f t="shared" si="73"/>
        <v>2137</v>
      </c>
      <c r="AP48" s="36">
        <f t="shared" si="73"/>
        <v>2190</v>
      </c>
      <c r="AQ48" s="36">
        <f t="shared" si="73"/>
        <v>2155</v>
      </c>
      <c r="AR48" s="36">
        <f t="shared" si="73"/>
        <v>2456</v>
      </c>
      <c r="AS48" s="36">
        <f t="shared" si="73"/>
        <v>2283</v>
      </c>
      <c r="AT48" s="36">
        <f t="shared" si="73"/>
        <v>2380</v>
      </c>
      <c r="AU48" s="36">
        <f t="shared" si="73"/>
        <v>2330</v>
      </c>
      <c r="AV48" s="36">
        <f t="shared" si="73"/>
        <v>2703</v>
      </c>
      <c r="AW48" s="36">
        <f t="shared" ref="AW48" si="74">AW46-AW47</f>
        <v>2331</v>
      </c>
      <c r="AX48" s="36">
        <f t="shared" ref="AX48" si="75">AX46-AX47</f>
        <v>1548</v>
      </c>
      <c r="AY48" s="36">
        <f t="shared" ref="AY48" si="76">AY46-AY47</f>
        <v>2461</v>
      </c>
      <c r="AZ48" s="36">
        <f t="shared" ref="AZ48" si="77">AZ46-AZ47</f>
        <v>2717</v>
      </c>
      <c r="BA48" s="36">
        <f t="shared" ref="BA48" si="78">BA46-BA47</f>
        <v>2509</v>
      </c>
      <c r="BB48" s="36">
        <f t="shared" ref="BB48" si="79">BB46-BB47</f>
        <v>2772</v>
      </c>
      <c r="BC48" s="36">
        <f t="shared" ref="BC48" si="80">BC46-BC47</f>
        <v>2642</v>
      </c>
      <c r="BD48" s="36">
        <f t="shared" ref="BD48" si="81">BD46-BD47</f>
        <v>3045</v>
      </c>
      <c r="BE48" s="36">
        <f t="shared" ref="BE48" si="82">BE46-BE47</f>
        <v>2734</v>
      </c>
      <c r="BF48" s="36">
        <f t="shared" ref="BF48" si="83">BF46-BF47</f>
        <v>2826</v>
      </c>
      <c r="BG48" s="36">
        <f t="shared" ref="BG48" si="84">BG46-BG47</f>
        <v>2782</v>
      </c>
      <c r="BH48" s="36">
        <f t="shared" ref="BH48" si="85">BH46-BH47</f>
        <v>3236</v>
      </c>
      <c r="BI48" s="36">
        <f t="shared" ref="BI48" si="86">BI46-BI47</f>
        <v>3016</v>
      </c>
      <c r="BJ48" s="36">
        <f t="shared" ref="BJ48" si="87">BJ46-BJ47</f>
        <v>3181</v>
      </c>
      <c r="BK48" s="36">
        <f t="shared" ref="BK48" si="88">BK46-BK47</f>
        <v>3158</v>
      </c>
      <c r="BL48" s="36">
        <f t="shared" ref="BL48" si="89">BL46-BL47</f>
        <v>3703</v>
      </c>
      <c r="BM48" s="36">
        <f t="shared" ref="BM48" si="90">BM46-BM47</f>
        <v>3333</v>
      </c>
      <c r="BN48" s="36">
        <f t="shared" ref="BN48" si="91">BN46-BN47</f>
        <v>3416</v>
      </c>
      <c r="BO48" s="36">
        <f t="shared" ref="BO48" si="92">BO46-BO47</f>
        <v>3517</v>
      </c>
      <c r="BP48" s="36">
        <f t="shared" ref="BP48" si="93">BP46-BP47</f>
        <v>4174</v>
      </c>
      <c r="BQ48" s="36">
        <f t="shared" ref="BQ48" si="94">BQ46-BQ47</f>
        <v>3744</v>
      </c>
      <c r="CH48" s="37">
        <f t="shared" ref="CH48:CQ48" si="95">CH46-CH47</f>
        <v>4539</v>
      </c>
      <c r="CI48" s="37">
        <f t="shared" si="95"/>
        <v>5034</v>
      </c>
      <c r="CJ48" s="37">
        <f t="shared" si="95"/>
        <v>5496</v>
      </c>
      <c r="CK48" s="37">
        <f t="shared" si="95"/>
        <v>5876</v>
      </c>
      <c r="CL48" s="37">
        <f t="shared" si="95"/>
        <v>6019</v>
      </c>
      <c r="CM48" s="37">
        <f t="shared" si="95"/>
        <v>6356</v>
      </c>
      <c r="CN48" s="37">
        <f t="shared" si="95"/>
        <v>6602</v>
      </c>
      <c r="CO48" s="37">
        <f t="shared" si="95"/>
        <v>7504</v>
      </c>
      <c r="CP48" s="37">
        <f t="shared" si="95"/>
        <v>8180</v>
      </c>
      <c r="CQ48" s="37">
        <f t="shared" si="95"/>
        <v>8938</v>
      </c>
      <c r="CR48" s="37">
        <f>CR46-CR47</f>
        <v>9696</v>
      </c>
      <c r="CS48" s="37">
        <f t="shared" si="56"/>
        <v>9057</v>
      </c>
      <c r="CT48" s="2">
        <f t="shared" si="57"/>
        <v>10968</v>
      </c>
      <c r="CU48" s="2">
        <f t="shared" si="58"/>
        <v>11578</v>
      </c>
      <c r="CV48" s="2">
        <f t="shared" si="59"/>
        <v>13058</v>
      </c>
      <c r="CW48" s="2">
        <f t="shared" si="60"/>
        <v>14440</v>
      </c>
      <c r="CX48" s="71">
        <f>CX46-CX47</f>
        <v>16322.062099999999</v>
      </c>
      <c r="CY48" s="71">
        <f t="shared" ref="CY48:DG48" si="96">CY46-CY47</f>
        <v>17814.633622991998</v>
      </c>
      <c r="CZ48" s="71">
        <f t="shared" si="96"/>
        <v>19262.770932670206</v>
      </c>
      <c r="DA48" s="71">
        <f t="shared" si="96"/>
        <v>20689.302362524351</v>
      </c>
      <c r="DB48" s="71">
        <f t="shared" si="96"/>
        <v>22191.53791342934</v>
      </c>
      <c r="DC48" s="71">
        <f t="shared" si="96"/>
        <v>23746.310075093934</v>
      </c>
      <c r="DD48" s="71">
        <f t="shared" si="96"/>
        <v>25375.525913515361</v>
      </c>
      <c r="DE48" s="71">
        <f t="shared" si="96"/>
        <v>27025.626379021574</v>
      </c>
      <c r="DF48" s="71">
        <f t="shared" si="96"/>
        <v>28662.106983709389</v>
      </c>
      <c r="DG48" s="71">
        <f t="shared" si="96"/>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1"/>
        <v>336</v>
      </c>
      <c r="CI49" s="37">
        <f t="shared" si="62"/>
        <v>394</v>
      </c>
      <c r="CJ49" s="37">
        <f t="shared" si="63"/>
        <v>462</v>
      </c>
      <c r="CK49" s="37">
        <f t="shared" si="64"/>
        <v>471</v>
      </c>
      <c r="CL49" s="37">
        <f t="shared" si="65"/>
        <v>536</v>
      </c>
      <c r="CM49" s="37">
        <f t="shared" si="66"/>
        <v>614</v>
      </c>
      <c r="CN49" s="37">
        <f t="shared" si="67"/>
        <v>625</v>
      </c>
      <c r="CO49" s="37">
        <f t="shared" si="68"/>
        <v>715</v>
      </c>
      <c r="CP49" s="37">
        <f t="shared" si="69"/>
        <v>787</v>
      </c>
      <c r="CQ49" s="37">
        <f t="shared" si="70"/>
        <v>862</v>
      </c>
      <c r="CR49" s="37">
        <f t="shared" si="71"/>
        <v>971</v>
      </c>
      <c r="CS49" s="2">
        <f t="shared" si="56"/>
        <v>984</v>
      </c>
      <c r="CT49" s="2">
        <f t="shared" si="57"/>
        <v>1235</v>
      </c>
      <c r="CU49" s="2">
        <f t="shared" si="58"/>
        <v>1454</v>
      </c>
      <c r="CV49" s="2">
        <f t="shared" si="59"/>
        <v>1388</v>
      </c>
      <c r="CW49" s="2">
        <f t="shared" si="60"/>
        <v>1466</v>
      </c>
      <c r="CX49" s="71">
        <f>CX46*CX62</f>
        <v>1718.1118000000001</v>
      </c>
      <c r="CY49" s="71">
        <f t="shared" ref="CY49:DG49" si="97">CY46*CY62</f>
        <v>1869.4368616720001</v>
      </c>
      <c r="CZ49" s="71">
        <f t="shared" si="97"/>
        <v>2015.1821898793446</v>
      </c>
      <c r="DA49" s="71">
        <f t="shared" si="97"/>
        <v>2157.7800009994721</v>
      </c>
      <c r="DB49" s="71">
        <f t="shared" si="97"/>
        <v>2307.3770307541213</v>
      </c>
      <c r="DC49" s="71">
        <f t="shared" si="97"/>
        <v>2461.5077516865667</v>
      </c>
      <c r="DD49" s="71">
        <f t="shared" si="97"/>
        <v>2622.3947752569065</v>
      </c>
      <c r="DE49" s="71">
        <f t="shared" si="97"/>
        <v>2784.4584754143439</v>
      </c>
      <c r="DF49" s="71">
        <f t="shared" si="97"/>
        <v>2953.0655680185432</v>
      </c>
      <c r="DG49" s="71">
        <f t="shared" si="97"/>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1"/>
        <v>2506</v>
      </c>
      <c r="CI50" s="37">
        <f t="shared" si="62"/>
        <v>2707</v>
      </c>
      <c r="CJ50" s="37">
        <f t="shared" si="63"/>
        <v>3150</v>
      </c>
      <c r="CK50" s="37">
        <f t="shared" si="64"/>
        <v>3367</v>
      </c>
      <c r="CL50" s="37">
        <f t="shared" si="65"/>
        <v>3467</v>
      </c>
      <c r="CM50" s="37">
        <f t="shared" si="66"/>
        <v>3547</v>
      </c>
      <c r="CN50" s="37">
        <f t="shared" si="67"/>
        <v>3610</v>
      </c>
      <c r="CO50" s="37">
        <f t="shared" si="68"/>
        <v>4137</v>
      </c>
      <c r="CP50" s="37">
        <f t="shared" si="69"/>
        <v>4552</v>
      </c>
      <c r="CQ50" s="37">
        <f t="shared" si="70"/>
        <v>5099</v>
      </c>
      <c r="CR50" s="37">
        <f t="shared" si="71"/>
        <v>5356</v>
      </c>
      <c r="CS50" s="2">
        <f t="shared" si="56"/>
        <v>5361</v>
      </c>
      <c r="CT50" s="2">
        <f t="shared" si="57"/>
        <v>6427</v>
      </c>
      <c r="CU50" s="2">
        <f t="shared" si="58"/>
        <v>6386</v>
      </c>
      <c r="CV50" s="2">
        <f t="shared" si="59"/>
        <v>7111</v>
      </c>
      <c r="CW50" s="2">
        <f t="shared" si="60"/>
        <v>7685</v>
      </c>
      <c r="CX50" s="71">
        <f>CX46*CX63</f>
        <v>8464.2272499999999</v>
      </c>
      <c r="CY50" s="71">
        <f t="shared" ref="CY50:DG50" si="98">CY46*CY63</f>
        <v>9127.2505599279993</v>
      </c>
      <c r="CZ50" s="71">
        <f t="shared" si="98"/>
        <v>9779.5606273556423</v>
      </c>
      <c r="DA50" s="71">
        <f t="shared" si="98"/>
        <v>10408.11529893863</v>
      </c>
      <c r="DB50" s="71">
        <f t="shared" si="98"/>
        <v>11095.76895671467</v>
      </c>
      <c r="DC50" s="71">
        <f t="shared" si="98"/>
        <v>11800.757750732657</v>
      </c>
      <c r="DD50" s="71">
        <f t="shared" si="98"/>
        <v>12533.504440566096</v>
      </c>
      <c r="DE50" s="71">
        <f t="shared" si="98"/>
        <v>13267.125676974227</v>
      </c>
      <c r="DF50" s="71">
        <f t="shared" si="98"/>
        <v>14027.061448088079</v>
      </c>
      <c r="DG50" s="71">
        <f t="shared" si="98"/>
        <v>14840.328287713222</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1"/>
        <v>0</v>
      </c>
      <c r="CI51" s="37">
        <f t="shared" si="62"/>
        <v>0</v>
      </c>
      <c r="CJ51" s="37">
        <f t="shared" si="63"/>
        <v>0</v>
      </c>
      <c r="CK51" s="37">
        <f t="shared" si="64"/>
        <v>0</v>
      </c>
      <c r="CL51" s="37">
        <f t="shared" si="65"/>
        <v>0</v>
      </c>
      <c r="CM51" s="37">
        <f t="shared" si="66"/>
        <v>0</v>
      </c>
      <c r="CN51" s="37">
        <f t="shared" si="67"/>
        <v>0</v>
      </c>
      <c r="CO51" s="37">
        <f t="shared" si="68"/>
        <v>0</v>
      </c>
      <c r="CP51" s="37">
        <f t="shared" si="69"/>
        <v>0</v>
      </c>
      <c r="CQ51" s="37">
        <f t="shared" si="70"/>
        <v>0</v>
      </c>
      <c r="CR51" s="37">
        <f t="shared" si="71"/>
        <v>0</v>
      </c>
      <c r="CS51" s="2">
        <f t="shared" si="56"/>
        <v>17</v>
      </c>
      <c r="CT51" s="2">
        <f t="shared" si="57"/>
        <v>103</v>
      </c>
      <c r="CU51" s="2">
        <f t="shared" si="58"/>
        <v>627</v>
      </c>
      <c r="CV51" s="2">
        <f t="shared" si="59"/>
        <v>635</v>
      </c>
      <c r="CW51" s="2">
        <f t="shared" si="60"/>
        <v>623</v>
      </c>
      <c r="CX51" s="71">
        <f>CW51*(1.03)</f>
        <v>641.69000000000005</v>
      </c>
      <c r="CY51" s="71">
        <f t="shared" ref="CY51:DG51" si="99">CX51*(1.03)</f>
        <v>660.94070000000011</v>
      </c>
      <c r="CZ51" s="71">
        <f t="shared" si="99"/>
        <v>680.76892100000009</v>
      </c>
      <c r="DA51" s="71">
        <f t="shared" si="99"/>
        <v>701.19198863000008</v>
      </c>
      <c r="DB51" s="71">
        <f t="shared" si="99"/>
        <v>722.2277482889001</v>
      </c>
      <c r="DC51" s="71">
        <f t="shared" si="99"/>
        <v>743.89458073756714</v>
      </c>
      <c r="DD51" s="71">
        <f t="shared" si="99"/>
        <v>766.21141815969418</v>
      </c>
      <c r="DE51" s="71">
        <f t="shared" si="99"/>
        <v>789.19776070448506</v>
      </c>
      <c r="DF51" s="71">
        <f t="shared" si="99"/>
        <v>812.87369352561961</v>
      </c>
      <c r="DG51" s="71">
        <f t="shared" si="99"/>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1"/>
        <v>103</v>
      </c>
      <c r="CI52" s="37">
        <f t="shared" si="62"/>
        <v>183</v>
      </c>
      <c r="CJ52" s="37">
        <f t="shared" si="63"/>
        <v>198</v>
      </c>
      <c r="CK52" s="37">
        <f t="shared" si="64"/>
        <v>297</v>
      </c>
      <c r="CL52" s="37">
        <f t="shared" si="65"/>
        <v>760</v>
      </c>
      <c r="CM52" s="37">
        <f t="shared" si="66"/>
        <v>949</v>
      </c>
      <c r="CN52" s="37">
        <f t="shared" si="67"/>
        <v>506</v>
      </c>
      <c r="CO52" s="37">
        <f t="shared" si="68"/>
        <v>477</v>
      </c>
      <c r="CP52" s="37">
        <f t="shared" si="69"/>
        <v>544</v>
      </c>
      <c r="CQ52" s="37">
        <f t="shared" si="70"/>
        <v>440</v>
      </c>
      <c r="CR52" s="37">
        <f t="shared" si="71"/>
        <v>656</v>
      </c>
      <c r="CS52" s="2">
        <f t="shared" si="56"/>
        <v>472</v>
      </c>
      <c r="CT52" s="2">
        <f t="shared" si="57"/>
        <v>619</v>
      </c>
      <c r="CU52" s="2">
        <f t="shared" si="58"/>
        <v>270</v>
      </c>
      <c r="CV52" s="2">
        <f t="shared" si="59"/>
        <v>36</v>
      </c>
      <c r="CW52" s="2">
        <f t="shared" si="60"/>
        <v>977</v>
      </c>
      <c r="CX52" s="71">
        <f>500*(0.93)</f>
        <v>465</v>
      </c>
      <c r="CY52" s="71">
        <f>CX52*(1.03)</f>
        <v>478.95</v>
      </c>
      <c r="CZ52" s="71">
        <f t="shared" ref="CZ52:DG52" si="100">CY52*(1.03)</f>
        <v>493.31850000000003</v>
      </c>
      <c r="DA52" s="71">
        <f t="shared" si="100"/>
        <v>508.11805500000003</v>
      </c>
      <c r="DB52" s="71">
        <f t="shared" si="100"/>
        <v>523.36159665000002</v>
      </c>
      <c r="DC52" s="71">
        <f t="shared" si="100"/>
        <v>539.06244454950001</v>
      </c>
      <c r="DD52" s="71">
        <f t="shared" si="100"/>
        <v>555.23431788598498</v>
      </c>
      <c r="DE52" s="71">
        <f t="shared" si="100"/>
        <v>571.89134742256454</v>
      </c>
      <c r="DF52" s="71">
        <f t="shared" si="100"/>
        <v>589.04808784524153</v>
      </c>
      <c r="DG52" s="71">
        <f t="shared" si="100"/>
        <v>606.71953048059879</v>
      </c>
    </row>
    <row r="53" spans="2:147">
      <c r="B53" s="2" t="s">
        <v>22</v>
      </c>
      <c r="C53" s="37">
        <f>C48-SUM(C49:C52)</f>
        <v>400.89999999999986</v>
      </c>
      <c r="D53" s="37">
        <f t="shared" ref="D53:AV53" si="101">D48-SUM(D49:D52)</f>
        <v>363.9</v>
      </c>
      <c r="E53" s="37">
        <f t="shared" si="101"/>
        <v>378.79999999999995</v>
      </c>
      <c r="F53" s="37">
        <f t="shared" si="101"/>
        <v>390.29999999999995</v>
      </c>
      <c r="G53" s="37">
        <f t="shared" si="101"/>
        <v>310.99999999999989</v>
      </c>
      <c r="H53" s="37">
        <f t="shared" si="101"/>
        <v>513.9</v>
      </c>
      <c r="I53" s="37">
        <f t="shared" si="101"/>
        <v>445.89999999999986</v>
      </c>
      <c r="J53" s="37">
        <f t="shared" si="101"/>
        <v>447.50000000000011</v>
      </c>
      <c r="K53" s="37">
        <f t="shared" si="101"/>
        <v>471</v>
      </c>
      <c r="L53" s="37">
        <f t="shared" si="101"/>
        <v>385.60000000000014</v>
      </c>
      <c r="M53" s="37">
        <f t="shared" si="101"/>
        <v>423</v>
      </c>
      <c r="N53" s="37">
        <f t="shared" si="101"/>
        <v>401</v>
      </c>
      <c r="O53" s="37">
        <f t="shared" si="101"/>
        <v>444</v>
      </c>
      <c r="P53" s="37">
        <f t="shared" si="101"/>
        <v>418</v>
      </c>
      <c r="Q53" s="37">
        <f t="shared" si="101"/>
        <v>476</v>
      </c>
      <c r="R53" s="37">
        <f t="shared" si="101"/>
        <v>445</v>
      </c>
      <c r="S53" s="37">
        <f t="shared" si="101"/>
        <v>450</v>
      </c>
      <c r="T53" s="37">
        <f t="shared" si="101"/>
        <v>370</v>
      </c>
      <c r="U53" s="37">
        <f t="shared" si="101"/>
        <v>386</v>
      </c>
      <c r="V53" s="37">
        <f t="shared" si="101"/>
        <v>290</v>
      </c>
      <c r="W53" s="37">
        <f t="shared" si="101"/>
        <v>150</v>
      </c>
      <c r="X53" s="37">
        <f t="shared" si="101"/>
        <v>430</v>
      </c>
      <c r="Y53" s="37">
        <f t="shared" si="101"/>
        <v>131</v>
      </c>
      <c r="Z53" s="37">
        <f t="shared" si="101"/>
        <v>197</v>
      </c>
      <c r="AA53" s="37">
        <f t="shared" si="101"/>
        <v>450</v>
      </c>
      <c r="AB53" s="37">
        <f t="shared" si="101"/>
        <v>468</v>
      </c>
      <c r="AC53" s="37">
        <f t="shared" si="101"/>
        <v>406</v>
      </c>
      <c r="AD53" s="37">
        <f t="shared" si="101"/>
        <v>429</v>
      </c>
      <c r="AE53" s="37">
        <f t="shared" si="101"/>
        <v>378</v>
      </c>
      <c r="AF53" s="37">
        <f t="shared" si="101"/>
        <v>648</v>
      </c>
      <c r="AG53" s="37">
        <f t="shared" si="101"/>
        <v>519</v>
      </c>
      <c r="AH53" s="37">
        <f t="shared" si="101"/>
        <v>500</v>
      </c>
      <c r="AI53" s="37">
        <f t="shared" si="101"/>
        <v>486</v>
      </c>
      <c r="AJ53" s="37">
        <f t="shared" si="101"/>
        <v>670</v>
      </c>
      <c r="AK53" s="37">
        <f t="shared" si="101"/>
        <v>556</v>
      </c>
      <c r="AL53" s="37">
        <f t="shared" si="101"/>
        <v>502</v>
      </c>
      <c r="AM53" s="37">
        <f t="shared" si="101"/>
        <v>525</v>
      </c>
      <c r="AN53" s="37">
        <f t="shared" si="101"/>
        <v>714</v>
      </c>
      <c r="AO53" s="37">
        <f t="shared" si="101"/>
        <v>591</v>
      </c>
      <c r="AP53" s="37">
        <f t="shared" si="101"/>
        <v>672</v>
      </c>
      <c r="AQ53" s="37">
        <f t="shared" si="101"/>
        <v>576</v>
      </c>
      <c r="AR53" s="37">
        <f t="shared" si="101"/>
        <v>698</v>
      </c>
      <c r="AS53" s="37">
        <f t="shared" si="101"/>
        <v>528</v>
      </c>
      <c r="AT53" s="37">
        <f t="shared" si="101"/>
        <v>613</v>
      </c>
      <c r="AU53" s="37">
        <f t="shared" si="101"/>
        <v>628</v>
      </c>
      <c r="AV53" s="37">
        <f t="shared" si="101"/>
        <v>944</v>
      </c>
      <c r="AW53" s="37">
        <f t="shared" ref="AW53" si="102">AW48-SUM(AW49:AW52)</f>
        <v>635</v>
      </c>
      <c r="AX53" s="37">
        <f t="shared" ref="AX53" si="103">AX48-SUM(AX49:AX52)</f>
        <v>-20</v>
      </c>
      <c r="AY53" s="37">
        <f t="shared" ref="AY53" si="104">AY48-SUM(AY49:AY52)</f>
        <v>859</v>
      </c>
      <c r="AZ53" s="37">
        <f t="shared" ref="AZ53" si="105">AZ48-SUM(AZ49:AZ52)</f>
        <v>749</v>
      </c>
      <c r="BA53" s="37">
        <f t="shared" ref="BA53" si="106">BA48-SUM(BA49:BA52)</f>
        <v>459</v>
      </c>
      <c r="BB53" s="37">
        <f t="shared" ref="BB53" si="107">BB48-SUM(BB49:BB52)</f>
        <v>732</v>
      </c>
      <c r="BC53" s="37">
        <f t="shared" ref="BC53" si="108">BC48-SUM(BC49:BC52)</f>
        <v>574</v>
      </c>
      <c r="BD53" s="37">
        <f t="shared" ref="BD53" si="109">BD48-SUM(BD49:BD52)</f>
        <v>819</v>
      </c>
      <c r="BE53" s="37">
        <f t="shared" ref="BE53" si="110">BE48-SUM(BE49:BE52)</f>
        <v>447</v>
      </c>
      <c r="BF53" s="37">
        <f t="shared" ref="BF53" si="111">BF48-SUM(BF49:BF52)</f>
        <v>772</v>
      </c>
      <c r="BG53" s="37">
        <f t="shared" ref="BG53" si="112">BG48-SUM(BG49:BG52)</f>
        <v>808</v>
      </c>
      <c r="BH53" s="37">
        <f t="shared" ref="BH53" si="113">BH48-SUM(BH49:BH52)</f>
        <v>814</v>
      </c>
      <c r="BI53" s="37">
        <f t="shared" ref="BI53" si="114">BI48-SUM(BI49:BI52)</f>
        <v>735</v>
      </c>
      <c r="BJ53" s="37">
        <f t="shared" ref="BJ53" si="115">BJ48-SUM(BJ49:BJ52)</f>
        <v>965</v>
      </c>
      <c r="BK53" s="37">
        <f t="shared" ref="BK53" si="116">BK48-SUM(BK49:BK52)</f>
        <v>931</v>
      </c>
      <c r="BL53" s="37">
        <f t="shared" ref="BL53" si="117">BL48-SUM(BL49:BL52)</f>
        <v>1257</v>
      </c>
      <c r="BM53" s="37">
        <f t="shared" ref="BM53" si="118">BM48-SUM(BM49:BM52)</f>
        <v>972</v>
      </c>
      <c r="BN53" s="37">
        <f t="shared" ref="BN53" si="119">BN48-SUM(BN49:BN52)</f>
        <v>1051</v>
      </c>
      <c r="BO53" s="37">
        <f t="shared" ref="BO53" si="120">BO48-SUM(BO49:BO52)</f>
        <v>1085</v>
      </c>
      <c r="BP53" s="37">
        <f t="shared" ref="BP53" si="121">BP48-SUM(BP49:BP52)</f>
        <v>581</v>
      </c>
      <c r="BQ53" s="37">
        <f t="shared" ref="BQ53" si="122">BQ48-SUM(BQ49:BQ52)</f>
        <v>837</v>
      </c>
      <c r="CH53" s="37">
        <f t="shared" si="61"/>
        <v>1594</v>
      </c>
      <c r="CI53" s="37">
        <f t="shared" si="62"/>
        <v>1750.0000000000002</v>
      </c>
      <c r="CJ53" s="37">
        <f t="shared" si="63"/>
        <v>1686</v>
      </c>
      <c r="CK53" s="37">
        <f t="shared" si="64"/>
        <v>1741</v>
      </c>
      <c r="CL53" s="37">
        <f t="shared" si="65"/>
        <v>1256</v>
      </c>
      <c r="CM53" s="37">
        <f t="shared" si="66"/>
        <v>1246</v>
      </c>
      <c r="CN53" s="37">
        <f t="shared" si="67"/>
        <v>1861</v>
      </c>
      <c r="CO53" s="37">
        <f t="shared" si="68"/>
        <v>2175</v>
      </c>
      <c r="CP53" s="37">
        <f t="shared" si="69"/>
        <v>2297</v>
      </c>
      <c r="CQ53" s="37">
        <f t="shared" si="70"/>
        <v>2537</v>
      </c>
      <c r="CR53" s="37">
        <f t="shared" si="71"/>
        <v>2713</v>
      </c>
      <c r="CS53" s="2">
        <f t="shared" si="56"/>
        <v>2223</v>
      </c>
      <c r="CT53" s="2">
        <f t="shared" si="57"/>
        <v>2584</v>
      </c>
      <c r="CU53" s="2">
        <f t="shared" si="58"/>
        <v>2841</v>
      </c>
      <c r="CV53" s="2">
        <f t="shared" si="59"/>
        <v>3888</v>
      </c>
      <c r="CW53" s="2">
        <f t="shared" si="60"/>
        <v>3689</v>
      </c>
      <c r="CX53" s="71">
        <f>CX48-SUM(CX49:CX52)</f>
        <v>5033.0330499999982</v>
      </c>
      <c r="CY53" s="71">
        <f t="shared" ref="CY53:DG53" si="123">CY48-SUM(CY49:CY52)</f>
        <v>5678.0555013919984</v>
      </c>
      <c r="CZ53" s="71">
        <f t="shared" si="123"/>
        <v>6293.9406944352195</v>
      </c>
      <c r="DA53" s="71">
        <f t="shared" si="123"/>
        <v>6914.0970189562486</v>
      </c>
      <c r="DB53" s="71">
        <f t="shared" si="123"/>
        <v>7542.8025810216477</v>
      </c>
      <c r="DC53" s="71">
        <f t="shared" si="123"/>
        <v>8201.0875473876422</v>
      </c>
      <c r="DD53" s="71">
        <f t="shared" si="123"/>
        <v>8898.180961646678</v>
      </c>
      <c r="DE53" s="71">
        <f t="shared" si="123"/>
        <v>9612.9531185059568</v>
      </c>
      <c r="DF53" s="71">
        <f t="shared" si="123"/>
        <v>10280.058186231905</v>
      </c>
      <c r="DG53" s="71">
        <f t="shared" si="123"/>
        <v>10999.774098363694</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1"/>
        <v>30</v>
      </c>
      <c r="CI54" s="37">
        <f t="shared" si="62"/>
        <v>-22</v>
      </c>
      <c r="CJ54" s="37">
        <f t="shared" si="63"/>
        <v>0</v>
      </c>
      <c r="CK54" s="37">
        <f t="shared" si="64"/>
        <v>-36</v>
      </c>
      <c r="CL54" s="37">
        <f t="shared" si="65"/>
        <v>-44</v>
      </c>
      <c r="CM54" s="37">
        <f t="shared" si="66"/>
        <v>-86</v>
      </c>
      <c r="CN54" s="37">
        <f t="shared" si="67"/>
        <v>-126</v>
      </c>
      <c r="CO54" s="37">
        <f t="shared" si="68"/>
        <v>-254</v>
      </c>
      <c r="CP54" s="37">
        <f t="shared" si="69"/>
        <v>-234</v>
      </c>
      <c r="CQ54" s="37">
        <f t="shared" si="70"/>
        <v>-181</v>
      </c>
      <c r="CR54" s="37">
        <f t="shared" si="71"/>
        <v>-151</v>
      </c>
      <c r="CS54" s="2">
        <f t="shared" si="56"/>
        <v>-269</v>
      </c>
      <c r="CT54" s="2">
        <f t="shared" si="57"/>
        <v>-303</v>
      </c>
      <c r="CU54" s="2">
        <f t="shared" si="58"/>
        <v>-158</v>
      </c>
      <c r="CV54" s="2">
        <f t="shared" si="59"/>
        <v>-215</v>
      </c>
      <c r="CW54" s="2">
        <f t="shared" si="60"/>
        <v>-197</v>
      </c>
      <c r="CX54" s="71">
        <f>CW68*CZ71</f>
        <v>328.68</v>
      </c>
      <c r="CY54" s="71">
        <f t="shared" ref="CY54:DG54" si="124">CX54*(1.1)</f>
        <v>361.54800000000006</v>
      </c>
      <c r="CZ54" s="71">
        <f t="shared" si="124"/>
        <v>397.70280000000008</v>
      </c>
      <c r="DA54" s="71">
        <f t="shared" si="124"/>
        <v>437.47308000000015</v>
      </c>
      <c r="DB54" s="71">
        <f t="shared" si="124"/>
        <v>481.22038800000018</v>
      </c>
      <c r="DC54" s="71">
        <f t="shared" si="124"/>
        <v>529.34242680000023</v>
      </c>
      <c r="DD54" s="71">
        <f t="shared" si="124"/>
        <v>582.27666948000035</v>
      </c>
      <c r="DE54" s="71">
        <f t="shared" si="124"/>
        <v>640.50433642800044</v>
      </c>
      <c r="DF54" s="71">
        <f t="shared" si="124"/>
        <v>704.5547700708006</v>
      </c>
      <c r="DG54" s="71">
        <f t="shared" si="124"/>
        <v>775.01024707788076</v>
      </c>
    </row>
    <row r="55" spans="2:147">
      <c r="B55" s="2" t="s">
        <v>21</v>
      </c>
      <c r="C55" s="36">
        <f>C53+C54</f>
        <v>420.09999999999985</v>
      </c>
      <c r="D55" s="36">
        <f t="shared" ref="D55:AV55" si="125">D53+D54</f>
        <v>375.79999999999995</v>
      </c>
      <c r="E55" s="36">
        <f t="shared" si="125"/>
        <v>385.99999999999994</v>
      </c>
      <c r="F55" s="36">
        <f t="shared" si="125"/>
        <v>400.49999999999994</v>
      </c>
      <c r="G55" s="36">
        <f t="shared" si="125"/>
        <v>313.99999999999989</v>
      </c>
      <c r="H55" s="36">
        <f t="shared" si="125"/>
        <v>523.5</v>
      </c>
      <c r="I55" s="36">
        <f t="shared" si="125"/>
        <v>445.29999999999984</v>
      </c>
      <c r="J55" s="36">
        <f t="shared" si="125"/>
        <v>442.00000000000011</v>
      </c>
      <c r="K55" s="36">
        <f t="shared" si="125"/>
        <v>462</v>
      </c>
      <c r="L55" s="36">
        <f t="shared" si="125"/>
        <v>378.70000000000016</v>
      </c>
      <c r="M55" s="36">
        <f t="shared" si="125"/>
        <v>411</v>
      </c>
      <c r="N55" s="36">
        <f t="shared" si="125"/>
        <v>411</v>
      </c>
      <c r="O55" s="36">
        <f t="shared" si="125"/>
        <v>431</v>
      </c>
      <c r="P55" s="36">
        <f t="shared" si="125"/>
        <v>433</v>
      </c>
      <c r="Q55" s="36">
        <f t="shared" si="125"/>
        <v>468</v>
      </c>
      <c r="R55" s="36">
        <f t="shared" si="125"/>
        <v>435</v>
      </c>
      <c r="S55" s="36">
        <f t="shared" si="125"/>
        <v>444</v>
      </c>
      <c r="T55" s="36">
        <f t="shared" si="125"/>
        <v>358</v>
      </c>
      <c r="U55" s="36">
        <f t="shared" si="125"/>
        <v>375</v>
      </c>
      <c r="V55" s="36">
        <f t="shared" si="125"/>
        <v>269</v>
      </c>
      <c r="W55" s="36">
        <f t="shared" si="125"/>
        <v>137</v>
      </c>
      <c r="X55" s="36">
        <f t="shared" si="125"/>
        <v>431</v>
      </c>
      <c r="Y55" s="36">
        <f t="shared" si="125"/>
        <v>107</v>
      </c>
      <c r="Z55" s="36">
        <f t="shared" si="125"/>
        <v>167</v>
      </c>
      <c r="AA55" s="36">
        <f t="shared" si="125"/>
        <v>425</v>
      </c>
      <c r="AB55" s="36">
        <f t="shared" si="125"/>
        <v>461</v>
      </c>
      <c r="AC55" s="36">
        <f t="shared" si="125"/>
        <v>377</v>
      </c>
      <c r="AD55" s="36">
        <f t="shared" si="125"/>
        <v>401</v>
      </c>
      <c r="AE55" s="36">
        <f t="shared" si="125"/>
        <v>345</v>
      </c>
      <c r="AF55" s="36">
        <f t="shared" si="125"/>
        <v>612</v>
      </c>
      <c r="AG55" s="36">
        <f t="shared" si="125"/>
        <v>481</v>
      </c>
      <c r="AH55" s="36">
        <f t="shared" si="125"/>
        <v>433</v>
      </c>
      <c r="AI55" s="36">
        <f t="shared" si="125"/>
        <v>419</v>
      </c>
      <c r="AJ55" s="36">
        <f t="shared" si="125"/>
        <v>588</v>
      </c>
      <c r="AK55" s="36">
        <f t="shared" si="125"/>
        <v>499</v>
      </c>
      <c r="AL55" s="36">
        <f t="shared" si="125"/>
        <v>444</v>
      </c>
      <c r="AM55" s="36">
        <f t="shared" si="125"/>
        <v>471</v>
      </c>
      <c r="AN55" s="36">
        <f t="shared" si="125"/>
        <v>649</v>
      </c>
      <c r="AO55" s="36">
        <f t="shared" si="125"/>
        <v>542</v>
      </c>
      <c r="AP55" s="36">
        <f t="shared" si="125"/>
        <v>623</v>
      </c>
      <c r="AQ55" s="36">
        <f t="shared" si="125"/>
        <v>534</v>
      </c>
      <c r="AR55" s="36">
        <f t="shared" si="125"/>
        <v>657</v>
      </c>
      <c r="AS55" s="36">
        <f t="shared" si="125"/>
        <v>480</v>
      </c>
      <c r="AT55" s="36">
        <f t="shared" si="125"/>
        <v>565</v>
      </c>
      <c r="AU55" s="36">
        <f t="shared" si="125"/>
        <v>581</v>
      </c>
      <c r="AV55" s="36">
        <f t="shared" si="125"/>
        <v>936</v>
      </c>
      <c r="AW55" s="36">
        <f t="shared" ref="AW55" si="126">AW53+AW54</f>
        <v>590</v>
      </c>
      <c r="AX55" s="36">
        <f t="shared" ref="AX55" si="127">AX53+AX54</f>
        <v>-87</v>
      </c>
      <c r="AY55" s="36">
        <f t="shared" ref="AY55" si="128">AY53+AY54</f>
        <v>780</v>
      </c>
      <c r="AZ55" s="36">
        <f t="shared" ref="AZ55" si="129">AZ53+AZ54</f>
        <v>671</v>
      </c>
      <c r="BA55" s="36">
        <f t="shared" ref="BA55" si="130">BA53+BA54</f>
        <v>367</v>
      </c>
      <c r="BB55" s="36">
        <f t="shared" ref="BB55" si="131">BB53+BB54</f>
        <v>662</v>
      </c>
      <c r="BC55" s="36">
        <f t="shared" ref="BC55" si="132">BC53+BC54</f>
        <v>495</v>
      </c>
      <c r="BD55" s="36">
        <f t="shared" ref="BD55" si="133">BD53+BD54</f>
        <v>757</v>
      </c>
      <c r="BE55" s="36">
        <f t="shared" ref="BE55" si="134">BE53+BE54</f>
        <v>386</v>
      </c>
      <c r="BF55" s="36">
        <f t="shared" ref="BF55" si="135">BF53+BF54</f>
        <v>720</v>
      </c>
      <c r="BG55" s="36">
        <f t="shared" ref="BG55" si="136">BG53+BG54</f>
        <v>816</v>
      </c>
      <c r="BH55" s="36">
        <f t="shared" ref="BH55" si="137">BH53+BH54</f>
        <v>761</v>
      </c>
      <c r="BI55" s="36">
        <f t="shared" ref="BI55" si="138">BI53+BI54</f>
        <v>679</v>
      </c>
      <c r="BJ55" s="36">
        <f t="shared" ref="BJ55" si="139">BJ53+BJ54</f>
        <v>899</v>
      </c>
      <c r="BK55" s="36">
        <f t="shared" ref="BK55" si="140">BK53+BK54</f>
        <v>869</v>
      </c>
      <c r="BL55" s="36">
        <f t="shared" ref="BL55" si="141">BL53+BL54</f>
        <v>1226</v>
      </c>
      <c r="BM55" s="36">
        <f t="shared" ref="BM55" si="142">BM53+BM54</f>
        <v>923</v>
      </c>
      <c r="BN55" s="36">
        <f t="shared" ref="BN55" si="143">BN53+BN54</f>
        <v>998</v>
      </c>
      <c r="BO55" s="36">
        <f t="shared" ref="BO55" si="144">BO53+BO54</f>
        <v>1043</v>
      </c>
      <c r="BP55" s="36">
        <f t="shared" ref="BP55" si="145">BP53+BP54</f>
        <v>528</v>
      </c>
      <c r="BQ55" s="36">
        <f t="shared" ref="BQ55" si="146">BQ53+BQ54</f>
        <v>764</v>
      </c>
      <c r="CH55" s="37">
        <f t="shared" si="61"/>
        <v>1623.9999999999998</v>
      </c>
      <c r="CI55" s="37">
        <f t="shared" si="62"/>
        <v>1728</v>
      </c>
      <c r="CJ55" s="37">
        <f t="shared" si="63"/>
        <v>1686</v>
      </c>
      <c r="CK55" s="37">
        <f t="shared" si="64"/>
        <v>1705</v>
      </c>
      <c r="CL55" s="37">
        <f t="shared" si="65"/>
        <v>1212</v>
      </c>
      <c r="CM55" s="37">
        <f t="shared" si="66"/>
        <v>1160</v>
      </c>
      <c r="CN55" s="37">
        <f t="shared" si="67"/>
        <v>1735</v>
      </c>
      <c r="CO55" s="37">
        <f t="shared" si="68"/>
        <v>1921</v>
      </c>
      <c r="CP55" s="37">
        <f t="shared" si="69"/>
        <v>2063</v>
      </c>
      <c r="CQ55" s="37">
        <f t="shared" si="70"/>
        <v>2356</v>
      </c>
      <c r="CR55" s="37">
        <f t="shared" si="71"/>
        <v>2562</v>
      </c>
      <c r="CS55" s="2">
        <f t="shared" si="56"/>
        <v>1954</v>
      </c>
      <c r="CT55" s="2">
        <f t="shared" si="57"/>
        <v>2281</v>
      </c>
      <c r="CU55" s="2">
        <f t="shared" si="58"/>
        <v>2683</v>
      </c>
      <c r="CV55" s="2">
        <f t="shared" si="59"/>
        <v>3673</v>
      </c>
      <c r="CW55" s="2">
        <f t="shared" si="60"/>
        <v>3492</v>
      </c>
      <c r="CX55" s="71">
        <f>CX53+CX54</f>
        <v>5361.7130499999985</v>
      </c>
      <c r="CY55" s="71">
        <f t="shared" ref="CY55:DG55" si="147">CY53+CY54</f>
        <v>6039.6035013919982</v>
      </c>
      <c r="CZ55" s="71">
        <f t="shared" si="147"/>
        <v>6691.6434944352195</v>
      </c>
      <c r="DA55" s="71">
        <f t="shared" si="147"/>
        <v>7351.5700989562483</v>
      </c>
      <c r="DB55" s="71">
        <f t="shared" si="147"/>
        <v>8024.0229690216474</v>
      </c>
      <c r="DC55" s="71">
        <f t="shared" si="147"/>
        <v>8730.4299741876421</v>
      </c>
      <c r="DD55" s="71">
        <f t="shared" si="147"/>
        <v>9480.4576311266792</v>
      </c>
      <c r="DE55" s="71">
        <f t="shared" si="147"/>
        <v>10253.457454933958</v>
      </c>
      <c r="DF55" s="71">
        <f t="shared" si="147"/>
        <v>10984.612956302706</v>
      </c>
      <c r="DG55" s="71">
        <f t="shared" si="147"/>
        <v>11774.784345441574</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1"/>
        <v>517</v>
      </c>
      <c r="CI56" s="37">
        <f t="shared" si="62"/>
        <v>456</v>
      </c>
      <c r="CJ56" s="37">
        <f t="shared" si="63"/>
        <v>341</v>
      </c>
      <c r="CK56" s="37">
        <f t="shared" si="64"/>
        <v>407</v>
      </c>
      <c r="CL56" s="37">
        <f t="shared" si="65"/>
        <v>206</v>
      </c>
      <c r="CM56" s="37">
        <f t="shared" si="66"/>
        <v>645</v>
      </c>
      <c r="CN56" s="37">
        <f t="shared" si="67"/>
        <v>296</v>
      </c>
      <c r="CO56" s="37">
        <f t="shared" si="68"/>
        <v>274</v>
      </c>
      <c r="CP56" s="37">
        <f t="shared" si="69"/>
        <v>1043</v>
      </c>
      <c r="CQ56" s="37">
        <f t="shared" si="70"/>
        <v>-1197</v>
      </c>
      <c r="CR56" s="37">
        <f t="shared" si="71"/>
        <v>479</v>
      </c>
      <c r="CS56" s="2">
        <f t="shared" si="56"/>
        <v>355</v>
      </c>
      <c r="CT56" s="2">
        <f t="shared" si="57"/>
        <v>287</v>
      </c>
      <c r="CU56" s="2">
        <f t="shared" si="58"/>
        <v>325</v>
      </c>
      <c r="CV56" s="2">
        <f t="shared" si="59"/>
        <v>508</v>
      </c>
      <c r="CW56" s="2">
        <f t="shared" si="60"/>
        <v>499</v>
      </c>
      <c r="CX56" s="71">
        <f>CX55*CX65</f>
        <v>750.63982699999985</v>
      </c>
      <c r="CY56" s="71">
        <f t="shared" ref="CY56:DG56" si="148">CY55*CY65</f>
        <v>845.54449019487981</v>
      </c>
      <c r="CZ56" s="71">
        <f t="shared" si="148"/>
        <v>936.83008922093086</v>
      </c>
      <c r="DA56" s="71">
        <f t="shared" si="148"/>
        <v>1029.2198138538749</v>
      </c>
      <c r="DB56" s="71">
        <f t="shared" si="148"/>
        <v>1123.3632156630308</v>
      </c>
      <c r="DC56" s="71">
        <f t="shared" si="148"/>
        <v>1222.2601963862701</v>
      </c>
      <c r="DD56" s="71">
        <f t="shared" si="148"/>
        <v>1327.2640683577351</v>
      </c>
      <c r="DE56" s="71">
        <f t="shared" si="148"/>
        <v>1435.4840436907541</v>
      </c>
      <c r="DF56" s="71">
        <f t="shared" si="148"/>
        <v>1537.8458138823789</v>
      </c>
      <c r="DG56" s="71">
        <f t="shared" si="148"/>
        <v>1648.4698083618205</v>
      </c>
    </row>
    <row r="57" spans="2:147">
      <c r="B57" s="2" t="s">
        <v>19</v>
      </c>
      <c r="C57" s="36">
        <f t="shared" ref="C57:K57" si="149">C55-C56</f>
        <v>305.79999999999984</v>
      </c>
      <c r="D57" s="36">
        <f t="shared" si="149"/>
        <v>273.59999999999997</v>
      </c>
      <c r="E57" s="36">
        <f t="shared" si="149"/>
        <v>280.69999999999993</v>
      </c>
      <c r="F57" s="36">
        <f t="shared" si="149"/>
        <v>291.79999999999995</v>
      </c>
      <c r="G57" s="36">
        <f t="shared" si="149"/>
        <v>228.59999999999988</v>
      </c>
      <c r="H57" s="36">
        <f t="shared" si="149"/>
        <v>305.89999999999998</v>
      </c>
      <c r="I57" s="36">
        <f t="shared" si="149"/>
        <v>321.19999999999982</v>
      </c>
      <c r="J57" s="36">
        <f t="shared" si="149"/>
        <v>318.40000000000009</v>
      </c>
      <c r="K57" s="36">
        <f t="shared" si="149"/>
        <v>337</v>
      </c>
      <c r="L57" s="36">
        <f t="shared" ref="L57:AV57" si="150">L55-L56</f>
        <v>295.40000000000015</v>
      </c>
      <c r="M57" s="36">
        <f t="shared" si="150"/>
        <v>307</v>
      </c>
      <c r="N57" s="36">
        <f t="shared" si="150"/>
        <v>310</v>
      </c>
      <c r="O57" s="36">
        <f t="shared" si="150"/>
        <v>327</v>
      </c>
      <c r="P57" s="36">
        <f t="shared" si="150"/>
        <v>401</v>
      </c>
      <c r="Q57" s="36">
        <f t="shared" si="150"/>
        <v>350</v>
      </c>
      <c r="R57" s="36">
        <f t="shared" si="150"/>
        <v>325</v>
      </c>
      <c r="S57" s="36">
        <f t="shared" si="150"/>
        <v>353</v>
      </c>
      <c r="T57" s="36">
        <f t="shared" si="150"/>
        <v>270</v>
      </c>
      <c r="U57" s="36">
        <f t="shared" si="150"/>
        <v>304</v>
      </c>
      <c r="V57" s="36">
        <f t="shared" si="150"/>
        <v>213</v>
      </c>
      <c r="W57" s="36">
        <f t="shared" si="150"/>
        <v>103</v>
      </c>
      <c r="X57" s="36">
        <f t="shared" si="150"/>
        <v>386</v>
      </c>
      <c r="Y57" s="36">
        <f t="shared" si="150"/>
        <v>70</v>
      </c>
      <c r="Z57" s="36">
        <f t="shared" si="150"/>
        <v>128</v>
      </c>
      <c r="AA57" s="36">
        <f t="shared" si="150"/>
        <v>57</v>
      </c>
      <c r="AB57" s="36">
        <f t="shared" si="150"/>
        <v>260</v>
      </c>
      <c r="AC57" s="36">
        <f t="shared" si="150"/>
        <v>224</v>
      </c>
      <c r="AD57" s="36">
        <f t="shared" si="150"/>
        <v>392</v>
      </c>
      <c r="AE57" s="36">
        <f t="shared" si="150"/>
        <v>301</v>
      </c>
      <c r="AF57" s="36">
        <f t="shared" si="150"/>
        <v>522</v>
      </c>
      <c r="AG57" s="36">
        <f t="shared" si="150"/>
        <v>402</v>
      </c>
      <c r="AH57" s="36">
        <f t="shared" si="150"/>
        <v>380</v>
      </c>
      <c r="AI57" s="36">
        <f t="shared" si="150"/>
        <v>355</v>
      </c>
      <c r="AJ57" s="36">
        <f t="shared" si="150"/>
        <v>510</v>
      </c>
      <c r="AK57" s="36">
        <f t="shared" si="150"/>
        <v>444</v>
      </c>
      <c r="AL57" s="36">
        <f t="shared" si="150"/>
        <v>391</v>
      </c>
      <c r="AM57" s="36">
        <f t="shared" si="150"/>
        <v>434</v>
      </c>
      <c r="AN57" s="36">
        <f t="shared" si="150"/>
        <v>-249</v>
      </c>
      <c r="AO57" s="36">
        <f t="shared" si="150"/>
        <v>443</v>
      </c>
      <c r="AP57" s="36">
        <f t="shared" si="150"/>
        <v>452</v>
      </c>
      <c r="AQ57" s="36">
        <f t="shared" si="150"/>
        <v>590</v>
      </c>
      <c r="AR57" s="36">
        <f t="shared" si="150"/>
        <v>2068</v>
      </c>
      <c r="AS57" s="36">
        <f t="shared" si="150"/>
        <v>412</v>
      </c>
      <c r="AT57" s="36">
        <f t="shared" si="150"/>
        <v>480</v>
      </c>
      <c r="AU57" s="36">
        <f t="shared" si="150"/>
        <v>466</v>
      </c>
      <c r="AV57" s="36">
        <f t="shared" si="150"/>
        <v>725</v>
      </c>
      <c r="AW57" s="36">
        <f t="shared" ref="AW57" si="151">AW55-AW56</f>
        <v>493</v>
      </c>
      <c r="AX57" s="36">
        <f t="shared" ref="AX57" si="152">AX55-AX56</f>
        <v>-83</v>
      </c>
      <c r="AY57" s="36">
        <f t="shared" ref="AY57" si="153">AY55-AY56</f>
        <v>621</v>
      </c>
      <c r="AZ57" s="36">
        <f t="shared" ref="AZ57" si="154">AZ55-AZ56</f>
        <v>568</v>
      </c>
      <c r="BA57" s="36">
        <f t="shared" ref="BA57" si="155">BA55-BA56</f>
        <v>302</v>
      </c>
      <c r="BB57" s="36">
        <f t="shared" ref="BB57" si="156">BB55-BB56</f>
        <v>592</v>
      </c>
      <c r="BC57" s="36">
        <f t="shared" ref="BC57" si="157">BC55-BC56</f>
        <v>438</v>
      </c>
      <c r="BD57" s="36">
        <f t="shared" ref="BD57" si="158">BD55-BD56</f>
        <v>662</v>
      </c>
      <c r="BE57" s="36">
        <f t="shared" ref="BE57" si="159">BE55-BE56</f>
        <v>323</v>
      </c>
      <c r="BF57" s="36">
        <f t="shared" ref="BF57" si="160">BF55-BF56</f>
        <v>656</v>
      </c>
      <c r="BG57" s="36">
        <f t="shared" ref="BG57" si="161">BG55-BG56</f>
        <v>816</v>
      </c>
      <c r="BH57" s="36">
        <f t="shared" ref="BH57" si="162">BH55-BH56</f>
        <v>563</v>
      </c>
      <c r="BI57" s="36">
        <f t="shared" ref="BI57" si="163">BI55-BI56</f>
        <v>592</v>
      </c>
      <c r="BJ57" s="36">
        <f t="shared" ref="BJ57" si="164">BJ55-BJ56</f>
        <v>738</v>
      </c>
      <c r="BK57" s="36">
        <f t="shared" ref="BK57" si="165">BK55-BK56</f>
        <v>692</v>
      </c>
      <c r="BL57" s="36">
        <f t="shared" ref="BL57" si="166">BL55-BL56</f>
        <v>1143</v>
      </c>
      <c r="BM57" s="36">
        <f t="shared" ref="BM57" si="167">BM55-BM56</f>
        <v>788</v>
      </c>
      <c r="BN57" s="36">
        <f t="shared" ref="BN57" si="168">BN55-BN56</f>
        <v>825</v>
      </c>
      <c r="BO57" s="36">
        <f t="shared" ref="BO57:BP57" si="169">BO55-BO56</f>
        <v>834</v>
      </c>
      <c r="BP57" s="36">
        <f t="shared" si="169"/>
        <v>546</v>
      </c>
      <c r="BQ57" s="36">
        <f t="shared" ref="BQ57" si="170">BQ55-BQ56</f>
        <v>654</v>
      </c>
      <c r="BR57" s="25">
        <v>986</v>
      </c>
      <c r="BS57" s="25">
        <v>1000</v>
      </c>
      <c r="BT57" s="25">
        <v>1440</v>
      </c>
      <c r="BU57" s="25">
        <v>974</v>
      </c>
      <c r="BV57" s="25">
        <v>1110</v>
      </c>
      <c r="BW57" s="25">
        <v>1150</v>
      </c>
      <c r="BX57" s="25">
        <v>1660</v>
      </c>
      <c r="BY57" s="25">
        <v>1030</v>
      </c>
      <c r="CH57" s="37">
        <f t="shared" si="61"/>
        <v>1106.9999999999998</v>
      </c>
      <c r="CI57" s="37">
        <f t="shared" si="62"/>
        <v>1272</v>
      </c>
      <c r="CJ57" s="37">
        <f t="shared" si="63"/>
        <v>1345</v>
      </c>
      <c r="CK57" s="37">
        <f t="shared" si="64"/>
        <v>1298</v>
      </c>
      <c r="CL57" s="37">
        <f t="shared" si="65"/>
        <v>1006</v>
      </c>
      <c r="CM57" s="37">
        <f t="shared" si="66"/>
        <v>515</v>
      </c>
      <c r="CN57" s="37">
        <f t="shared" si="67"/>
        <v>1439</v>
      </c>
      <c r="CO57" s="37">
        <f t="shared" si="68"/>
        <v>1647</v>
      </c>
      <c r="CP57" s="37">
        <f t="shared" si="69"/>
        <v>1020</v>
      </c>
      <c r="CQ57" s="37">
        <f t="shared" si="70"/>
        <v>3553</v>
      </c>
      <c r="CR57" s="37">
        <f t="shared" si="71"/>
        <v>2083</v>
      </c>
      <c r="CS57" s="2">
        <f t="shared" si="56"/>
        <v>1599</v>
      </c>
      <c r="CT57" s="2">
        <f t="shared" si="57"/>
        <v>1994</v>
      </c>
      <c r="CU57" s="2">
        <f t="shared" si="58"/>
        <v>2358</v>
      </c>
      <c r="CV57" s="2">
        <f t="shared" si="59"/>
        <v>3165</v>
      </c>
      <c r="CW57" s="2">
        <f t="shared" si="60"/>
        <v>2993</v>
      </c>
      <c r="CX57" s="71">
        <f>CX55-CX56</f>
        <v>4611.0732229999985</v>
      </c>
      <c r="CY57" s="71">
        <f>CY55-CY56</f>
        <v>5194.0590111971187</v>
      </c>
      <c r="CZ57" s="71">
        <f>CZ55-CZ56</f>
        <v>5754.8134052142887</v>
      </c>
      <c r="DA57" s="71">
        <f t="shared" ref="DA57:DG57" si="171">DA55-DA56</f>
        <v>6322.3502851023732</v>
      </c>
      <c r="DB57" s="71">
        <f t="shared" si="171"/>
        <v>6900.6597533586164</v>
      </c>
      <c r="DC57" s="71">
        <f t="shared" si="171"/>
        <v>7508.1697778013722</v>
      </c>
      <c r="DD57" s="71">
        <f t="shared" si="171"/>
        <v>8153.1935627689436</v>
      </c>
      <c r="DE57" s="71">
        <f t="shared" si="171"/>
        <v>8817.9734112432034</v>
      </c>
      <c r="DF57" s="71">
        <f t="shared" si="171"/>
        <v>9446.7671424203272</v>
      </c>
      <c r="DG57" s="71">
        <f t="shared" si="171"/>
        <v>10126.314537079754</v>
      </c>
      <c r="DH57" s="71">
        <f>DG57*(1+$CZ$72)</f>
        <v>10430.103973192146</v>
      </c>
      <c r="DI57" s="71">
        <f t="shared" ref="DI57:EQ57" si="172">DH57*(1+$CZ$72)</f>
        <v>10743.00709238791</v>
      </c>
      <c r="DJ57" s="71">
        <f t="shared" si="172"/>
        <v>11065.297305159547</v>
      </c>
      <c r="DK57" s="71">
        <f t="shared" si="172"/>
        <v>11397.256224314335</v>
      </c>
      <c r="DL57" s="71">
        <f t="shared" si="172"/>
        <v>11739.173911043765</v>
      </c>
      <c r="DM57" s="71">
        <f t="shared" si="172"/>
        <v>12091.349128375077</v>
      </c>
      <c r="DN57" s="71">
        <f t="shared" si="172"/>
        <v>12454.08960222633</v>
      </c>
      <c r="DO57" s="71">
        <f t="shared" si="172"/>
        <v>12827.712290293121</v>
      </c>
      <c r="DP57" s="71">
        <f t="shared" si="172"/>
        <v>13212.543659001914</v>
      </c>
      <c r="DQ57" s="71">
        <f t="shared" si="172"/>
        <v>13608.919968771972</v>
      </c>
      <c r="DR57" s="71">
        <f t="shared" si="172"/>
        <v>14017.187567835132</v>
      </c>
      <c r="DS57" s="71">
        <f t="shared" si="172"/>
        <v>14437.703194870186</v>
      </c>
      <c r="DT57" s="71">
        <f t="shared" si="172"/>
        <v>14870.834290716291</v>
      </c>
      <c r="DU57" s="71">
        <f t="shared" si="172"/>
        <v>15316.959319437781</v>
      </c>
      <c r="DV57" s="71">
        <f t="shared" si="172"/>
        <v>15776.468099020914</v>
      </c>
      <c r="DW57" s="71">
        <f t="shared" si="172"/>
        <v>16249.762141991543</v>
      </c>
      <c r="DX57" s="71">
        <f t="shared" si="172"/>
        <v>16737.255006251289</v>
      </c>
      <c r="DY57" s="71">
        <f t="shared" si="172"/>
        <v>17239.372656438827</v>
      </c>
      <c r="DZ57" s="71">
        <f t="shared" si="172"/>
        <v>17756.553836131992</v>
      </c>
      <c r="EA57" s="71">
        <f t="shared" si="172"/>
        <v>18289.250451215954</v>
      </c>
      <c r="EB57" s="71">
        <f t="shared" si="172"/>
        <v>18837.927964752434</v>
      </c>
      <c r="EC57" s="71">
        <f t="shared" si="172"/>
        <v>19403.065803695008</v>
      </c>
      <c r="ED57" s="71">
        <f t="shared" si="172"/>
        <v>19985.15777780586</v>
      </c>
      <c r="EE57" s="71">
        <f t="shared" si="172"/>
        <v>20584.712511140035</v>
      </c>
      <c r="EF57" s="71">
        <f t="shared" si="172"/>
        <v>21202.253886474235</v>
      </c>
      <c r="EG57" s="71">
        <f t="shared" si="172"/>
        <v>21838.321503068462</v>
      </c>
      <c r="EH57" s="71">
        <f t="shared" si="172"/>
        <v>22493.471148160515</v>
      </c>
      <c r="EI57" s="71">
        <f t="shared" si="172"/>
        <v>23168.275282605333</v>
      </c>
      <c r="EJ57" s="71">
        <f t="shared" si="172"/>
        <v>23863.323541083493</v>
      </c>
      <c r="EK57" s="71">
        <f t="shared" si="172"/>
        <v>24579.223247316</v>
      </c>
      <c r="EL57" s="71">
        <f t="shared" si="172"/>
        <v>25316.599944735481</v>
      </c>
      <c r="EM57" s="71">
        <f t="shared" si="172"/>
        <v>26076.097943077544</v>
      </c>
      <c r="EN57" s="71">
        <f t="shared" si="172"/>
        <v>26858.380881369871</v>
      </c>
      <c r="EO57" s="71">
        <f t="shared" si="172"/>
        <v>27664.132307810967</v>
      </c>
      <c r="EP57" s="71">
        <f t="shared" si="172"/>
        <v>28494.056277045296</v>
      </c>
      <c r="EQ57" s="71">
        <f t="shared" si="172"/>
        <v>29348.877965356656</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71"/>
      <c r="CY58" s="71"/>
      <c r="CZ58" s="71"/>
      <c r="DA58" s="71"/>
      <c r="DB58" s="71"/>
      <c r="DC58" s="71"/>
      <c r="DD58" s="71"/>
      <c r="DE58" s="71"/>
      <c r="DF58" s="71"/>
      <c r="DG58" s="71"/>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73">AW57/AW58</f>
        <v>1.3153681963713981</v>
      </c>
      <c r="AX59" s="38">
        <f t="shared" si="173"/>
        <v>-0.22103861517976031</v>
      </c>
      <c r="AY59" s="38">
        <f t="shared" si="173"/>
        <v>1.652914559488954</v>
      </c>
      <c r="AZ59" s="38">
        <f t="shared" si="173"/>
        <v>1.5110401702580474</v>
      </c>
      <c r="BA59" s="38">
        <f t="shared" si="173"/>
        <v>0.80255115599255911</v>
      </c>
      <c r="BB59" s="38">
        <f t="shared" si="173"/>
        <v>1.5707084107190237</v>
      </c>
      <c r="BC59" s="38">
        <f t="shared" si="173"/>
        <v>1.1614956245027843</v>
      </c>
      <c r="BD59" s="38">
        <f t="shared" si="173"/>
        <v>1.7555025192256695</v>
      </c>
      <c r="BE59" s="38">
        <f t="shared" si="173"/>
        <v>0.85517606566057724</v>
      </c>
      <c r="BF59" s="38">
        <f t="shared" si="173"/>
        <v>1.7340734866508063</v>
      </c>
      <c r="BG59" s="38">
        <f t="shared" si="173"/>
        <v>2.1564482029598309</v>
      </c>
      <c r="BH59" s="38">
        <f t="shared" si="173"/>
        <v>1.4854881266490765</v>
      </c>
      <c r="BI59" s="38">
        <f t="shared" si="173"/>
        <v>1.5620052770448549</v>
      </c>
      <c r="BJ59" s="38">
        <f t="shared" si="173"/>
        <v>1.9446640316205535</v>
      </c>
      <c r="BK59" s="38">
        <f t="shared" si="173"/>
        <v>1.8220115850447602</v>
      </c>
      <c r="BL59" s="38">
        <f t="shared" si="173"/>
        <v>3.0063124671225672</v>
      </c>
      <c r="BM59" s="38">
        <f t="shared" si="173"/>
        <v>2.0715036803364879</v>
      </c>
      <c r="BN59" s="38">
        <f t="shared" si="173"/>
        <v>2.1653543307086616</v>
      </c>
      <c r="BO59" s="38">
        <f t="shared" si="173"/>
        <v>2.1832460732984291</v>
      </c>
      <c r="BP59" s="38">
        <f t="shared" si="173"/>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74">CN57/CN58</f>
        <v>3.8210302708443971</v>
      </c>
      <c r="CO59" s="18">
        <f t="shared" si="174"/>
        <v>4.4025661587810747</v>
      </c>
      <c r="CP59" s="18">
        <f t="shared" si="174"/>
        <v>2.7272727272727271</v>
      </c>
      <c r="CQ59" s="18">
        <f t="shared" si="174"/>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73"/>
      <c r="CY59" s="73"/>
      <c r="CZ59" s="73"/>
      <c r="DA59" s="73"/>
      <c r="DB59" s="73"/>
      <c r="DC59" s="73"/>
      <c r="DD59" s="73"/>
      <c r="DE59" s="73"/>
      <c r="DF59" s="73"/>
      <c r="DG59" s="73"/>
    </row>
    <row r="60" spans="2:147">
      <c r="CX60" s="2"/>
      <c r="CY60" s="2"/>
      <c r="CZ60" s="2"/>
      <c r="DA60" s="2"/>
      <c r="DB60" s="2"/>
      <c r="DC60" s="2"/>
      <c r="DD60" s="2"/>
      <c r="DE60" s="2"/>
      <c r="DF60" s="2"/>
      <c r="DG60" s="2"/>
    </row>
    <row r="61" spans="2:147">
      <c r="B61" s="26" t="s">
        <v>18</v>
      </c>
      <c r="C61" s="8">
        <f t="shared" ref="C61:BN61" si="175">C48/C46</f>
        <v>0.68866051617423796</v>
      </c>
      <c r="D61" s="8">
        <f t="shared" si="175"/>
        <v>0.67229280096793709</v>
      </c>
      <c r="E61" s="8">
        <f t="shared" si="175"/>
        <v>0.6780740648223319</v>
      </c>
      <c r="F61" s="8">
        <f t="shared" si="175"/>
        <v>0.67184727406228972</v>
      </c>
      <c r="G61" s="8">
        <f t="shared" si="175"/>
        <v>0.6741668178793927</v>
      </c>
      <c r="H61" s="8">
        <f t="shared" si="175"/>
        <v>0.67640804754375439</v>
      </c>
      <c r="I61" s="8">
        <f t="shared" si="175"/>
        <v>0.67683841920960475</v>
      </c>
      <c r="J61" s="8">
        <f t="shared" si="175"/>
        <v>0.69326584006370151</v>
      </c>
      <c r="K61" s="8">
        <f t="shared" si="175"/>
        <v>0.6940045248868778</v>
      </c>
      <c r="L61" s="8">
        <f t="shared" si="175"/>
        <v>0.68702060460219583</v>
      </c>
      <c r="M61" s="8">
        <f t="shared" si="175"/>
        <v>0.65806451612903227</v>
      </c>
      <c r="N61" s="8">
        <f t="shared" si="175"/>
        <v>0.65151515151515149</v>
      </c>
      <c r="O61" s="8">
        <f t="shared" si="175"/>
        <v>0.67060561299852295</v>
      </c>
      <c r="P61" s="8">
        <f t="shared" si="175"/>
        <v>0.6659142212189616</v>
      </c>
      <c r="Q61" s="8">
        <f t="shared" si="175"/>
        <v>0.67191115224433129</v>
      </c>
      <c r="R61" s="8">
        <f t="shared" si="175"/>
        <v>0.68091168091168086</v>
      </c>
      <c r="S61" s="8">
        <f t="shared" si="175"/>
        <v>0.68079922027290452</v>
      </c>
      <c r="T61" s="8">
        <f t="shared" si="175"/>
        <v>0.68135158254918737</v>
      </c>
      <c r="U61" s="8">
        <f t="shared" si="175"/>
        <v>0.67442922374429226</v>
      </c>
      <c r="V61" s="8">
        <f t="shared" si="175"/>
        <v>0.66998191681735986</v>
      </c>
      <c r="W61" s="8">
        <f t="shared" si="175"/>
        <v>0.68293816829381682</v>
      </c>
      <c r="X61" s="8">
        <f t="shared" si="175"/>
        <v>0.64465153970826583</v>
      </c>
      <c r="Y61" s="8">
        <f t="shared" si="175"/>
        <v>0.66334056399132324</v>
      </c>
      <c r="Z61" s="8">
        <f t="shared" si="175"/>
        <v>0.65509944985188318</v>
      </c>
      <c r="AA61" s="8">
        <f t="shared" si="175"/>
        <v>0.65299288405190459</v>
      </c>
      <c r="AB61" s="8">
        <f t="shared" si="175"/>
        <v>0.65660809778456841</v>
      </c>
      <c r="AC61" s="8">
        <f t="shared" si="175"/>
        <v>0.65279529213955445</v>
      </c>
      <c r="AD61" s="8">
        <f t="shared" si="175"/>
        <v>0.65995065789473684</v>
      </c>
      <c r="AE61" s="8">
        <f t="shared" si="175"/>
        <v>0.67107438016528931</v>
      </c>
      <c r="AF61" s="8">
        <f t="shared" si="175"/>
        <v>0.67034990791896865</v>
      </c>
      <c r="AG61" s="8">
        <f t="shared" si="175"/>
        <v>0.67895791583166332</v>
      </c>
      <c r="AH61" s="8">
        <f t="shared" si="175"/>
        <v>0.64859154929577467</v>
      </c>
      <c r="AI61" s="8">
        <f t="shared" si="175"/>
        <v>0.66113660430638899</v>
      </c>
      <c r="AJ61" s="8">
        <f t="shared" si="175"/>
        <v>0.66360468799493189</v>
      </c>
      <c r="AK61" s="8">
        <f t="shared" si="175"/>
        <v>0.66463620981387483</v>
      </c>
      <c r="AL61" s="8">
        <f t="shared" si="175"/>
        <v>0.66102257636122175</v>
      </c>
      <c r="AM61" s="8">
        <f t="shared" si="175"/>
        <v>0.66001330671989356</v>
      </c>
      <c r="AN61" s="8">
        <f t="shared" si="175"/>
        <v>0.64563526361279167</v>
      </c>
      <c r="AO61" s="8">
        <f t="shared" si="175"/>
        <v>0.65936439370564637</v>
      </c>
      <c r="AP61" s="8">
        <f t="shared" si="175"/>
        <v>0.65924142083082482</v>
      </c>
      <c r="AQ61" s="8">
        <f t="shared" si="175"/>
        <v>0.66471314003701421</v>
      </c>
      <c r="AR61" s="8">
        <f t="shared" si="175"/>
        <v>0.64699683877766068</v>
      </c>
      <c r="AS61" s="8">
        <f t="shared" si="175"/>
        <v>0.64931740614334466</v>
      </c>
      <c r="AT61" s="8">
        <f t="shared" si="175"/>
        <v>0.65205479452054793</v>
      </c>
      <c r="AU61" s="8">
        <f t="shared" si="175"/>
        <v>0.64956788402564813</v>
      </c>
      <c r="AV61" s="8">
        <f t="shared" si="175"/>
        <v>0.65432098765432101</v>
      </c>
      <c r="AW61" s="8">
        <f t="shared" si="175"/>
        <v>0.64966555183946484</v>
      </c>
      <c r="AX61" s="8">
        <f t="shared" si="175"/>
        <v>0.56005788712011573</v>
      </c>
      <c r="AY61" s="8">
        <f t="shared" si="175"/>
        <v>0.65854963874765859</v>
      </c>
      <c r="AZ61" s="8">
        <f t="shared" si="175"/>
        <v>0.63749413420929146</v>
      </c>
      <c r="BA61" s="8">
        <f t="shared" si="175"/>
        <v>0.63470781684796362</v>
      </c>
      <c r="BB61" s="8">
        <f t="shared" si="175"/>
        <v>0.64555193292966928</v>
      </c>
      <c r="BC61" s="8">
        <f t="shared" si="175"/>
        <v>0.63509615384615381</v>
      </c>
      <c r="BD61" s="8">
        <f t="shared" si="175"/>
        <v>0.64773452456924063</v>
      </c>
      <c r="BE61" s="8">
        <f t="shared" si="175"/>
        <v>0.63953216374269006</v>
      </c>
      <c r="BF61" s="8">
        <f t="shared" si="175"/>
        <v>0.62897841086133988</v>
      </c>
      <c r="BG61" s="8">
        <f t="shared" si="175"/>
        <v>0.62112078588970754</v>
      </c>
      <c r="BH61" s="8">
        <f t="shared" si="175"/>
        <v>0.6220684352172241</v>
      </c>
      <c r="BI61" s="8">
        <f t="shared" si="175"/>
        <v>0.63122645458350779</v>
      </c>
      <c r="BJ61" s="8">
        <f t="shared" si="175"/>
        <v>0.6367093674939952</v>
      </c>
      <c r="BK61" s="8">
        <f t="shared" si="175"/>
        <v>0.64330820941128541</v>
      </c>
      <c r="BL61" s="8">
        <f t="shared" si="175"/>
        <v>0.63680137575236462</v>
      </c>
      <c r="BM61" s="8">
        <f t="shared" si="175"/>
        <v>0.63570474918939535</v>
      </c>
      <c r="BN61" s="8">
        <f t="shared" si="175"/>
        <v>0.63002582073035784</v>
      </c>
      <c r="BO61" s="8">
        <f t="shared" ref="BO61:BP61" si="176">BO48/BO46</f>
        <v>0.64015289406625409</v>
      </c>
      <c r="BP61" s="8">
        <f t="shared" si="176"/>
        <v>0.64853946550652575</v>
      </c>
      <c r="BQ61" s="8">
        <f>BQ48/BQ46</f>
        <v>0.63825434708489603</v>
      </c>
      <c r="CH61" s="8">
        <f t="shared" ref="CH61:CR61" si="177">CH48/CH46</f>
        <v>0.67514502454261494</v>
      </c>
      <c r="CI61" s="8">
        <f t="shared" si="177"/>
        <v>0.68770491803278688</v>
      </c>
      <c r="CJ61" s="8">
        <f t="shared" si="177"/>
        <v>0.66161068977970383</v>
      </c>
      <c r="CK61" s="8">
        <f t="shared" si="177"/>
        <v>0.67875707519926076</v>
      </c>
      <c r="CL61" s="8">
        <f t="shared" si="177"/>
        <v>0.6672209289435761</v>
      </c>
      <c r="CM61" s="8">
        <f t="shared" si="177"/>
        <v>0.65695090439276482</v>
      </c>
      <c r="CN61" s="8">
        <f t="shared" si="177"/>
        <v>0.66378443595415237</v>
      </c>
      <c r="CO61" s="8">
        <f t="shared" si="177"/>
        <v>0.66260485651214129</v>
      </c>
      <c r="CP61" s="8">
        <f t="shared" si="177"/>
        <v>0.65734490517518485</v>
      </c>
      <c r="CQ61" s="8">
        <f t="shared" si="177"/>
        <v>0.65715756194397468</v>
      </c>
      <c r="CR61" s="8">
        <f t="shared" si="177"/>
        <v>0.6514377855415211</v>
      </c>
      <c r="CS61" s="8">
        <f t="shared" ref="CS61:CV61" si="178">CS48/CS46</f>
        <v>0.631105846282489</v>
      </c>
      <c r="CT61" s="8">
        <f t="shared" si="178"/>
        <v>0.64110357727379008</v>
      </c>
      <c r="CU61" s="8">
        <f t="shared" si="178"/>
        <v>0.62756788985852896</v>
      </c>
      <c r="CV61" s="8">
        <f t="shared" si="178"/>
        <v>0.63703775978144206</v>
      </c>
      <c r="CW61" s="8">
        <f>CW48/CW46</f>
        <v>0.6390794423545032</v>
      </c>
      <c r="CX61" s="70">
        <v>0.64600000000000002</v>
      </c>
      <c r="CY61" s="70">
        <v>0.64800000000000002</v>
      </c>
      <c r="CZ61" s="70">
        <v>0.65</v>
      </c>
      <c r="DA61" s="70">
        <v>0.65200000000000002</v>
      </c>
      <c r="DB61" s="70">
        <v>0.65400000000000003</v>
      </c>
      <c r="DC61" s="70">
        <v>0.65600000000000003</v>
      </c>
      <c r="DD61" s="70">
        <v>0.65800000000000003</v>
      </c>
      <c r="DE61" s="70">
        <v>0.66</v>
      </c>
      <c r="DF61" s="70">
        <v>0.66</v>
      </c>
      <c r="DG61" s="70">
        <v>0.66</v>
      </c>
    </row>
    <row r="62" spans="2:147">
      <c r="B62" s="26" t="s">
        <v>15</v>
      </c>
      <c r="C62" s="8">
        <f t="shared" ref="C62:BN62" si="179">C49/C46</f>
        <v>5.2726848067266144E-2</v>
      </c>
      <c r="D62" s="8">
        <f t="shared" si="179"/>
        <v>5.6019358741681791E-2</v>
      </c>
      <c r="E62" s="8">
        <f t="shared" si="179"/>
        <v>5.0209205020920508E-2</v>
      </c>
      <c r="F62" s="8">
        <f t="shared" si="179"/>
        <v>5.0541516245487361E-2</v>
      </c>
      <c r="G62" s="8">
        <f t="shared" si="179"/>
        <v>5.0626020685900927E-2</v>
      </c>
      <c r="H62" s="8">
        <f t="shared" si="179"/>
        <v>4.868873016738455E-2</v>
      </c>
      <c r="I62" s="8">
        <f t="shared" si="179"/>
        <v>5.002501250625313E-2</v>
      </c>
      <c r="J62" s="8">
        <f t="shared" si="179"/>
        <v>5.3805027869411895E-2</v>
      </c>
      <c r="K62" s="8">
        <f t="shared" si="179"/>
        <v>5.5995475113122174E-2</v>
      </c>
      <c r="L62" s="8">
        <f t="shared" si="179"/>
        <v>5.534666867198075E-2</v>
      </c>
      <c r="M62" s="8">
        <f t="shared" si="179"/>
        <v>5.5086848635235733E-2</v>
      </c>
      <c r="N62" s="8">
        <f t="shared" si="179"/>
        <v>5.5718475073313782E-2</v>
      </c>
      <c r="O62" s="8">
        <f t="shared" si="179"/>
        <v>6.0068931560807483E-2</v>
      </c>
      <c r="P62" s="8">
        <f t="shared" si="179"/>
        <v>5.1918735891647853E-2</v>
      </c>
      <c r="Q62" s="8">
        <f t="shared" si="179"/>
        <v>5.1827857473391949E-2</v>
      </c>
      <c r="R62" s="8">
        <f t="shared" si="179"/>
        <v>5.5080721747388414E-2</v>
      </c>
      <c r="S62" s="8">
        <f t="shared" si="179"/>
        <v>5.5555555555555552E-2</v>
      </c>
      <c r="T62" s="8">
        <f t="shared" si="179"/>
        <v>5.517536355859709E-2</v>
      </c>
      <c r="U62" s="8">
        <f t="shared" si="179"/>
        <v>5.8904109589041097E-2</v>
      </c>
      <c r="V62" s="8">
        <f t="shared" si="179"/>
        <v>5.9674502712477394E-2</v>
      </c>
      <c r="W62" s="8">
        <f t="shared" si="179"/>
        <v>6.3226406322640635E-2</v>
      </c>
      <c r="X62" s="8">
        <f t="shared" si="179"/>
        <v>5.6320907617504051E-2</v>
      </c>
      <c r="Y62" s="8">
        <f t="shared" si="179"/>
        <v>6.5075921908893705E-2</v>
      </c>
      <c r="Z62" s="8">
        <f t="shared" si="179"/>
        <v>6.6864155734236139E-2</v>
      </c>
      <c r="AA62" s="8">
        <f t="shared" si="179"/>
        <v>6.4043532858936797E-2</v>
      </c>
      <c r="AB62" s="8">
        <f t="shared" si="179"/>
        <v>5.844155844155844E-2</v>
      </c>
      <c r="AC62" s="8">
        <f t="shared" si="179"/>
        <v>6.3892391761244227E-2</v>
      </c>
      <c r="AD62" s="8">
        <f t="shared" si="179"/>
        <v>6.3322368421052627E-2</v>
      </c>
      <c r="AE62" s="8">
        <f t="shared" si="179"/>
        <v>6.4049586776859499E-2</v>
      </c>
      <c r="AF62" s="8">
        <f t="shared" si="179"/>
        <v>6.0405156537753225E-2</v>
      </c>
      <c r="AG62" s="8">
        <f t="shared" si="179"/>
        <v>6.3727454909819639E-2</v>
      </c>
      <c r="AH62" s="8">
        <f t="shared" si="179"/>
        <v>6.4436619718309857E-2</v>
      </c>
      <c r="AI62" s="8">
        <f t="shared" si="179"/>
        <v>6.4948817507942111E-2</v>
      </c>
      <c r="AJ62" s="8">
        <f t="shared" si="179"/>
        <v>5.9866962305986697E-2</v>
      </c>
      <c r="AK62" s="8">
        <f t="shared" si="179"/>
        <v>6.4974619289340105E-2</v>
      </c>
      <c r="AL62" s="8">
        <f t="shared" si="179"/>
        <v>6.3745019920318724E-2</v>
      </c>
      <c r="AM62" s="8">
        <f t="shared" si="179"/>
        <v>6.5868263473053898E-2</v>
      </c>
      <c r="AN62" s="8">
        <f t="shared" si="179"/>
        <v>5.9060789397868046E-2</v>
      </c>
      <c r="AO62" s="8">
        <f t="shared" si="179"/>
        <v>6.2943535945695767E-2</v>
      </c>
      <c r="AP62" s="8">
        <f t="shared" si="179"/>
        <v>6.5021071643588196E-2</v>
      </c>
      <c r="AQ62" s="8">
        <f t="shared" si="179"/>
        <v>6.8167797655768039E-2</v>
      </c>
      <c r="AR62" s="8">
        <f t="shared" si="179"/>
        <v>5.8219178082191778E-2</v>
      </c>
      <c r="AS62" s="8">
        <f t="shared" si="179"/>
        <v>6.3993174061433442E-2</v>
      </c>
      <c r="AT62" s="8">
        <f t="shared" si="179"/>
        <v>6.7397260273972609E-2</v>
      </c>
      <c r="AU62" s="8">
        <f t="shared" si="179"/>
        <v>6.8580986897128521E-2</v>
      </c>
      <c r="AV62" s="8">
        <f t="shared" si="179"/>
        <v>6.1486322924231424E-2</v>
      </c>
      <c r="AW62" s="8">
        <f t="shared" si="179"/>
        <v>7.0791527313266447E-2</v>
      </c>
      <c r="AX62" s="8">
        <f t="shared" si="179"/>
        <v>8.4298118668596239E-2</v>
      </c>
      <c r="AY62" s="8">
        <f t="shared" si="179"/>
        <v>6.4757827134064763E-2</v>
      </c>
      <c r="AZ62" s="8">
        <f t="shared" si="179"/>
        <v>5.9831065227592677E-2</v>
      </c>
      <c r="BA62" s="8">
        <f t="shared" si="179"/>
        <v>7.2856058689602834E-2</v>
      </c>
      <c r="BB62" s="8">
        <f t="shared" si="179"/>
        <v>7.2193758733115981E-2</v>
      </c>
      <c r="BC62" s="8">
        <f t="shared" si="179"/>
        <v>7.355769230769231E-2</v>
      </c>
      <c r="BD62" s="8">
        <f t="shared" si="179"/>
        <v>7.0410550946607101E-2</v>
      </c>
      <c r="BE62" s="8">
        <f t="shared" si="179"/>
        <v>9.6608187134502921E-2</v>
      </c>
      <c r="BF62" s="8">
        <f t="shared" si="179"/>
        <v>7.8121522368128193E-2</v>
      </c>
      <c r="BG62" s="8">
        <f t="shared" si="179"/>
        <v>8.1268140209868278E-2</v>
      </c>
      <c r="BH62" s="8">
        <f t="shared" si="179"/>
        <v>6.2668204536716648E-2</v>
      </c>
      <c r="BI62" s="8">
        <f t="shared" si="179"/>
        <v>7.0950188363331931E-2</v>
      </c>
      <c r="BJ62" s="8">
        <f t="shared" si="179"/>
        <v>6.9255404323458766E-2</v>
      </c>
      <c r="BK62" s="8">
        <f t="shared" si="179"/>
        <v>7.1908739050723161E-2</v>
      </c>
      <c r="BL62" s="8">
        <f t="shared" si="179"/>
        <v>6.0189165950128978E-2</v>
      </c>
      <c r="BM62" s="8">
        <f t="shared" si="179"/>
        <v>7.0188823192828528E-2</v>
      </c>
      <c r="BN62" s="8">
        <f t="shared" si="179"/>
        <v>6.6949465142014011E-2</v>
      </c>
      <c r="BO62" s="8">
        <f t="shared" ref="BO62:BP62" si="180">BO49/BO46</f>
        <v>6.8620313068802327E-2</v>
      </c>
      <c r="BP62" s="8">
        <f t="shared" si="180"/>
        <v>5.562461155997514E-2</v>
      </c>
      <c r="BQ62" s="8">
        <f>BQ49/BQ46</f>
        <v>6.9041936583702695E-2</v>
      </c>
      <c r="CH62" s="8">
        <f t="shared" ref="CH62:CR62" si="181">CH49/CH46</f>
        <v>4.9977688531905401E-2</v>
      </c>
      <c r="CI62" s="8">
        <f t="shared" si="181"/>
        <v>5.3825136612021859E-2</v>
      </c>
      <c r="CJ62" s="8">
        <f t="shared" si="181"/>
        <v>5.5615745756590826E-2</v>
      </c>
      <c r="CK62" s="8">
        <f t="shared" si="181"/>
        <v>5.4406838396673214E-2</v>
      </c>
      <c r="CL62" s="8">
        <f t="shared" si="181"/>
        <v>5.9416916084691275E-2</v>
      </c>
      <c r="CM62" s="8">
        <f t="shared" si="181"/>
        <v>6.3462532299741609E-2</v>
      </c>
      <c r="CN62" s="8">
        <f t="shared" si="181"/>
        <v>6.283933239493264E-2</v>
      </c>
      <c r="CO62" s="8">
        <f t="shared" si="181"/>
        <v>6.3134657836644598E-2</v>
      </c>
      <c r="CP62" s="8">
        <f t="shared" si="181"/>
        <v>6.3243330118932822E-2</v>
      </c>
      <c r="CQ62" s="8">
        <f t="shared" si="181"/>
        <v>6.3377692816704648E-2</v>
      </c>
      <c r="CR62" s="8">
        <f t="shared" si="181"/>
        <v>6.52378392905133E-2</v>
      </c>
      <c r="CS62" s="8">
        <f t="shared" ref="CS62:CV62" si="182">CS49/CS46</f>
        <v>6.8566650407637098E-2</v>
      </c>
      <c r="CT62" s="8">
        <f t="shared" si="182"/>
        <v>7.2188449848024319E-2</v>
      </c>
      <c r="CU62" s="8">
        <f t="shared" si="182"/>
        <v>7.8811859721394109E-2</v>
      </c>
      <c r="CV62" s="8">
        <f t="shared" si="182"/>
        <v>6.7713923309591181E-2</v>
      </c>
      <c r="CW62" s="8">
        <f>CW49/CW46</f>
        <v>6.4881610975879619E-2</v>
      </c>
      <c r="CX62" s="70">
        <v>6.8000000000000005E-2</v>
      </c>
      <c r="CY62" s="70">
        <v>6.8000000000000005E-2</v>
      </c>
      <c r="CZ62" s="70">
        <v>6.8000000000000005E-2</v>
      </c>
      <c r="DA62" s="70">
        <v>6.8000000000000005E-2</v>
      </c>
      <c r="DB62" s="70">
        <v>6.8000000000000005E-2</v>
      </c>
      <c r="DC62" s="70">
        <v>6.8000000000000005E-2</v>
      </c>
      <c r="DD62" s="70">
        <v>6.8000000000000005E-2</v>
      </c>
      <c r="DE62" s="70">
        <v>6.8000000000000005E-2</v>
      </c>
      <c r="DF62" s="70">
        <v>6.8000000000000005E-2</v>
      </c>
      <c r="DG62" s="70">
        <v>6.8000000000000005E-2</v>
      </c>
    </row>
    <row r="63" spans="2:147">
      <c r="B63" s="26" t="s">
        <v>14</v>
      </c>
      <c r="C63" s="8">
        <f t="shared" ref="C63:BN63" si="183">C50/C46</f>
        <v>0.39600607263809418</v>
      </c>
      <c r="D63" s="8">
        <f t="shared" si="183"/>
        <v>0.39007864488808225</v>
      </c>
      <c r="E63" s="8">
        <f t="shared" si="183"/>
        <v>0.38506213701367642</v>
      </c>
      <c r="F63" s="8">
        <f t="shared" si="183"/>
        <v>0.37759285320932512</v>
      </c>
      <c r="G63" s="8">
        <f t="shared" si="183"/>
        <v>0.38946349724792839</v>
      </c>
      <c r="H63" s="8">
        <f t="shared" si="183"/>
        <v>0.34262035875906438</v>
      </c>
      <c r="I63" s="8">
        <f t="shared" si="183"/>
        <v>0.37118559279639818</v>
      </c>
      <c r="J63" s="8">
        <f t="shared" si="183"/>
        <v>0.37640768968262994</v>
      </c>
      <c r="K63" s="8">
        <f t="shared" si="183"/>
        <v>0.36368778280542985</v>
      </c>
      <c r="L63" s="8">
        <f t="shared" si="183"/>
        <v>0.36817566551361103</v>
      </c>
      <c r="M63" s="8">
        <f t="shared" si="183"/>
        <v>0.37965260545905705</v>
      </c>
      <c r="N63" s="8">
        <f t="shared" si="183"/>
        <v>0.38416422287390029</v>
      </c>
      <c r="O63" s="8">
        <f t="shared" si="183"/>
        <v>0.37666174298375182</v>
      </c>
      <c r="P63" s="8">
        <f t="shared" si="183"/>
        <v>0.37652370203160274</v>
      </c>
      <c r="Q63" s="8">
        <f t="shared" si="183"/>
        <v>0.37899120777417861</v>
      </c>
      <c r="R63" s="8">
        <f t="shared" si="183"/>
        <v>0.39078822412155745</v>
      </c>
      <c r="S63" s="8">
        <f t="shared" si="183"/>
        <v>0.38547758284600392</v>
      </c>
      <c r="T63" s="8">
        <f t="shared" si="183"/>
        <v>0.39948674080410607</v>
      </c>
      <c r="U63" s="8">
        <f t="shared" si="183"/>
        <v>0.41826484018264842</v>
      </c>
      <c r="V63" s="8">
        <f t="shared" si="183"/>
        <v>0.45886075949367089</v>
      </c>
      <c r="W63" s="8">
        <f t="shared" si="183"/>
        <v>0.52812645281264525</v>
      </c>
      <c r="X63" s="8">
        <f t="shared" si="183"/>
        <v>0.16207455429497569</v>
      </c>
      <c r="Y63" s="8">
        <f t="shared" si="183"/>
        <v>0.37266811279826462</v>
      </c>
      <c r="Z63" s="8">
        <f t="shared" si="183"/>
        <v>0.36817604739737619</v>
      </c>
      <c r="AA63" s="8">
        <f t="shared" si="183"/>
        <v>0.36751778987023859</v>
      </c>
      <c r="AB63" s="8">
        <f t="shared" si="183"/>
        <v>0.35905271199388844</v>
      </c>
      <c r="AC63" s="8">
        <f t="shared" si="183"/>
        <v>0.37494745691467002</v>
      </c>
      <c r="AD63" s="8">
        <f t="shared" si="183"/>
        <v>0.35402960526315791</v>
      </c>
      <c r="AE63" s="8">
        <f t="shared" si="183"/>
        <v>0.36652892561983469</v>
      </c>
      <c r="AF63" s="8">
        <f t="shared" si="183"/>
        <v>0.35727440147329648</v>
      </c>
      <c r="AG63" s="8">
        <f t="shared" si="183"/>
        <v>0.37835671342685373</v>
      </c>
      <c r="AH63" s="8">
        <f t="shared" si="183"/>
        <v>0.36725352112676057</v>
      </c>
      <c r="AI63" s="8">
        <f t="shared" si="183"/>
        <v>0.37310271796681965</v>
      </c>
      <c r="AJ63" s="8">
        <f t="shared" si="183"/>
        <v>0.34621476084890718</v>
      </c>
      <c r="AK63" s="8">
        <f t="shared" si="183"/>
        <v>0.37292724196277494</v>
      </c>
      <c r="AL63" s="8">
        <f t="shared" si="183"/>
        <v>0.3751660026560425</v>
      </c>
      <c r="AM63" s="8">
        <f t="shared" si="183"/>
        <v>0.36693280106453757</v>
      </c>
      <c r="AN63" s="8">
        <f t="shared" si="183"/>
        <v>0.35061941803514834</v>
      </c>
      <c r="AO63" s="8">
        <f t="shared" si="183"/>
        <v>0.38136377661215676</v>
      </c>
      <c r="AP63" s="8">
        <f t="shared" si="183"/>
        <v>0.35821794099939797</v>
      </c>
      <c r="AQ63" s="8">
        <f t="shared" si="183"/>
        <v>0.38309685379395436</v>
      </c>
      <c r="AR63" s="8">
        <f t="shared" si="183"/>
        <v>0.37697576396206534</v>
      </c>
      <c r="AS63" s="8">
        <f t="shared" si="183"/>
        <v>0.39903299203640502</v>
      </c>
      <c r="AT63" s="8">
        <f t="shared" si="183"/>
        <v>0.35123287671232878</v>
      </c>
      <c r="AU63" s="8">
        <f t="shared" si="183"/>
        <v>0.35991078896013384</v>
      </c>
      <c r="AV63" s="8">
        <f t="shared" si="183"/>
        <v>0.33405954974582425</v>
      </c>
      <c r="AW63" s="8">
        <f t="shared" si="183"/>
        <v>0.37068004459308806</v>
      </c>
      <c r="AX63" s="8">
        <f t="shared" si="183"/>
        <v>0.44319826338639651</v>
      </c>
      <c r="AY63" s="8">
        <f t="shared" si="183"/>
        <v>0.33288734278833287</v>
      </c>
      <c r="AZ63" s="8">
        <f t="shared" si="183"/>
        <v>0.36649460347254809</v>
      </c>
      <c r="BA63" s="8">
        <f t="shared" si="183"/>
        <v>0.39843157095876547</v>
      </c>
      <c r="BB63" s="8">
        <f t="shared" si="183"/>
        <v>0.35048905449464368</v>
      </c>
      <c r="BC63" s="8">
        <f t="shared" si="183"/>
        <v>0.38509615384615387</v>
      </c>
      <c r="BD63" s="8">
        <f t="shared" si="183"/>
        <v>0.37119761752818548</v>
      </c>
      <c r="BE63" s="8">
        <f t="shared" si="183"/>
        <v>0.4</v>
      </c>
      <c r="BF63" s="8">
        <f t="shared" si="183"/>
        <v>0.3425328288448698</v>
      </c>
      <c r="BG63" s="8">
        <f t="shared" si="183"/>
        <v>0.32484929671801743</v>
      </c>
      <c r="BH63" s="8">
        <f t="shared" si="183"/>
        <v>0.32333717800845829</v>
      </c>
      <c r="BI63" s="8">
        <f t="shared" si="183"/>
        <v>0.37275010464629554</v>
      </c>
      <c r="BJ63" s="8">
        <f t="shared" si="183"/>
        <v>0.3420736589271417</v>
      </c>
      <c r="BK63" s="8">
        <f t="shared" si="183"/>
        <v>0.34833978407007538</v>
      </c>
      <c r="BL63" s="8">
        <f t="shared" si="183"/>
        <v>0.32863284608770421</v>
      </c>
      <c r="BM63" s="8">
        <f t="shared" si="183"/>
        <v>0.35037192447072285</v>
      </c>
      <c r="BN63" s="8">
        <f t="shared" si="183"/>
        <v>0.34064920693471046</v>
      </c>
      <c r="BO63" s="8">
        <f t="shared" ref="BO63:BP63" si="184">BO50/BO46</f>
        <v>0.34510374954495815</v>
      </c>
      <c r="BP63" s="8">
        <f t="shared" si="184"/>
        <v>0.32706650093225603</v>
      </c>
      <c r="BQ63" s="8">
        <f>BQ50/BQ46</f>
        <v>0.39209001022843504</v>
      </c>
      <c r="CH63" s="8">
        <f t="shared" ref="CH63:CR63" si="185">CH50/CH46</f>
        <v>0.3727502603004611</v>
      </c>
      <c r="CI63" s="8">
        <f t="shared" si="185"/>
        <v>0.36980874316939893</v>
      </c>
      <c r="CJ63" s="8">
        <f t="shared" si="185"/>
        <v>0.37919826652221017</v>
      </c>
      <c r="CK63" s="8">
        <f t="shared" si="185"/>
        <v>0.38893381078895689</v>
      </c>
      <c r="CL63" s="8">
        <f t="shared" si="185"/>
        <v>0.38432546280900121</v>
      </c>
      <c r="CM63" s="8">
        <f t="shared" si="185"/>
        <v>0.36661498708010337</v>
      </c>
      <c r="CN63" s="8">
        <f t="shared" si="185"/>
        <v>0.36295998391313089</v>
      </c>
      <c r="CO63" s="8">
        <f t="shared" si="185"/>
        <v>0.36529801324503314</v>
      </c>
      <c r="CP63" s="8">
        <f t="shared" si="185"/>
        <v>0.36579877852780457</v>
      </c>
      <c r="CQ63" s="8">
        <f t="shared" si="185"/>
        <v>0.37489890449231672</v>
      </c>
      <c r="CR63" s="8">
        <f t="shared" si="185"/>
        <v>0.3598495028218221</v>
      </c>
      <c r="CS63" s="8">
        <f t="shared" ref="CS63:CV63" si="186">CS50/CS46</f>
        <v>0.373562817922096</v>
      </c>
      <c r="CT63" s="8">
        <f t="shared" si="186"/>
        <v>0.37567220014028524</v>
      </c>
      <c r="CU63" s="8">
        <f t="shared" si="186"/>
        <v>0.34614342240771856</v>
      </c>
      <c r="CV63" s="8">
        <f t="shared" si="186"/>
        <v>0.34691189384330179</v>
      </c>
      <c r="CW63" s="8">
        <f>CW50/CW46</f>
        <v>0.34011949546359815</v>
      </c>
      <c r="CX63" s="70">
        <v>0.33500000000000002</v>
      </c>
      <c r="CY63" s="70">
        <v>0.33200000000000002</v>
      </c>
      <c r="CZ63" s="70">
        <v>0.33</v>
      </c>
      <c r="DA63" s="70">
        <v>0.32800000000000001</v>
      </c>
      <c r="DB63" s="70">
        <v>0.32700000000000001</v>
      </c>
      <c r="DC63" s="70">
        <v>0.32600000000000001</v>
      </c>
      <c r="DD63" s="70">
        <v>0.32500000000000001</v>
      </c>
      <c r="DE63" s="70">
        <v>0.32400000000000001</v>
      </c>
      <c r="DF63" s="70">
        <v>0.32300000000000001</v>
      </c>
      <c r="DG63" s="70">
        <v>0.32200000000000001</v>
      </c>
    </row>
    <row r="64" spans="2:147">
      <c r="B64" s="26" t="s">
        <v>17</v>
      </c>
      <c r="C64" s="8">
        <f t="shared" ref="C64:BN64" si="187">C53/C46</f>
        <v>0.23408852037837199</v>
      </c>
      <c r="D64" s="8">
        <f t="shared" si="187"/>
        <v>0.22014519056261342</v>
      </c>
      <c r="E64" s="8">
        <f t="shared" si="187"/>
        <v>0.23655779679010802</v>
      </c>
      <c r="F64" s="8">
        <f t="shared" si="187"/>
        <v>0.23881784250137672</v>
      </c>
      <c r="G64" s="8">
        <f t="shared" si="187"/>
        <v>0.18810863122240362</v>
      </c>
      <c r="H64" s="8">
        <f t="shared" si="187"/>
        <v>0.28019191974265306</v>
      </c>
      <c r="I64" s="8">
        <f t="shared" si="187"/>
        <v>0.24784614529486959</v>
      </c>
      <c r="J64" s="8">
        <f t="shared" si="187"/>
        <v>0.25452166988965996</v>
      </c>
      <c r="K64" s="8">
        <f t="shared" si="187"/>
        <v>0.26640271493212669</v>
      </c>
      <c r="L64" s="8">
        <f t="shared" si="187"/>
        <v>0.19331227753546906</v>
      </c>
      <c r="M64" s="8">
        <f t="shared" si="187"/>
        <v>0.20992555831265508</v>
      </c>
      <c r="N64" s="8">
        <f t="shared" si="187"/>
        <v>0.1959921798631476</v>
      </c>
      <c r="O64" s="8">
        <f t="shared" si="187"/>
        <v>0.21861152141802068</v>
      </c>
      <c r="P64" s="8">
        <f t="shared" si="187"/>
        <v>0.18871331828442439</v>
      </c>
      <c r="Q64" s="8">
        <f t="shared" si="187"/>
        <v>0.22026839426191577</v>
      </c>
      <c r="R64" s="8">
        <f t="shared" si="187"/>
        <v>0.21130104463437796</v>
      </c>
      <c r="S64" s="8">
        <f t="shared" si="187"/>
        <v>0.21929824561403508</v>
      </c>
      <c r="T64" s="8">
        <f t="shared" si="187"/>
        <v>0.15825491873396064</v>
      </c>
      <c r="U64" s="8">
        <f t="shared" si="187"/>
        <v>0.17625570776255708</v>
      </c>
      <c r="V64" s="8">
        <f t="shared" si="187"/>
        <v>0.13110307414104883</v>
      </c>
      <c r="W64" s="8">
        <f t="shared" si="187"/>
        <v>6.9735006973500699E-2</v>
      </c>
      <c r="X64" s="8">
        <f t="shared" si="187"/>
        <v>0.17423014586709887</v>
      </c>
      <c r="Y64" s="8">
        <f t="shared" si="187"/>
        <v>5.683297180043384E-2</v>
      </c>
      <c r="Z64" s="8">
        <f t="shared" si="187"/>
        <v>8.3368599238256458E-2</v>
      </c>
      <c r="AA64" s="8">
        <f t="shared" si="187"/>
        <v>0.18836333193804938</v>
      </c>
      <c r="AB64" s="8">
        <f t="shared" si="187"/>
        <v>0.1787624140565317</v>
      </c>
      <c r="AC64" s="8">
        <f t="shared" si="187"/>
        <v>0.17065994115174443</v>
      </c>
      <c r="AD64" s="8">
        <f t="shared" si="187"/>
        <v>0.17639802631578946</v>
      </c>
      <c r="AE64" s="8">
        <f t="shared" si="187"/>
        <v>0.15619834710743802</v>
      </c>
      <c r="AF64" s="8">
        <f t="shared" si="187"/>
        <v>0.23867403314917127</v>
      </c>
      <c r="AG64" s="8">
        <f t="shared" si="187"/>
        <v>0.20801603206412825</v>
      </c>
      <c r="AH64" s="8">
        <f t="shared" si="187"/>
        <v>0.176056338028169</v>
      </c>
      <c r="AI64" s="8">
        <f t="shared" si="187"/>
        <v>0.17154959406989057</v>
      </c>
      <c r="AJ64" s="8">
        <f t="shared" si="187"/>
        <v>0.21222679759265126</v>
      </c>
      <c r="AK64" s="8">
        <f t="shared" si="187"/>
        <v>0.18815566835871406</v>
      </c>
      <c r="AL64" s="8">
        <f t="shared" si="187"/>
        <v>0.16666666666666666</v>
      </c>
      <c r="AM64" s="8">
        <f t="shared" si="187"/>
        <v>0.17465069860279442</v>
      </c>
      <c r="AN64" s="8">
        <f t="shared" si="187"/>
        <v>0.20570440795159897</v>
      </c>
      <c r="AO64" s="8">
        <f t="shared" si="187"/>
        <v>0.18235112619561863</v>
      </c>
      <c r="AP64" s="8">
        <f t="shared" si="187"/>
        <v>0.20228777844671886</v>
      </c>
      <c r="AQ64" s="8">
        <f t="shared" si="187"/>
        <v>0.17766810610734116</v>
      </c>
      <c r="AR64" s="8">
        <f t="shared" si="187"/>
        <v>0.18387776606954689</v>
      </c>
      <c r="AS64" s="8">
        <f t="shared" si="187"/>
        <v>0.15017064846416384</v>
      </c>
      <c r="AT64" s="8">
        <f t="shared" si="187"/>
        <v>0.16794520547945205</v>
      </c>
      <c r="AU64" s="8">
        <f t="shared" si="187"/>
        <v>0.17507666573738501</v>
      </c>
      <c r="AV64" s="8">
        <f t="shared" si="187"/>
        <v>0.22851609779714355</v>
      </c>
      <c r="AW64" s="8">
        <f t="shared" si="187"/>
        <v>0.17697881828316611</v>
      </c>
      <c r="AX64" s="8">
        <f t="shared" si="187"/>
        <v>-7.2358900144717797E-3</v>
      </c>
      <c r="AY64" s="8">
        <f t="shared" si="187"/>
        <v>0.22986352689322986</v>
      </c>
      <c r="AZ64" s="8">
        <f t="shared" si="187"/>
        <v>0.17573908962928203</v>
      </c>
      <c r="BA64" s="8">
        <f t="shared" si="187"/>
        <v>0.11611434353655452</v>
      </c>
      <c r="BB64" s="8">
        <f t="shared" si="187"/>
        <v>0.17047042384722869</v>
      </c>
      <c r="BC64" s="8">
        <f t="shared" si="187"/>
        <v>0.13798076923076924</v>
      </c>
      <c r="BD64" s="8">
        <f t="shared" si="187"/>
        <v>0.1742182514358647</v>
      </c>
      <c r="BE64" s="8">
        <f t="shared" si="187"/>
        <v>0.10456140350877192</v>
      </c>
      <c r="BF64" s="8">
        <f t="shared" si="187"/>
        <v>0.17182283552192298</v>
      </c>
      <c r="BG64" s="8">
        <f t="shared" si="187"/>
        <v>0.18039741013619112</v>
      </c>
      <c r="BH64" s="8">
        <f t="shared" si="187"/>
        <v>0.15647827758554403</v>
      </c>
      <c r="BI64" s="8">
        <f t="shared" si="187"/>
        <v>0.15383005441607367</v>
      </c>
      <c r="BJ64" s="8">
        <f t="shared" si="187"/>
        <v>0.19315452361889512</v>
      </c>
      <c r="BK64" s="8">
        <f t="shared" si="187"/>
        <v>0.18965166021592991</v>
      </c>
      <c r="BL64" s="8">
        <f t="shared" si="187"/>
        <v>0.21616509028374892</v>
      </c>
      <c r="BM64" s="8">
        <f t="shared" si="187"/>
        <v>0.1853900438680145</v>
      </c>
      <c r="BN64" s="8">
        <f t="shared" si="187"/>
        <v>0.19383991147178162</v>
      </c>
      <c r="BO64" s="8">
        <f t="shared" ref="BO64:BP64" si="188">BO53/BO46</f>
        <v>0.19748816891153986</v>
      </c>
      <c r="BP64" s="8">
        <f t="shared" si="188"/>
        <v>9.0273461777501549E-2</v>
      </c>
      <c r="BQ64" s="8">
        <f>BQ53/BQ46</f>
        <v>0.14268666893965223</v>
      </c>
      <c r="CH64" s="8">
        <f t="shared" ref="CH64:CR64" si="189">CH53/CH46</f>
        <v>0.23709653428528932</v>
      </c>
      <c r="CI64" s="8">
        <f t="shared" si="189"/>
        <v>0.23907103825136616</v>
      </c>
      <c r="CJ64" s="8">
        <f t="shared" si="189"/>
        <v>0.20296135789093536</v>
      </c>
      <c r="CK64" s="8">
        <f t="shared" si="189"/>
        <v>0.20110892919025067</v>
      </c>
      <c r="CL64" s="8">
        <f t="shared" si="189"/>
        <v>0.13923068395964971</v>
      </c>
      <c r="CM64" s="8">
        <f t="shared" si="189"/>
        <v>0.12878552971576226</v>
      </c>
      <c r="CN64" s="8">
        <f t="shared" si="189"/>
        <v>0.18711039613915142</v>
      </c>
      <c r="CO64" s="8">
        <f t="shared" si="189"/>
        <v>0.19205298013245034</v>
      </c>
      <c r="CP64" s="8">
        <f t="shared" si="189"/>
        <v>0.18458694953391191</v>
      </c>
      <c r="CQ64" s="8">
        <f t="shared" si="189"/>
        <v>0.18653040217631056</v>
      </c>
      <c r="CR64" s="8">
        <f t="shared" si="189"/>
        <v>0.18227626981994088</v>
      </c>
      <c r="CS64" s="8">
        <f t="shared" ref="CS64:CV64" si="190">CS53/CS46</f>
        <v>0.15490209741481431</v>
      </c>
      <c r="CT64" s="8">
        <f t="shared" si="190"/>
        <v>0.15104044891278934</v>
      </c>
      <c r="CU64" s="8">
        <f t="shared" si="190"/>
        <v>0.15399208629193994</v>
      </c>
      <c r="CV64" s="8">
        <f t="shared" si="190"/>
        <v>0.18967704166260124</v>
      </c>
      <c r="CW64" s="8">
        <f>CW53/CW46</f>
        <v>0.16326620933834921</v>
      </c>
      <c r="CX64" s="70">
        <f>CX53/CX46</f>
        <v>0.19919905526520446</v>
      </c>
      <c r="CY64" s="70">
        <f t="shared" ref="CY64:DG64" si="191">CY53/CY46</f>
        <v>0.20653694276110834</v>
      </c>
      <c r="CZ64" s="70">
        <f t="shared" si="191"/>
        <v>0.21238177340542094</v>
      </c>
      <c r="DA64" s="70">
        <f t="shared" si="191"/>
        <v>0.21788995962111521</v>
      </c>
      <c r="DB64" s="70">
        <f t="shared" si="191"/>
        <v>0.22229161886986334</v>
      </c>
      <c r="DC64" s="70">
        <f t="shared" si="191"/>
        <v>0.22655787000477848</v>
      </c>
      <c r="DD64" s="70">
        <f t="shared" si="191"/>
        <v>0.23073425523153623</v>
      </c>
      <c r="DE64" s="70">
        <f t="shared" si="191"/>
        <v>0.23476048137551539</v>
      </c>
      <c r="DF64" s="70">
        <f t="shared" si="191"/>
        <v>0.23671806147291749</v>
      </c>
      <c r="DG64" s="70">
        <f t="shared" si="191"/>
        <v>0.23866906385120762</v>
      </c>
    </row>
    <row r="65" spans="2:111">
      <c r="B65" s="26" t="s">
        <v>1206</v>
      </c>
      <c r="C65" s="8">
        <f t="shared" ref="C65:BN65" si="192">C56/C55</f>
        <v>0.27207807664841716</v>
      </c>
      <c r="D65" s="8">
        <f t="shared" si="192"/>
        <v>0.27195316657796703</v>
      </c>
      <c r="E65" s="8">
        <f t="shared" si="192"/>
        <v>0.27279792746113996</v>
      </c>
      <c r="F65" s="8">
        <f t="shared" si="192"/>
        <v>0.27141073657927595</v>
      </c>
      <c r="G65" s="8">
        <f t="shared" si="192"/>
        <v>0.27197452229299374</v>
      </c>
      <c r="H65" s="8">
        <f t="shared" si="192"/>
        <v>0.41566380133715375</v>
      </c>
      <c r="I65" s="8">
        <f t="shared" si="192"/>
        <v>0.27868852459016402</v>
      </c>
      <c r="J65" s="8">
        <f t="shared" si="192"/>
        <v>0.27963800904977365</v>
      </c>
      <c r="K65" s="8">
        <f t="shared" si="192"/>
        <v>0.27056277056277056</v>
      </c>
      <c r="L65" s="8">
        <f t="shared" si="192"/>
        <v>0.2199630314232901</v>
      </c>
      <c r="M65" s="8">
        <f t="shared" si="192"/>
        <v>0.25304136253041365</v>
      </c>
      <c r="N65" s="8">
        <f t="shared" si="192"/>
        <v>0.24574209245742093</v>
      </c>
      <c r="O65" s="8">
        <f t="shared" si="192"/>
        <v>0.24129930394431554</v>
      </c>
      <c r="P65" s="8">
        <f t="shared" si="192"/>
        <v>7.3903002309468821E-2</v>
      </c>
      <c r="Q65" s="8">
        <f t="shared" si="192"/>
        <v>0.25213675213675213</v>
      </c>
      <c r="R65" s="8">
        <f t="shared" si="192"/>
        <v>0.25287356321839083</v>
      </c>
      <c r="S65" s="8">
        <f t="shared" si="192"/>
        <v>0.20495495495495494</v>
      </c>
      <c r="T65" s="8">
        <f t="shared" si="192"/>
        <v>0.24581005586592178</v>
      </c>
      <c r="U65" s="8">
        <f t="shared" si="192"/>
        <v>0.18933333333333333</v>
      </c>
      <c r="V65" s="8">
        <f t="shared" si="192"/>
        <v>0.20817843866171004</v>
      </c>
      <c r="W65" s="8">
        <f t="shared" si="192"/>
        <v>0.24817518248175183</v>
      </c>
      <c r="X65" s="8">
        <f t="shared" si="192"/>
        <v>0.10440835266821345</v>
      </c>
      <c r="Y65" s="8">
        <f t="shared" si="192"/>
        <v>0.34579439252336447</v>
      </c>
      <c r="Z65" s="8">
        <f t="shared" si="192"/>
        <v>0.23353293413173654</v>
      </c>
      <c r="AA65" s="8">
        <f t="shared" si="192"/>
        <v>0.86588235294117644</v>
      </c>
      <c r="AB65" s="8">
        <f t="shared" si="192"/>
        <v>0.43600867678958788</v>
      </c>
      <c r="AC65" s="8">
        <f t="shared" si="192"/>
        <v>0.40583554376657827</v>
      </c>
      <c r="AD65" s="8">
        <f t="shared" si="192"/>
        <v>2.2443890274314215E-2</v>
      </c>
      <c r="AE65" s="8">
        <f t="shared" si="192"/>
        <v>0.12753623188405797</v>
      </c>
      <c r="AF65" s="8">
        <f t="shared" si="192"/>
        <v>0.14705882352941177</v>
      </c>
      <c r="AG65" s="8">
        <f t="shared" si="192"/>
        <v>0.16424116424116425</v>
      </c>
      <c r="AH65" s="8">
        <f t="shared" si="192"/>
        <v>0.12240184757505773</v>
      </c>
      <c r="AI65" s="8">
        <f t="shared" si="192"/>
        <v>0.15274463007159905</v>
      </c>
      <c r="AJ65" s="8">
        <f t="shared" si="192"/>
        <v>0.1326530612244898</v>
      </c>
      <c r="AK65" s="8">
        <f t="shared" si="192"/>
        <v>0.11022044088176353</v>
      </c>
      <c r="AL65" s="8">
        <f t="shared" si="192"/>
        <v>0.11936936936936937</v>
      </c>
      <c r="AM65" s="8">
        <f t="shared" si="192"/>
        <v>7.8556263269639062E-2</v>
      </c>
      <c r="AN65" s="8">
        <f t="shared" si="192"/>
        <v>1.3836671802773497</v>
      </c>
      <c r="AO65" s="8">
        <f t="shared" si="192"/>
        <v>0.18265682656826568</v>
      </c>
      <c r="AP65" s="8">
        <f t="shared" si="192"/>
        <v>0.27447833065810595</v>
      </c>
      <c r="AQ65" s="8">
        <f t="shared" si="192"/>
        <v>-0.10486891385767791</v>
      </c>
      <c r="AR65" s="8">
        <f t="shared" si="192"/>
        <v>-2.147640791476408</v>
      </c>
      <c r="AS65" s="8">
        <f t="shared" si="192"/>
        <v>0.14166666666666666</v>
      </c>
      <c r="AT65" s="8">
        <f t="shared" si="192"/>
        <v>0.15044247787610621</v>
      </c>
      <c r="AU65" s="8">
        <f t="shared" si="192"/>
        <v>0.19793459552495696</v>
      </c>
      <c r="AV65" s="8">
        <f t="shared" si="192"/>
        <v>0.22542735042735043</v>
      </c>
      <c r="AW65" s="8">
        <f t="shared" si="192"/>
        <v>0.16440677966101694</v>
      </c>
      <c r="AX65" s="8">
        <f t="shared" si="192"/>
        <v>4.5977011494252873E-2</v>
      </c>
      <c r="AY65" s="8">
        <f t="shared" si="192"/>
        <v>0.20384615384615384</v>
      </c>
      <c r="AZ65" s="8">
        <f t="shared" si="192"/>
        <v>0.15350223546944858</v>
      </c>
      <c r="BA65" s="8">
        <f t="shared" si="192"/>
        <v>0.17711171662125341</v>
      </c>
      <c r="BB65" s="8">
        <f t="shared" si="192"/>
        <v>0.10574018126888217</v>
      </c>
      <c r="BC65" s="8">
        <f t="shared" si="192"/>
        <v>0.11515151515151516</v>
      </c>
      <c r="BD65" s="8">
        <f t="shared" si="192"/>
        <v>0.12549537648612946</v>
      </c>
      <c r="BE65" s="8">
        <f t="shared" si="192"/>
        <v>0.16321243523316062</v>
      </c>
      <c r="BF65" s="8">
        <f t="shared" si="192"/>
        <v>8.8888888888888892E-2</v>
      </c>
      <c r="BG65" s="8">
        <f t="shared" si="192"/>
        <v>0</v>
      </c>
      <c r="BH65" s="8">
        <f t="shared" si="192"/>
        <v>0.26018396846254926</v>
      </c>
      <c r="BI65" s="8">
        <f t="shared" si="192"/>
        <v>0.12812960235640647</v>
      </c>
      <c r="BJ65" s="8">
        <f t="shared" si="192"/>
        <v>0.17908787541713014</v>
      </c>
      <c r="BK65" s="8">
        <f t="shared" si="192"/>
        <v>0.20368239355581128</v>
      </c>
      <c r="BL65" s="8">
        <f t="shared" si="192"/>
        <v>6.7699836867862975E-2</v>
      </c>
      <c r="BM65" s="8">
        <f t="shared" si="192"/>
        <v>0.14626218851570963</v>
      </c>
      <c r="BN65" s="8">
        <f t="shared" si="192"/>
        <v>0.17334669338677355</v>
      </c>
      <c r="BO65" s="8">
        <f t="shared" ref="BO65:BP65" si="193">BO56/BO55</f>
        <v>0.20038350910834132</v>
      </c>
      <c r="BP65" s="8">
        <f t="shared" si="193"/>
        <v>-3.4090909090909088E-2</v>
      </c>
      <c r="BQ65" s="8">
        <f>BQ56/BQ55</f>
        <v>0.14397905759162305</v>
      </c>
      <c r="CH65" s="8">
        <f t="shared" ref="CH65:CR65" si="194">CH56/CH55</f>
        <v>0.31834975369458135</v>
      </c>
      <c r="CI65" s="8">
        <f t="shared" si="194"/>
        <v>0.2638888888888889</v>
      </c>
      <c r="CJ65" s="8">
        <f t="shared" si="194"/>
        <v>0.2022538552787663</v>
      </c>
      <c r="CK65" s="8">
        <f t="shared" si="194"/>
        <v>0.23870967741935484</v>
      </c>
      <c r="CL65" s="8">
        <f t="shared" si="194"/>
        <v>0.16996699669966997</v>
      </c>
      <c r="CM65" s="8">
        <f t="shared" si="194"/>
        <v>0.55603448275862066</v>
      </c>
      <c r="CN65" s="8">
        <f t="shared" si="194"/>
        <v>0.17060518731988472</v>
      </c>
      <c r="CO65" s="8">
        <f t="shared" si="194"/>
        <v>0.14263404476834982</v>
      </c>
      <c r="CP65" s="8">
        <f t="shared" si="194"/>
        <v>0.50557440620455651</v>
      </c>
      <c r="CQ65" s="8">
        <f t="shared" si="194"/>
        <v>-0.50806451612903225</v>
      </c>
      <c r="CR65" s="8">
        <f t="shared" si="194"/>
        <v>0.1869633099141296</v>
      </c>
      <c r="CS65" s="8">
        <f t="shared" ref="CS65:CV65" si="195">CS56/CS55</f>
        <v>0.18167860798362334</v>
      </c>
      <c r="CT65" s="8">
        <f t="shared" si="195"/>
        <v>0.12582200789127576</v>
      </c>
      <c r="CU65" s="8">
        <f t="shared" si="195"/>
        <v>0.12113306000745434</v>
      </c>
      <c r="CV65" s="8">
        <f t="shared" si="195"/>
        <v>0.13830656139395589</v>
      </c>
      <c r="CW65" s="8">
        <f>CW56/CW55</f>
        <v>0.14289805269186712</v>
      </c>
      <c r="CX65" s="70">
        <v>0.14000000000000001</v>
      </c>
      <c r="CY65" s="70">
        <v>0.14000000000000001</v>
      </c>
      <c r="CZ65" s="70">
        <v>0.14000000000000001</v>
      </c>
      <c r="DA65" s="70">
        <v>0.14000000000000001</v>
      </c>
      <c r="DB65" s="70">
        <v>0.14000000000000001</v>
      </c>
      <c r="DC65" s="70">
        <v>0.14000000000000001</v>
      </c>
      <c r="DD65" s="70">
        <v>0.14000000000000001</v>
      </c>
      <c r="DE65" s="70">
        <v>0.14000000000000001</v>
      </c>
      <c r="DF65" s="70">
        <v>0.14000000000000001</v>
      </c>
      <c r="DG65" s="70">
        <v>0.14000000000000001</v>
      </c>
    </row>
    <row r="66" spans="2:111">
      <c r="B66" s="26" t="s">
        <v>16</v>
      </c>
      <c r="C66" s="8">
        <f t="shared" ref="C66:BN66" si="196">C57/C46</f>
        <v>0.17855891626766313</v>
      </c>
      <c r="D66" s="8">
        <f t="shared" si="196"/>
        <v>0.16551724137931031</v>
      </c>
      <c r="E66" s="8">
        <f t="shared" si="196"/>
        <v>0.17529507275338785</v>
      </c>
      <c r="F66" s="8">
        <f t="shared" si="196"/>
        <v>0.17854739032001465</v>
      </c>
      <c r="G66" s="8">
        <f t="shared" si="196"/>
        <v>0.13826891671203043</v>
      </c>
      <c r="H66" s="8">
        <f t="shared" si="196"/>
        <v>0.16678479908401941</v>
      </c>
      <c r="I66" s="8">
        <f t="shared" si="196"/>
        <v>0.17853371130009441</v>
      </c>
      <c r="J66" s="8">
        <f t="shared" si="196"/>
        <v>0.18109430098964854</v>
      </c>
      <c r="K66" s="8">
        <f t="shared" si="196"/>
        <v>0.19061085972850678</v>
      </c>
      <c r="L66" s="8">
        <f t="shared" si="196"/>
        <v>0.14809244497919494</v>
      </c>
      <c r="M66" s="8">
        <f t="shared" si="196"/>
        <v>0.15235732009925559</v>
      </c>
      <c r="N66" s="8">
        <f t="shared" si="196"/>
        <v>0.15151515151515152</v>
      </c>
      <c r="O66" s="8">
        <f t="shared" si="196"/>
        <v>0.16100443131462333</v>
      </c>
      <c r="P66" s="8">
        <f t="shared" si="196"/>
        <v>0.18103837471783296</v>
      </c>
      <c r="Q66" s="8">
        <f t="shared" si="196"/>
        <v>0.16196205460434984</v>
      </c>
      <c r="R66" s="8">
        <f t="shared" si="196"/>
        <v>0.15432098765432098</v>
      </c>
      <c r="S66" s="8">
        <f t="shared" si="196"/>
        <v>0.17202729044834308</v>
      </c>
      <c r="T66" s="8">
        <f t="shared" si="196"/>
        <v>0.11548331907613345</v>
      </c>
      <c r="U66" s="8">
        <f t="shared" si="196"/>
        <v>0.13881278538812786</v>
      </c>
      <c r="V66" s="8">
        <f t="shared" si="196"/>
        <v>9.6292947558770339E-2</v>
      </c>
      <c r="W66" s="8">
        <f t="shared" si="196"/>
        <v>4.7884704788470477E-2</v>
      </c>
      <c r="X66" s="8">
        <f t="shared" si="196"/>
        <v>0.15640194489465153</v>
      </c>
      <c r="Y66" s="8">
        <f t="shared" si="196"/>
        <v>3.0368763557483729E-2</v>
      </c>
      <c r="Z66" s="8">
        <f t="shared" si="196"/>
        <v>5.4168429961912824E-2</v>
      </c>
      <c r="AA66" s="8">
        <f t="shared" si="196"/>
        <v>2.3859355378819589E-2</v>
      </c>
      <c r="AB66" s="8">
        <f t="shared" si="196"/>
        <v>9.9312452253628725E-2</v>
      </c>
      <c r="AC66" s="8">
        <f t="shared" si="196"/>
        <v>9.4157208911307272E-2</v>
      </c>
      <c r="AD66" s="8">
        <f t="shared" si="196"/>
        <v>0.16118421052631579</v>
      </c>
      <c r="AE66" s="8">
        <f t="shared" si="196"/>
        <v>0.1243801652892562</v>
      </c>
      <c r="AF66" s="8">
        <f t="shared" si="196"/>
        <v>0.19226519337016573</v>
      </c>
      <c r="AG66" s="8">
        <f t="shared" si="196"/>
        <v>0.16112224448897797</v>
      </c>
      <c r="AH66" s="8">
        <f t="shared" si="196"/>
        <v>0.13380281690140844</v>
      </c>
      <c r="AI66" s="8">
        <f t="shared" si="196"/>
        <v>0.12530885986586657</v>
      </c>
      <c r="AJ66" s="8">
        <f t="shared" si="196"/>
        <v>0.16154577130186887</v>
      </c>
      <c r="AK66" s="8">
        <f t="shared" si="196"/>
        <v>0.150253807106599</v>
      </c>
      <c r="AL66" s="8">
        <f t="shared" si="196"/>
        <v>0.1298140770252324</v>
      </c>
      <c r="AM66" s="8">
        <f t="shared" si="196"/>
        <v>0.14437791084497673</v>
      </c>
      <c r="AN66" s="8">
        <f t="shared" si="196"/>
        <v>-7.1737251512532407E-2</v>
      </c>
      <c r="AO66" s="8">
        <f t="shared" si="196"/>
        <v>0.13668620796050601</v>
      </c>
      <c r="AP66" s="8">
        <f t="shared" si="196"/>
        <v>0.13606261288380495</v>
      </c>
      <c r="AQ66" s="8">
        <f t="shared" si="196"/>
        <v>0.18198642813078347</v>
      </c>
      <c r="AR66" s="8">
        <f t="shared" si="196"/>
        <v>0.54478398314014753</v>
      </c>
      <c r="AS66" s="8">
        <f t="shared" si="196"/>
        <v>0.11717861205915814</v>
      </c>
      <c r="AT66" s="8">
        <f t="shared" si="196"/>
        <v>0.13150684931506848</v>
      </c>
      <c r="AU66" s="8">
        <f t="shared" si="196"/>
        <v>0.12991357680512963</v>
      </c>
      <c r="AV66" s="8">
        <f t="shared" si="196"/>
        <v>0.17550229968530623</v>
      </c>
      <c r="AW66" s="8">
        <f t="shared" si="196"/>
        <v>0.13740245261984393</v>
      </c>
      <c r="AX66" s="8">
        <f t="shared" si="196"/>
        <v>-3.0028943560057888E-2</v>
      </c>
      <c r="AY66" s="8">
        <f t="shared" si="196"/>
        <v>0.16617607706716617</v>
      </c>
      <c r="AZ66" s="8">
        <f t="shared" si="196"/>
        <v>0.13327076489910841</v>
      </c>
      <c r="BA66" s="8">
        <f t="shared" si="196"/>
        <v>7.6397672653680748E-2</v>
      </c>
      <c r="BB66" s="8">
        <f t="shared" si="196"/>
        <v>0.13786679087098277</v>
      </c>
      <c r="BC66" s="8">
        <f t="shared" si="196"/>
        <v>0.10528846153846154</v>
      </c>
      <c r="BD66" s="8">
        <f t="shared" si="196"/>
        <v>0.1408211018932142</v>
      </c>
      <c r="BE66" s="8">
        <f t="shared" si="196"/>
        <v>7.5555555555555556E-2</v>
      </c>
      <c r="BF66" s="8">
        <f t="shared" si="196"/>
        <v>0.1460048965056755</v>
      </c>
      <c r="BG66" s="8">
        <f t="shared" si="196"/>
        <v>0.18218352310783656</v>
      </c>
      <c r="BH66" s="8">
        <f t="shared" si="196"/>
        <v>0.10822760476739715</v>
      </c>
      <c r="BI66" s="8">
        <f t="shared" si="196"/>
        <v>0.12390121389702805</v>
      </c>
      <c r="BJ66" s="8">
        <f t="shared" si="196"/>
        <v>0.14771817453963171</v>
      </c>
      <c r="BK66" s="8">
        <f t="shared" si="196"/>
        <v>0.14096557343654512</v>
      </c>
      <c r="BL66" s="8">
        <f t="shared" si="196"/>
        <v>0.19656061908856406</v>
      </c>
      <c r="BM66" s="8">
        <f t="shared" si="196"/>
        <v>0.15029563227160023</v>
      </c>
      <c r="BN66" s="8">
        <f t="shared" si="196"/>
        <v>0.15215787532275912</v>
      </c>
      <c r="BO66" s="8">
        <f t="shared" ref="BO66:BP66" si="197">BO57/BO46</f>
        <v>0.15180196578085184</v>
      </c>
      <c r="BP66" s="8">
        <f t="shared" si="197"/>
        <v>8.4835301429459289E-2</v>
      </c>
      <c r="BQ66" s="8">
        <f>BQ57/BQ46</f>
        <v>0.11148994203886806</v>
      </c>
      <c r="CH66" s="8">
        <f t="shared" ref="CH66:CR66" si="198">CH57/CH46</f>
        <v>0.16465863453815258</v>
      </c>
      <c r="CI66" s="8">
        <f t="shared" si="198"/>
        <v>0.17377049180327869</v>
      </c>
      <c r="CJ66" s="8">
        <f t="shared" si="198"/>
        <v>0.16191164078488021</v>
      </c>
      <c r="CK66" s="8">
        <f t="shared" si="198"/>
        <v>0.14993646759847523</v>
      </c>
      <c r="CL66" s="8">
        <f t="shared" si="198"/>
        <v>0.11151757011417802</v>
      </c>
      <c r="CM66" s="8">
        <f t="shared" si="198"/>
        <v>5.3229974160206715E-2</v>
      </c>
      <c r="CN66" s="8">
        <f t="shared" si="198"/>
        <v>0.14468127890609289</v>
      </c>
      <c r="CO66" s="8">
        <f t="shared" si="198"/>
        <v>0.14543046357615894</v>
      </c>
      <c r="CP66" s="8">
        <f t="shared" si="198"/>
        <v>8.1967213114754092E-2</v>
      </c>
      <c r="CQ66" s="8">
        <f t="shared" si="198"/>
        <v>0.2612307918535402</v>
      </c>
      <c r="CR66" s="8">
        <f t="shared" si="198"/>
        <v>0.13994893845740392</v>
      </c>
      <c r="CS66" s="8">
        <f t="shared" ref="CS66:CV66" si="199">CS57/CS46</f>
        <v>0.11142080691241028</v>
      </c>
      <c r="CT66" s="8">
        <f t="shared" si="199"/>
        <v>0.1165536591068506</v>
      </c>
      <c r="CU66" s="8">
        <f t="shared" si="199"/>
        <v>0.12781180551791424</v>
      </c>
      <c r="CV66" s="8">
        <f t="shared" si="199"/>
        <v>0.15440530783491072</v>
      </c>
      <c r="CW66" s="8">
        <f>CW57/CW46</f>
        <v>0.13246293427749503</v>
      </c>
      <c r="CX66" s="70">
        <f>CX57/CX46</f>
        <v>0.18249858895329157</v>
      </c>
      <c r="CY66" s="70">
        <f t="shared" ref="CY66:DG66" si="200">CY57/CY46</f>
        <v>0.18893176870681269</v>
      </c>
      <c r="CZ66" s="70">
        <f t="shared" si="200"/>
        <v>0.1941895445086291</v>
      </c>
      <c r="DA66" s="70">
        <f t="shared" si="200"/>
        <v>0.1992417295497339</v>
      </c>
      <c r="DB66" s="70">
        <f t="shared" si="200"/>
        <v>0.20336722476387936</v>
      </c>
      <c r="DC66" s="70">
        <f t="shared" si="200"/>
        <v>0.20741577780556361</v>
      </c>
      <c r="DD66" s="70">
        <f t="shared" si="200"/>
        <v>0.21141636167802919</v>
      </c>
      <c r="DE66" s="70">
        <f t="shared" si="200"/>
        <v>0.21534607079220691</v>
      </c>
      <c r="DF66" s="70">
        <f t="shared" si="200"/>
        <v>0.21752993656541411</v>
      </c>
      <c r="DG66" s="70">
        <f t="shared" si="200"/>
        <v>0.2197170586609796</v>
      </c>
    </row>
    <row r="68" spans="2:111">
      <c r="B68" s="2" t="s">
        <v>1211</v>
      </c>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v>4337</v>
      </c>
      <c r="AW68" s="2">
        <v>3964</v>
      </c>
      <c r="AX68" s="2">
        <v>6539</v>
      </c>
      <c r="AY68" s="2">
        <v>7083</v>
      </c>
      <c r="AZ68" s="2">
        <v>2943</v>
      </c>
      <c r="BA68" s="2">
        <v>2238</v>
      </c>
      <c r="BB68" s="2">
        <v>2241</v>
      </c>
      <c r="BC68" s="2">
        <v>2563</v>
      </c>
      <c r="BD68" s="2">
        <v>2944</v>
      </c>
      <c r="BE68" s="2">
        <v>1458</v>
      </c>
      <c r="BF68" s="2">
        <v>1044</v>
      </c>
      <c r="BG68" s="2">
        <v>1420</v>
      </c>
      <c r="BH68" s="2">
        <v>1844</v>
      </c>
      <c r="BI68" s="2">
        <v>1671</v>
      </c>
      <c r="BJ68" s="2">
        <v>1401</v>
      </c>
      <c r="BK68" s="2">
        <v>1860</v>
      </c>
      <c r="BL68" s="2">
        <v>2971</v>
      </c>
      <c r="BM68" s="2">
        <v>2330</v>
      </c>
      <c r="BN68" s="2">
        <v>1874</v>
      </c>
      <c r="BO68" s="2">
        <v>3850</v>
      </c>
      <c r="BP68" s="2">
        <v>3652</v>
      </c>
      <c r="BQ68" s="2">
        <v>2320</v>
      </c>
      <c r="CR68" s="37">
        <f>AV68</f>
        <v>4337</v>
      </c>
      <c r="CS68" s="2">
        <f>AZ68</f>
        <v>2943</v>
      </c>
      <c r="CT68" s="2">
        <f>BD68</f>
        <v>2944</v>
      </c>
      <c r="CU68" s="2">
        <f>BH68</f>
        <v>1844</v>
      </c>
      <c r="CV68" s="2">
        <f>BL68</f>
        <v>2971</v>
      </c>
      <c r="CW68" s="2">
        <f t="shared" ref="CW68:CW78" si="201">BP68</f>
        <v>3652</v>
      </c>
      <c r="CX68" s="71">
        <f>CW68+CX57</f>
        <v>8263.0732229999994</v>
      </c>
      <c r="CY68" s="71">
        <f t="shared" ref="CY68:DG68" si="202">CX68+CY57</f>
        <v>13457.132234197117</v>
      </c>
      <c r="CZ68" s="71">
        <f t="shared" si="202"/>
        <v>19211.945639411406</v>
      </c>
      <c r="DA68" s="71">
        <f t="shared" si="202"/>
        <v>25534.295924513779</v>
      </c>
      <c r="DB68" s="71">
        <f t="shared" si="202"/>
        <v>32434.955677872396</v>
      </c>
      <c r="DC68" s="71">
        <f t="shared" si="202"/>
        <v>39943.125455673769</v>
      </c>
      <c r="DD68" s="71">
        <f t="shared" si="202"/>
        <v>48096.319018442715</v>
      </c>
      <c r="DE68" s="71">
        <f t="shared" si="202"/>
        <v>56914.29242968592</v>
      </c>
      <c r="DF68" s="71">
        <f t="shared" si="202"/>
        <v>66361.059572106242</v>
      </c>
      <c r="DG68" s="71">
        <f t="shared" si="202"/>
        <v>76487.374109185999</v>
      </c>
    </row>
    <row r="69" spans="2:111">
      <c r="B69" s="2" t="s">
        <v>1212</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750</v>
      </c>
      <c r="BP69" s="2">
        <v>750</v>
      </c>
      <c r="BQ69" s="2">
        <v>0</v>
      </c>
      <c r="CR69" s="37">
        <f t="shared" ref="CR69:CR78" si="203">AV69</f>
        <v>0</v>
      </c>
      <c r="CS69" s="2">
        <f t="shared" ref="CS69:CS78" si="204">AZ69</f>
        <v>0</v>
      </c>
      <c r="CT69" s="2">
        <f t="shared" ref="CT69:CT78" si="205">BD69</f>
        <v>0</v>
      </c>
      <c r="CU69" s="2">
        <f t="shared" ref="CU69:CU78" si="206">BH69</f>
        <v>0</v>
      </c>
      <c r="CV69" s="2">
        <f t="shared" ref="CV69:CV78" si="207">BL69</f>
        <v>0</v>
      </c>
      <c r="CW69" s="2">
        <f t="shared" si="201"/>
        <v>750</v>
      </c>
    </row>
    <row r="70" spans="2:111">
      <c r="B70" s="2" t="s">
        <v>1213</v>
      </c>
      <c r="AV70" s="2">
        <v>88</v>
      </c>
      <c r="AW70" s="2">
        <v>84</v>
      </c>
      <c r="AX70" s="2">
        <v>80</v>
      </c>
      <c r="AY70" s="2">
        <v>78</v>
      </c>
      <c r="AZ70" s="2">
        <v>81</v>
      </c>
      <c r="BA70" s="2">
        <v>74</v>
      </c>
      <c r="BB70" s="2">
        <v>84</v>
      </c>
      <c r="BC70" s="2">
        <v>76</v>
      </c>
      <c r="BD70" s="2">
        <v>75</v>
      </c>
      <c r="BE70" s="2">
        <v>72</v>
      </c>
      <c r="BF70" s="2">
        <v>83</v>
      </c>
      <c r="BG70" s="2">
        <v>77</v>
      </c>
      <c r="BH70" s="2">
        <v>84</v>
      </c>
      <c r="BI70" s="2">
        <v>86</v>
      </c>
      <c r="BJ70" s="2">
        <v>77</v>
      </c>
      <c r="BK70" s="2">
        <v>76</v>
      </c>
      <c r="BL70" s="2">
        <v>82</v>
      </c>
      <c r="BM70" s="2">
        <v>77</v>
      </c>
      <c r="BN70" s="2">
        <v>83</v>
      </c>
      <c r="BO70" s="2">
        <v>84</v>
      </c>
      <c r="BP70" s="2">
        <v>91</v>
      </c>
      <c r="BQ70" s="2">
        <v>89</v>
      </c>
      <c r="CR70" s="37">
        <f t="shared" si="203"/>
        <v>88</v>
      </c>
      <c r="CS70" s="2">
        <f t="shared" si="204"/>
        <v>81</v>
      </c>
      <c r="CT70" s="2">
        <f t="shared" si="205"/>
        <v>75</v>
      </c>
      <c r="CU70" s="2">
        <f t="shared" si="206"/>
        <v>84</v>
      </c>
      <c r="CV70" s="2">
        <f t="shared" si="207"/>
        <v>82</v>
      </c>
      <c r="CW70" s="2">
        <f t="shared" si="201"/>
        <v>91</v>
      </c>
    </row>
    <row r="71" spans="2:111" ht="15" customHeight="1">
      <c r="B71" s="2" t="s">
        <v>1235</v>
      </c>
      <c r="AV71" s="2">
        <v>2893</v>
      </c>
      <c r="AW71" s="2">
        <v>2646</v>
      </c>
      <c r="AX71" s="2">
        <v>2203</v>
      </c>
      <c r="AY71" s="2">
        <v>2426</v>
      </c>
      <c r="AZ71" s="2">
        <v>2701</v>
      </c>
      <c r="BA71" s="2">
        <v>2616</v>
      </c>
      <c r="BB71" s="2">
        <v>2714</v>
      </c>
      <c r="BC71" s="2">
        <v>2817</v>
      </c>
      <c r="BD71" s="2">
        <v>3022</v>
      </c>
      <c r="BE71" s="2">
        <v>2991</v>
      </c>
      <c r="BF71" s="2">
        <v>3145</v>
      </c>
      <c r="BG71" s="2">
        <v>3103</v>
      </c>
      <c r="BH71" s="2">
        <v>3565</v>
      </c>
      <c r="BI71" s="2">
        <v>3215</v>
      </c>
      <c r="BJ71" s="2">
        <v>3261</v>
      </c>
      <c r="BK71" s="2">
        <v>3276</v>
      </c>
      <c r="BL71" s="2">
        <v>3765</v>
      </c>
      <c r="BM71" s="2">
        <v>3473</v>
      </c>
      <c r="BN71" s="2">
        <v>3622</v>
      </c>
      <c r="BO71" s="2">
        <v>3736</v>
      </c>
      <c r="BP71" s="2">
        <v>3987</v>
      </c>
      <c r="BQ71" s="2">
        <v>3961</v>
      </c>
      <c r="CR71" s="37">
        <f t="shared" si="203"/>
        <v>2893</v>
      </c>
      <c r="CS71" s="2">
        <f t="shared" si="204"/>
        <v>2701</v>
      </c>
      <c r="CT71" s="2">
        <f t="shared" si="205"/>
        <v>3022</v>
      </c>
      <c r="CU71" s="2">
        <f t="shared" si="206"/>
        <v>3565</v>
      </c>
      <c r="CV71" s="2">
        <f t="shared" si="207"/>
        <v>3765</v>
      </c>
      <c r="CW71" s="2">
        <f t="shared" si="201"/>
        <v>3987</v>
      </c>
      <c r="CY71" s="75" t="s">
        <v>1569</v>
      </c>
      <c r="CZ71" s="76">
        <v>0.09</v>
      </c>
      <c r="DE71" s="25" t="s">
        <v>1568</v>
      </c>
    </row>
    <row r="72" spans="2:111" ht="15" customHeight="1">
      <c r="B72" s="2" t="s">
        <v>1214</v>
      </c>
      <c r="AV72" s="2">
        <v>3282</v>
      </c>
      <c r="AW72" s="2">
        <v>3359</v>
      </c>
      <c r="AX72" s="2">
        <v>3442</v>
      </c>
      <c r="AY72" s="2">
        <v>3459</v>
      </c>
      <c r="AZ72" s="2">
        <v>3494</v>
      </c>
      <c r="BA72" s="2">
        <v>3473</v>
      </c>
      <c r="BB72" s="2">
        <v>3431</v>
      </c>
      <c r="BC72" s="2">
        <v>3434</v>
      </c>
      <c r="BD72" s="2">
        <v>3314</v>
      </c>
      <c r="BE72" s="2">
        <v>3525</v>
      </c>
      <c r="BF72" s="2">
        <v>3749</v>
      </c>
      <c r="BG72" s="2">
        <v>3883</v>
      </c>
      <c r="BH72" s="2">
        <v>3995</v>
      </c>
      <c r="BI72" s="2">
        <v>4333</v>
      </c>
      <c r="BJ72" s="2">
        <v>4593</v>
      </c>
      <c r="BK72" s="2">
        <v>4883</v>
      </c>
      <c r="BL72" s="2">
        <v>4843</v>
      </c>
      <c r="BM72" s="2">
        <v>5026</v>
      </c>
      <c r="BN72" s="2">
        <v>5044</v>
      </c>
      <c r="BO72" s="2">
        <v>5292</v>
      </c>
      <c r="BP72" s="2">
        <v>4774</v>
      </c>
      <c r="BQ72" s="2">
        <v>5105</v>
      </c>
      <c r="CR72" s="37">
        <f t="shared" si="203"/>
        <v>3282</v>
      </c>
      <c r="CS72" s="2">
        <f t="shared" si="204"/>
        <v>3494</v>
      </c>
      <c r="CT72" s="2">
        <f t="shared" si="205"/>
        <v>3314</v>
      </c>
      <c r="CU72" s="2">
        <f t="shared" si="206"/>
        <v>3995</v>
      </c>
      <c r="CV72" s="2">
        <f t="shared" si="207"/>
        <v>4843</v>
      </c>
      <c r="CW72" s="2">
        <f t="shared" si="201"/>
        <v>4774</v>
      </c>
      <c r="CY72" s="75" t="s">
        <v>1570</v>
      </c>
      <c r="CZ72" s="76">
        <v>0.03</v>
      </c>
    </row>
    <row r="73" spans="2:111" ht="15" customHeight="1">
      <c r="B73" s="2" t="s">
        <v>1215</v>
      </c>
      <c r="AV73" s="2">
        <v>760</v>
      </c>
      <c r="AW73" s="2">
        <v>683</v>
      </c>
      <c r="AX73" s="2">
        <v>537</v>
      </c>
      <c r="AY73" s="2">
        <v>499</v>
      </c>
      <c r="AZ73" s="2">
        <v>488</v>
      </c>
      <c r="BA73" s="2">
        <v>578</v>
      </c>
      <c r="BB73" s="2">
        <v>562</v>
      </c>
      <c r="BC73" s="2">
        <v>570</v>
      </c>
      <c r="BD73" s="2">
        <v>662</v>
      </c>
      <c r="BE73" s="2">
        <v>679</v>
      </c>
      <c r="BF73" s="2">
        <v>804</v>
      </c>
      <c r="BG73" s="2">
        <v>835</v>
      </c>
      <c r="BH73" s="2">
        <v>787</v>
      </c>
      <c r="BI73" s="2">
        <v>850</v>
      </c>
      <c r="BJ73" s="2">
        <v>819</v>
      </c>
      <c r="BK73" s="2">
        <v>950</v>
      </c>
      <c r="BL73" s="2">
        <v>857</v>
      </c>
      <c r="BM73" s="2">
        <v>986</v>
      </c>
      <c r="BN73" s="2">
        <v>1022</v>
      </c>
      <c r="BO73" s="2">
        <v>961</v>
      </c>
      <c r="BP73" s="2">
        <v>1593</v>
      </c>
      <c r="BQ73" s="2">
        <v>1547</v>
      </c>
      <c r="CR73" s="37">
        <f t="shared" si="203"/>
        <v>760</v>
      </c>
      <c r="CS73" s="2">
        <f t="shared" si="204"/>
        <v>488</v>
      </c>
      <c r="CT73" s="2">
        <f t="shared" si="205"/>
        <v>662</v>
      </c>
      <c r="CU73" s="2">
        <f t="shared" si="206"/>
        <v>787</v>
      </c>
      <c r="CV73" s="2">
        <f t="shared" si="207"/>
        <v>857</v>
      </c>
      <c r="CW73" s="2">
        <f t="shared" si="201"/>
        <v>1593</v>
      </c>
      <c r="CY73" s="75" t="s">
        <v>1571</v>
      </c>
      <c r="CZ73" s="76">
        <v>4.3799999999999999E-2</v>
      </c>
    </row>
    <row r="74" spans="2:111" ht="15" customHeight="1">
      <c r="B74" s="2" t="s">
        <v>1216</v>
      </c>
      <c r="AV74" s="2">
        <v>2567</v>
      </c>
      <c r="AW74" s="2">
        <v>2607</v>
      </c>
      <c r="AX74" s="2">
        <v>2527</v>
      </c>
      <c r="AY74" s="2">
        <v>2529</v>
      </c>
      <c r="AZ74" s="2">
        <v>2752</v>
      </c>
      <c r="BA74" s="2">
        <v>2710</v>
      </c>
      <c r="BB74" s="2">
        <v>2738</v>
      </c>
      <c r="BC74" s="2">
        <v>2746</v>
      </c>
      <c r="BD74" s="2">
        <v>2833</v>
      </c>
      <c r="BE74" s="2">
        <v>2793</v>
      </c>
      <c r="BF74" s="2">
        <v>2803</v>
      </c>
      <c r="BG74" s="2">
        <v>2798</v>
      </c>
      <c r="BH74" s="2">
        <v>2970</v>
      </c>
      <c r="BI74" s="2">
        <v>3037</v>
      </c>
      <c r="BJ74" s="2">
        <v>3082</v>
      </c>
      <c r="BK74" s="2">
        <v>3106</v>
      </c>
      <c r="BL74" s="2">
        <v>3215</v>
      </c>
      <c r="BM74" s="2">
        <v>3260</v>
      </c>
      <c r="BN74" s="2">
        <v>3318</v>
      </c>
      <c r="BO74" s="2">
        <v>3429</v>
      </c>
      <c r="BP74" s="2">
        <v>3448</v>
      </c>
      <c r="BQ74" s="2">
        <v>3536</v>
      </c>
      <c r="CR74" s="37">
        <f t="shared" si="203"/>
        <v>2567</v>
      </c>
      <c r="CS74" s="2">
        <f t="shared" si="204"/>
        <v>2752</v>
      </c>
      <c r="CT74" s="2">
        <f t="shared" si="205"/>
        <v>2833</v>
      </c>
      <c r="CU74" s="2">
        <f t="shared" si="206"/>
        <v>2970</v>
      </c>
      <c r="CV74" s="2">
        <f t="shared" si="207"/>
        <v>3215</v>
      </c>
      <c r="CW74" s="2">
        <f t="shared" si="201"/>
        <v>3448</v>
      </c>
      <c r="CY74" s="75" t="s">
        <v>1572</v>
      </c>
      <c r="CZ74" s="76">
        <f>7%-CZ73</f>
        <v>2.6200000000000008E-2</v>
      </c>
    </row>
    <row r="75" spans="2:111" ht="15" customHeight="1">
      <c r="B75" s="2" t="s">
        <v>1217</v>
      </c>
      <c r="AV75" s="2">
        <v>9069</v>
      </c>
      <c r="AW75" s="2">
        <v>9025</v>
      </c>
      <c r="AX75" s="2">
        <v>9074</v>
      </c>
      <c r="AY75" s="2">
        <v>9128</v>
      </c>
      <c r="AZ75" s="2">
        <v>12778</v>
      </c>
      <c r="BA75" s="2">
        <v>12803</v>
      </c>
      <c r="BB75" s="2">
        <v>12802</v>
      </c>
      <c r="BC75" s="2">
        <v>12893</v>
      </c>
      <c r="BD75" s="2">
        <v>12918</v>
      </c>
      <c r="BE75" s="2">
        <v>15228</v>
      </c>
      <c r="BF75" s="2">
        <v>15115</v>
      </c>
      <c r="BG75" s="2">
        <v>14993</v>
      </c>
      <c r="BH75" s="2">
        <v>14880</v>
      </c>
      <c r="BI75" s="2">
        <v>14849</v>
      </c>
      <c r="BJ75" s="2">
        <v>15172</v>
      </c>
      <c r="BK75" s="2">
        <v>15138</v>
      </c>
      <c r="BL75" s="2">
        <v>15243</v>
      </c>
      <c r="BM75" s="2">
        <v>15351</v>
      </c>
      <c r="BN75" s="2">
        <v>15408</v>
      </c>
      <c r="BO75" s="2">
        <v>16396</v>
      </c>
      <c r="BP75" s="2">
        <v>15855</v>
      </c>
      <c r="BQ75" s="2">
        <v>19089</v>
      </c>
      <c r="CR75" s="37">
        <f t="shared" si="203"/>
        <v>9069</v>
      </c>
      <c r="CS75" s="2">
        <f t="shared" si="204"/>
        <v>12778</v>
      </c>
      <c r="CT75" s="2">
        <f t="shared" si="205"/>
        <v>12918</v>
      </c>
      <c r="CU75" s="2">
        <f t="shared" si="206"/>
        <v>14880</v>
      </c>
      <c r="CV75" s="2">
        <f t="shared" si="207"/>
        <v>15243</v>
      </c>
      <c r="CW75" s="2">
        <f t="shared" si="201"/>
        <v>15855</v>
      </c>
      <c r="CY75" s="75" t="s">
        <v>1573</v>
      </c>
      <c r="CZ75" s="74">
        <v>0.94</v>
      </c>
    </row>
    <row r="76" spans="2:111" ht="15" customHeight="1">
      <c r="B76" s="2" t="s">
        <v>1218</v>
      </c>
      <c r="AV76" s="2">
        <v>4227</v>
      </c>
      <c r="AW76" s="2">
        <v>4107</v>
      </c>
      <c r="AX76" s="2">
        <v>4012</v>
      </c>
      <c r="AY76" s="2">
        <v>3917</v>
      </c>
      <c r="AZ76" s="2">
        <v>5554</v>
      </c>
      <c r="BA76" s="2">
        <v>5378</v>
      </c>
      <c r="BB76" s="2">
        <v>5261</v>
      </c>
      <c r="BC76" s="2">
        <v>5058</v>
      </c>
      <c r="BD76" s="2">
        <v>4840</v>
      </c>
      <c r="BE76" s="2">
        <v>5430</v>
      </c>
      <c r="BF76" s="2">
        <v>5245</v>
      </c>
      <c r="BG76" s="2">
        <v>5053</v>
      </c>
      <c r="BH76" s="2">
        <v>4885</v>
      </c>
      <c r="BI76" s="2">
        <v>4779</v>
      </c>
      <c r="BJ76" s="2">
        <v>4917</v>
      </c>
      <c r="BK76" s="2">
        <v>4731</v>
      </c>
      <c r="BL76" s="2">
        <v>4593</v>
      </c>
      <c r="BM76" s="2">
        <v>4509</v>
      </c>
      <c r="BN76" s="2">
        <v>4363</v>
      </c>
      <c r="BO76" s="2">
        <v>4940</v>
      </c>
      <c r="BP76" s="2">
        <v>4395</v>
      </c>
      <c r="BQ76" s="2">
        <v>6132</v>
      </c>
      <c r="CR76" s="37">
        <f t="shared" si="203"/>
        <v>4227</v>
      </c>
      <c r="CS76" s="2">
        <f t="shared" si="204"/>
        <v>5554</v>
      </c>
      <c r="CT76" s="2">
        <f t="shared" si="205"/>
        <v>4840</v>
      </c>
      <c r="CU76" s="2">
        <f t="shared" si="206"/>
        <v>4885</v>
      </c>
      <c r="CV76" s="2">
        <f t="shared" si="207"/>
        <v>4593</v>
      </c>
      <c r="CW76" s="2">
        <f t="shared" si="201"/>
        <v>4395</v>
      </c>
      <c r="CY76" s="75" t="s">
        <v>1574</v>
      </c>
      <c r="CZ76" s="76">
        <f>+CZ73+(CZ74*CZ75)</f>
        <v>6.8428000000000003E-2</v>
      </c>
    </row>
    <row r="77" spans="2:111" ht="15" customHeight="1">
      <c r="B77" s="2" t="s">
        <v>1219</v>
      </c>
      <c r="AV77" s="2">
        <v>1575</v>
      </c>
      <c r="AW77" s="2">
        <v>1537</v>
      </c>
      <c r="AX77" s="2">
        <v>1570</v>
      </c>
      <c r="AY77" s="2">
        <v>1627</v>
      </c>
      <c r="AZ77" s="2">
        <v>1530</v>
      </c>
      <c r="BA77" s="2">
        <v>1519</v>
      </c>
      <c r="BB77" s="2">
        <v>1751</v>
      </c>
      <c r="BC77" s="2">
        <v>1860</v>
      </c>
      <c r="BD77" s="2">
        <v>1760</v>
      </c>
      <c r="BE77" s="2">
        <v>1602</v>
      </c>
      <c r="BF77" s="2">
        <v>1625</v>
      </c>
      <c r="BG77" s="2">
        <v>1390</v>
      </c>
      <c r="BH77" s="2">
        <v>1410</v>
      </c>
      <c r="BI77" s="2">
        <v>1443</v>
      </c>
      <c r="BJ77" s="2">
        <v>1439</v>
      </c>
      <c r="BK77" s="2">
        <v>1406</v>
      </c>
      <c r="BL77" s="2">
        <v>1670</v>
      </c>
      <c r="BM77" s="2">
        <v>1641</v>
      </c>
      <c r="BN77" s="2">
        <v>1606</v>
      </c>
      <c r="BO77" s="2">
        <v>1562</v>
      </c>
      <c r="BP77" s="2">
        <v>1742</v>
      </c>
      <c r="BQ77" s="2">
        <v>1411</v>
      </c>
      <c r="CR77" s="37">
        <f t="shared" si="203"/>
        <v>1575</v>
      </c>
      <c r="CS77" s="2">
        <f t="shared" si="204"/>
        <v>1530</v>
      </c>
      <c r="CT77" s="2">
        <f t="shared" si="205"/>
        <v>1760</v>
      </c>
      <c r="CU77" s="2">
        <f t="shared" si="206"/>
        <v>1410</v>
      </c>
      <c r="CV77" s="2">
        <f t="shared" si="207"/>
        <v>1670</v>
      </c>
      <c r="CW77" s="2">
        <f t="shared" si="201"/>
        <v>1742</v>
      </c>
      <c r="CY77" s="75"/>
      <c r="CZ77" s="74"/>
    </row>
    <row r="78" spans="2:111" ht="15" customHeight="1">
      <c r="B78" s="2" t="s">
        <v>1220</v>
      </c>
      <c r="AV78" s="2">
        <v>1369</v>
      </c>
      <c r="AW78" s="2">
        <v>1428</v>
      </c>
      <c r="AX78" s="2">
        <v>1499</v>
      </c>
      <c r="AY78" s="2">
        <v>1540</v>
      </c>
      <c r="AZ78" s="2">
        <v>2009</v>
      </c>
      <c r="BA78" s="2">
        <v>2066</v>
      </c>
      <c r="BB78" s="2">
        <v>2114</v>
      </c>
      <c r="BC78" s="2">
        <v>2128</v>
      </c>
      <c r="BD78" s="2">
        <v>2263</v>
      </c>
      <c r="BE78" s="2">
        <v>2359</v>
      </c>
      <c r="BF78" s="2">
        <v>2419</v>
      </c>
      <c r="BG78" s="2">
        <v>2431</v>
      </c>
      <c r="BH78" s="2">
        <v>2464</v>
      </c>
      <c r="BI78" s="2">
        <v>2567</v>
      </c>
      <c r="BJ78" s="2">
        <v>2648</v>
      </c>
      <c r="BK78" s="2">
        <v>2616</v>
      </c>
      <c r="BL78" s="2">
        <v>2673</v>
      </c>
      <c r="BM78" s="2">
        <v>2749</v>
      </c>
      <c r="BN78" s="2">
        <v>2790</v>
      </c>
      <c r="BO78" s="2">
        <v>2833</v>
      </c>
      <c r="BP78" s="2">
        <v>2684</v>
      </c>
      <c r="BQ78" s="2">
        <v>2816</v>
      </c>
      <c r="CR78" s="37">
        <f t="shared" si="203"/>
        <v>1369</v>
      </c>
      <c r="CS78" s="2">
        <f t="shared" si="204"/>
        <v>2009</v>
      </c>
      <c r="CT78" s="2">
        <f t="shared" si="205"/>
        <v>2263</v>
      </c>
      <c r="CU78" s="2">
        <f t="shared" si="206"/>
        <v>2464</v>
      </c>
      <c r="CV78" s="2">
        <f t="shared" si="207"/>
        <v>2673</v>
      </c>
      <c r="CW78" s="2">
        <f t="shared" si="201"/>
        <v>2684</v>
      </c>
      <c r="CY78" s="75" t="s">
        <v>1575</v>
      </c>
      <c r="CZ78" s="78">
        <f>NPV(CZ76,CX57:EQ57)</f>
        <v>151758.61006086494</v>
      </c>
    </row>
    <row r="79" spans="2:111" ht="15" customHeight="1">
      <c r="B79" s="2" t="s">
        <v>1226</v>
      </c>
      <c r="AV79" s="2">
        <f t="shared" ref="AV79:BP79" si="208">SUM(AV68:AV78)</f>
        <v>30167</v>
      </c>
      <c r="AW79" s="2">
        <f t="shared" si="208"/>
        <v>29440</v>
      </c>
      <c r="AX79" s="2">
        <f t="shared" si="208"/>
        <v>31483</v>
      </c>
      <c r="AY79" s="2">
        <f t="shared" si="208"/>
        <v>32286</v>
      </c>
      <c r="AZ79" s="2">
        <f t="shared" si="208"/>
        <v>34330</v>
      </c>
      <c r="BA79" s="2">
        <f t="shared" si="208"/>
        <v>33455</v>
      </c>
      <c r="BB79" s="2">
        <f t="shared" si="208"/>
        <v>33698</v>
      </c>
      <c r="BC79" s="2">
        <f t="shared" si="208"/>
        <v>34145</v>
      </c>
      <c r="BD79" s="2">
        <f t="shared" si="208"/>
        <v>34631</v>
      </c>
      <c r="BE79" s="2">
        <f t="shared" si="208"/>
        <v>36137</v>
      </c>
      <c r="BF79" s="2">
        <f t="shared" si="208"/>
        <v>36032</v>
      </c>
      <c r="BG79" s="2">
        <f t="shared" si="208"/>
        <v>35983</v>
      </c>
      <c r="BH79" s="2">
        <f t="shared" si="208"/>
        <v>36884</v>
      </c>
      <c r="BI79" s="2">
        <f t="shared" si="208"/>
        <v>36830</v>
      </c>
      <c r="BJ79" s="2">
        <f t="shared" si="208"/>
        <v>37409</v>
      </c>
      <c r="BK79" s="2">
        <f t="shared" si="208"/>
        <v>38042</v>
      </c>
      <c r="BL79" s="2">
        <f t="shared" si="208"/>
        <v>39912</v>
      </c>
      <c r="BM79" s="2">
        <f t="shared" si="208"/>
        <v>39402</v>
      </c>
      <c r="BN79" s="2">
        <f>SUM(BN68:BN78)</f>
        <v>39130</v>
      </c>
      <c r="BO79" s="2">
        <f t="shared" si="208"/>
        <v>43833</v>
      </c>
      <c r="BP79" s="2">
        <f t="shared" si="208"/>
        <v>42971</v>
      </c>
      <c r="BQ79" s="2">
        <f>SUM(BQ68:BQ78)</f>
        <v>46006</v>
      </c>
      <c r="CR79" s="2">
        <f t="shared" ref="CR79" si="209">SUM(CR68:CR78)</f>
        <v>30167</v>
      </c>
      <c r="CS79" s="2">
        <f t="shared" ref="CS79" si="210">SUM(CS68:CS78)</f>
        <v>34330</v>
      </c>
      <c r="CT79" s="2">
        <f t="shared" ref="CT79" si="211">SUM(CT68:CT78)</f>
        <v>34631</v>
      </c>
      <c r="CU79" s="2">
        <f t="shared" ref="CU79:CW79" si="212">SUM(CU68:CU78)</f>
        <v>36884</v>
      </c>
      <c r="CV79" s="2">
        <f t="shared" si="212"/>
        <v>39912</v>
      </c>
      <c r="CW79" s="2">
        <f t="shared" si="212"/>
        <v>42971</v>
      </c>
      <c r="CY79" s="75" t="s">
        <v>1208</v>
      </c>
      <c r="CZ79" s="78">
        <f>Main!C6</f>
        <v>382.16399999999999</v>
      </c>
    </row>
    <row r="80" spans="2:111" ht="15" customHeight="1">
      <c r="CY80" s="75" t="s">
        <v>1576</v>
      </c>
      <c r="CZ80" s="77">
        <f>CZ78/CZ79</f>
        <v>397.10336416005941</v>
      </c>
    </row>
    <row r="81" spans="2:105" ht="15" customHeight="1">
      <c r="B81" s="2" t="s">
        <v>1221</v>
      </c>
      <c r="AV81" s="2">
        <v>675</v>
      </c>
      <c r="AW81" s="2">
        <v>736</v>
      </c>
      <c r="AX81" s="2">
        <v>635</v>
      </c>
      <c r="AY81" s="2">
        <v>647</v>
      </c>
      <c r="AZ81" s="2">
        <v>810</v>
      </c>
      <c r="BA81" s="2">
        <v>767</v>
      </c>
      <c r="BB81" s="2">
        <v>864</v>
      </c>
      <c r="BC81" s="2">
        <v>934</v>
      </c>
      <c r="BD81" s="2">
        <v>1129</v>
      </c>
      <c r="BE81" s="2">
        <v>1084</v>
      </c>
      <c r="BF81" s="2">
        <v>1160</v>
      </c>
      <c r="BG81" s="2">
        <v>1213</v>
      </c>
      <c r="BH81" s="2">
        <v>1413</v>
      </c>
      <c r="BI81" s="2">
        <v>1366</v>
      </c>
      <c r="BJ81" s="2">
        <v>1326</v>
      </c>
      <c r="BK81" s="2">
        <v>1296</v>
      </c>
      <c r="BL81" s="2">
        <v>1517</v>
      </c>
      <c r="BM81" s="2">
        <v>1246</v>
      </c>
      <c r="BN81" s="2">
        <v>1304</v>
      </c>
      <c r="BO81" s="2">
        <v>1337</v>
      </c>
      <c r="BP81" s="2">
        <v>1679</v>
      </c>
      <c r="BQ81" s="2">
        <v>1464</v>
      </c>
      <c r="CR81" s="37">
        <f t="shared" ref="CR81:CR91" si="213">AV81</f>
        <v>675</v>
      </c>
      <c r="CS81" s="2">
        <f t="shared" ref="CS81:CS91" si="214">AZ81</f>
        <v>810</v>
      </c>
      <c r="CT81" s="2">
        <f t="shared" ref="CT81:CT91" si="215">BD81</f>
        <v>1129</v>
      </c>
      <c r="CU81" s="2">
        <f t="shared" ref="CU81:CU91" si="216">BH81</f>
        <v>1413</v>
      </c>
      <c r="CV81" s="2">
        <f t="shared" ref="CV81:CV91" si="217">BL81</f>
        <v>1517</v>
      </c>
      <c r="CW81" s="2">
        <f t="shared" ref="CW81:CW91" si="218">BP81</f>
        <v>1679</v>
      </c>
      <c r="CY81" s="75" t="s">
        <v>1577</v>
      </c>
      <c r="CZ81" s="77">
        <v>380.92</v>
      </c>
    </row>
    <row r="82" spans="2:105" ht="15" customHeight="1">
      <c r="B82" s="2" t="s">
        <v>1222</v>
      </c>
      <c r="AV82" s="2">
        <v>955</v>
      </c>
      <c r="AW82" s="2">
        <v>430</v>
      </c>
      <c r="AX82" s="2">
        <v>528</v>
      </c>
      <c r="AY82" s="2">
        <v>680</v>
      </c>
      <c r="AZ82" s="2">
        <v>925</v>
      </c>
      <c r="BA82" s="2">
        <v>689</v>
      </c>
      <c r="BB82" s="2">
        <v>890</v>
      </c>
      <c r="BC82" s="2">
        <v>976</v>
      </c>
      <c r="BD82" s="2">
        <v>1092</v>
      </c>
      <c r="BE82" s="2">
        <v>703</v>
      </c>
      <c r="BF82" s="2">
        <v>779</v>
      </c>
      <c r="BG82" s="2">
        <v>927</v>
      </c>
      <c r="BH82" s="2">
        <v>1149</v>
      </c>
      <c r="BI82" s="2">
        <v>713</v>
      </c>
      <c r="BJ82" s="2">
        <v>929</v>
      </c>
      <c r="BK82" s="2">
        <v>1223</v>
      </c>
      <c r="BL82" s="2">
        <v>1478</v>
      </c>
      <c r="BM82" s="2">
        <v>778</v>
      </c>
      <c r="BN82" s="2">
        <v>887</v>
      </c>
      <c r="BO82" s="2">
        <v>1250</v>
      </c>
      <c r="BP82" s="2">
        <v>1403</v>
      </c>
      <c r="BQ82" s="2">
        <v>919</v>
      </c>
      <c r="CR82" s="37">
        <f t="shared" si="213"/>
        <v>955</v>
      </c>
      <c r="CS82" s="2">
        <f t="shared" si="214"/>
        <v>925</v>
      </c>
      <c r="CT82" s="2">
        <f t="shared" si="215"/>
        <v>1092</v>
      </c>
      <c r="CU82" s="2">
        <f t="shared" si="216"/>
        <v>1149</v>
      </c>
      <c r="CV82" s="2">
        <f t="shared" si="217"/>
        <v>1478</v>
      </c>
      <c r="CW82" s="2">
        <f t="shared" si="218"/>
        <v>1403</v>
      </c>
      <c r="CY82" s="75" t="s">
        <v>1578</v>
      </c>
      <c r="CZ82" s="76">
        <f>CZ80/CZ81-1</f>
        <v>4.2484942140237791E-2</v>
      </c>
      <c r="DA82" s="84" t="str">
        <f>IF(CZ82&gt;0,"Upside","Downside")</f>
        <v>Upside</v>
      </c>
    </row>
    <row r="83" spans="2:105">
      <c r="B83" s="2" t="s">
        <v>20</v>
      </c>
      <c r="AV83" s="2">
        <v>171</v>
      </c>
      <c r="AW83" s="2">
        <v>227</v>
      </c>
      <c r="AX83" s="2">
        <v>214</v>
      </c>
      <c r="AY83" s="2">
        <v>261</v>
      </c>
      <c r="AZ83" s="2">
        <v>207</v>
      </c>
      <c r="BA83" s="2">
        <v>253</v>
      </c>
      <c r="BB83" s="2">
        <v>300</v>
      </c>
      <c r="BC83" s="2">
        <v>373</v>
      </c>
      <c r="BD83" s="2">
        <v>192</v>
      </c>
      <c r="BE83" s="2">
        <v>173</v>
      </c>
      <c r="BF83" s="2">
        <v>300</v>
      </c>
      <c r="BG83" s="2">
        <v>243</v>
      </c>
      <c r="BH83" s="2">
        <v>292</v>
      </c>
      <c r="BI83" s="2">
        <v>371</v>
      </c>
      <c r="BJ83" s="2">
        <v>298</v>
      </c>
      <c r="BK83" s="2">
        <v>407</v>
      </c>
      <c r="BL83" s="2">
        <v>391</v>
      </c>
      <c r="BM83" s="2">
        <v>444</v>
      </c>
      <c r="BN83" s="2">
        <v>334</v>
      </c>
      <c r="BO83" s="2">
        <v>394</v>
      </c>
      <c r="BP83" s="2">
        <v>539</v>
      </c>
      <c r="BQ83" s="2">
        <v>599</v>
      </c>
      <c r="CR83" s="37">
        <f t="shared" si="213"/>
        <v>171</v>
      </c>
      <c r="CS83" s="2">
        <f t="shared" si="214"/>
        <v>207</v>
      </c>
      <c r="CT83" s="2">
        <f t="shared" si="215"/>
        <v>192</v>
      </c>
      <c r="CU83" s="2">
        <f t="shared" si="216"/>
        <v>292</v>
      </c>
      <c r="CV83" s="2">
        <f t="shared" si="217"/>
        <v>391</v>
      </c>
      <c r="CW83" s="2">
        <f t="shared" si="218"/>
        <v>539</v>
      </c>
    </row>
    <row r="84" spans="2:105">
      <c r="B84" s="2" t="s">
        <v>1223</v>
      </c>
      <c r="AV84" s="2">
        <v>213</v>
      </c>
      <c r="AW84" s="2">
        <v>216</v>
      </c>
      <c r="AX84" s="2">
        <v>216</v>
      </c>
      <c r="AY84" s="2">
        <v>216</v>
      </c>
      <c r="AZ84" s="2">
        <v>237</v>
      </c>
      <c r="BA84" s="2">
        <v>237</v>
      </c>
      <c r="BB84" s="2">
        <v>238</v>
      </c>
      <c r="BC84" s="2">
        <v>238</v>
      </c>
      <c r="BD84" s="2">
        <v>263</v>
      </c>
      <c r="BE84" s="2">
        <v>263</v>
      </c>
      <c r="BF84" s="2">
        <v>263</v>
      </c>
      <c r="BG84" s="2">
        <v>263</v>
      </c>
      <c r="BH84" s="2">
        <v>284</v>
      </c>
      <c r="BI84" s="2">
        <v>285</v>
      </c>
      <c r="BJ84" s="2">
        <v>284</v>
      </c>
      <c r="BK84" s="2">
        <v>285</v>
      </c>
      <c r="BL84" s="2">
        <v>304</v>
      </c>
      <c r="BM84" s="2">
        <v>305</v>
      </c>
      <c r="BN84" s="2">
        <v>305</v>
      </c>
      <c r="BO84" s="2">
        <v>305</v>
      </c>
      <c r="BP84" s="2">
        <v>320</v>
      </c>
      <c r="BQ84" s="2">
        <v>320</v>
      </c>
      <c r="CR84" s="37">
        <f t="shared" si="213"/>
        <v>213</v>
      </c>
      <c r="CS84" s="2">
        <f t="shared" si="214"/>
        <v>237</v>
      </c>
      <c r="CT84" s="2">
        <f t="shared" si="215"/>
        <v>263</v>
      </c>
      <c r="CU84" s="2">
        <f t="shared" si="216"/>
        <v>284</v>
      </c>
      <c r="CV84" s="2">
        <f t="shared" si="217"/>
        <v>304</v>
      </c>
      <c r="CW84" s="2">
        <f t="shared" si="218"/>
        <v>320</v>
      </c>
    </row>
    <row r="85" spans="2:105">
      <c r="B85" s="2" t="s">
        <v>1224</v>
      </c>
      <c r="AV85" s="2">
        <v>1527</v>
      </c>
      <c r="AW85" s="2">
        <v>1450</v>
      </c>
      <c r="AX85" s="2">
        <v>1702</v>
      </c>
      <c r="AY85" s="2">
        <v>1766</v>
      </c>
      <c r="AZ85" s="2">
        <f>515+1586</f>
        <v>2101</v>
      </c>
      <c r="BA85" s="2">
        <f>505+1487</f>
        <v>1992</v>
      </c>
      <c r="BB85" s="2">
        <f>444+1510</f>
        <v>1954</v>
      </c>
      <c r="BC85" s="2">
        <f>439+1467</f>
        <v>1906</v>
      </c>
      <c r="BD85" s="2">
        <f>401+1465</f>
        <v>1866</v>
      </c>
      <c r="BE85" s="2">
        <f>430+1541</f>
        <v>1971</v>
      </c>
      <c r="BF85" s="2">
        <f>400+1495</f>
        <v>1895</v>
      </c>
      <c r="BG85" s="2">
        <f>391+1526</f>
        <v>1917</v>
      </c>
      <c r="BH85" s="2">
        <f>230+1744</f>
        <v>1974</v>
      </c>
      <c r="BI85" s="2">
        <f>227+1700</f>
        <v>1927</v>
      </c>
      <c r="BJ85" s="2">
        <f>220+1729</f>
        <v>1949</v>
      </c>
      <c r="BK85" s="2">
        <f>224+1715</f>
        <v>1939</v>
      </c>
      <c r="BL85" s="2">
        <v>2137</v>
      </c>
      <c r="BM85" s="2">
        <v>2124</v>
      </c>
      <c r="BN85" s="2">
        <v>2001</v>
      </c>
      <c r="BO85" s="2">
        <v>2224</v>
      </c>
      <c r="BP85" s="2">
        <v>2266</v>
      </c>
      <c r="BQ85" s="2">
        <v>2229</v>
      </c>
      <c r="CR85" s="37">
        <f t="shared" si="213"/>
        <v>1527</v>
      </c>
      <c r="CS85" s="2">
        <f t="shared" si="214"/>
        <v>2101</v>
      </c>
      <c r="CT85" s="2">
        <f t="shared" si="215"/>
        <v>1866</v>
      </c>
      <c r="CU85" s="2">
        <f t="shared" si="216"/>
        <v>1974</v>
      </c>
      <c r="CV85" s="2">
        <f t="shared" si="217"/>
        <v>2137</v>
      </c>
      <c r="CW85" s="2">
        <f t="shared" si="218"/>
        <v>2266</v>
      </c>
    </row>
    <row r="86" spans="2:105">
      <c r="B86" s="2" t="s">
        <v>1237</v>
      </c>
      <c r="AV86" s="2">
        <v>859</v>
      </c>
      <c r="AW86" s="2">
        <v>1103</v>
      </c>
      <c r="AX86" s="2">
        <v>1110</v>
      </c>
      <c r="AY86" s="2">
        <v>1119</v>
      </c>
      <c r="AZ86" s="2">
        <v>761</v>
      </c>
      <c r="BA86" s="2">
        <v>15</v>
      </c>
      <c r="BB86" s="2">
        <v>6</v>
      </c>
      <c r="BC86" s="2">
        <v>22</v>
      </c>
      <c r="BD86" s="2">
        <v>7</v>
      </c>
      <c r="BE86" s="2">
        <v>214</v>
      </c>
      <c r="BF86" s="2">
        <v>7</v>
      </c>
      <c r="BG86" s="2">
        <v>8</v>
      </c>
      <c r="BH86" s="2">
        <v>1191</v>
      </c>
      <c r="BI86" s="2">
        <v>1204</v>
      </c>
      <c r="BJ86" s="2">
        <v>1798</v>
      </c>
      <c r="BK86" s="2">
        <v>2308</v>
      </c>
      <c r="BL86" s="2">
        <v>2094</v>
      </c>
      <c r="BM86" s="2">
        <v>2058</v>
      </c>
      <c r="BN86" s="2">
        <v>2095</v>
      </c>
      <c r="BO86" s="2">
        <v>2159</v>
      </c>
      <c r="BP86" s="2">
        <v>1409</v>
      </c>
      <c r="BQ86" s="2">
        <v>2398</v>
      </c>
      <c r="CR86" s="37">
        <f t="shared" si="213"/>
        <v>859</v>
      </c>
      <c r="CS86" s="2">
        <f t="shared" si="214"/>
        <v>761</v>
      </c>
      <c r="CT86" s="2">
        <f t="shared" si="215"/>
        <v>7</v>
      </c>
      <c r="CU86" s="2">
        <f t="shared" si="216"/>
        <v>1191</v>
      </c>
      <c r="CV86" s="2">
        <f t="shared" si="217"/>
        <v>2094</v>
      </c>
      <c r="CW86" s="2">
        <f t="shared" si="218"/>
        <v>1409</v>
      </c>
    </row>
    <row r="87" spans="2:105">
      <c r="B87" s="2" t="s">
        <v>1236</v>
      </c>
      <c r="AV87" s="2">
        <v>10231</v>
      </c>
      <c r="AW87" s="2">
        <v>9404</v>
      </c>
      <c r="AX87" s="2">
        <v>11811</v>
      </c>
      <c r="AY87" s="2">
        <v>12008</v>
      </c>
      <c r="AZ87" s="2">
        <v>13230</v>
      </c>
      <c r="BA87" s="2">
        <v>13059</v>
      </c>
      <c r="BB87" s="2">
        <v>12734</v>
      </c>
      <c r="BC87" s="2">
        <v>12629</v>
      </c>
      <c r="BD87" s="2">
        <v>12472</v>
      </c>
      <c r="BE87" s="2">
        <v>13885</v>
      </c>
      <c r="BF87" s="2">
        <v>13374</v>
      </c>
      <c r="BG87" s="2">
        <v>12751</v>
      </c>
      <c r="BH87" s="2">
        <v>11857</v>
      </c>
      <c r="BI87" s="2">
        <v>11857</v>
      </c>
      <c r="BJ87" s="2">
        <v>11149</v>
      </c>
      <c r="BK87" s="2">
        <v>10382</v>
      </c>
      <c r="BL87" s="2">
        <v>10901</v>
      </c>
      <c r="BM87" s="2">
        <v>10807</v>
      </c>
      <c r="BN87" s="2">
        <v>10127</v>
      </c>
      <c r="BO87" s="2">
        <v>13325</v>
      </c>
      <c r="BP87" s="2">
        <v>12188</v>
      </c>
      <c r="BQ87" s="2">
        <v>14383</v>
      </c>
      <c r="CR87" s="37">
        <f t="shared" si="213"/>
        <v>10231</v>
      </c>
      <c r="CS87" s="2">
        <f t="shared" si="214"/>
        <v>13230</v>
      </c>
      <c r="CT87" s="2">
        <f t="shared" si="215"/>
        <v>12472</v>
      </c>
      <c r="CU87" s="2">
        <f t="shared" si="216"/>
        <v>11857</v>
      </c>
      <c r="CV87" s="2">
        <f t="shared" si="217"/>
        <v>10901</v>
      </c>
      <c r="CW87" s="2">
        <f t="shared" si="218"/>
        <v>12188</v>
      </c>
    </row>
    <row r="88" spans="2:105">
      <c r="B88" s="2" t="s">
        <v>1225</v>
      </c>
      <c r="AV88" s="2">
        <v>1068</v>
      </c>
      <c r="AW88" s="2">
        <v>1026</v>
      </c>
      <c r="AX88" s="2">
        <v>990</v>
      </c>
      <c r="AY88" s="2">
        <v>999</v>
      </c>
      <c r="AZ88" s="2">
        <v>990</v>
      </c>
      <c r="BA88" s="2">
        <v>986</v>
      </c>
      <c r="BB88" s="2">
        <v>927</v>
      </c>
      <c r="BC88" s="2">
        <v>929</v>
      </c>
      <c r="BD88" s="2">
        <v>913</v>
      </c>
      <c r="BE88" s="2">
        <v>917</v>
      </c>
      <c r="BF88" s="2">
        <v>787</v>
      </c>
      <c r="BG88" s="2">
        <v>921</v>
      </c>
      <c r="BH88" s="2">
        <v>641</v>
      </c>
      <c r="BI88" s="2">
        <v>625</v>
      </c>
      <c r="BJ88" s="2">
        <v>469</v>
      </c>
      <c r="BK88" s="2">
        <v>465</v>
      </c>
      <c r="BL88" s="2">
        <v>567</v>
      </c>
      <c r="BM88" s="2">
        <v>565</v>
      </c>
      <c r="BN88" s="2">
        <v>350</v>
      </c>
      <c r="BO88" s="2">
        <v>368</v>
      </c>
      <c r="BP88" s="2">
        <v>349</v>
      </c>
      <c r="BQ88" s="2">
        <v>372</v>
      </c>
      <c r="CR88" s="37">
        <f t="shared" si="213"/>
        <v>1068</v>
      </c>
      <c r="CS88" s="2">
        <f t="shared" si="214"/>
        <v>990</v>
      </c>
      <c r="CT88" s="2">
        <f t="shared" si="215"/>
        <v>913</v>
      </c>
      <c r="CU88" s="2">
        <f t="shared" si="216"/>
        <v>641</v>
      </c>
      <c r="CV88" s="2">
        <f t="shared" si="217"/>
        <v>567</v>
      </c>
      <c r="CW88" s="2">
        <f t="shared" si="218"/>
        <v>349</v>
      </c>
    </row>
    <row r="89" spans="2:105">
      <c r="B89" s="2" t="s">
        <v>1230</v>
      </c>
      <c r="AV89" s="2">
        <v>1661</v>
      </c>
      <c r="AW89" s="26">
        <v>1733</v>
      </c>
      <c r="AX89" s="26">
        <v>1523</v>
      </c>
      <c r="AY89" s="26">
        <v>1604</v>
      </c>
      <c r="AZ89" s="26">
        <v>1985</v>
      </c>
      <c r="BA89" s="26">
        <v>1955</v>
      </c>
      <c r="BB89" s="26">
        <v>1965</v>
      </c>
      <c r="BC89" s="26">
        <v>1960</v>
      </c>
      <c r="BD89" s="26">
        <v>1820</v>
      </c>
      <c r="BE89" s="26">
        <v>1881</v>
      </c>
      <c r="BF89" s="26">
        <v>1793</v>
      </c>
      <c r="BG89" s="26">
        <v>1577</v>
      </c>
      <c r="BH89" s="26">
        <v>1467</v>
      </c>
      <c r="BI89" s="26">
        <v>1587</v>
      </c>
      <c r="BJ89" s="26">
        <v>1846</v>
      </c>
      <c r="BK89" s="26">
        <v>1832</v>
      </c>
      <c r="BL89" s="26">
        <v>1930</v>
      </c>
      <c r="BM89" s="26">
        <v>1903</v>
      </c>
      <c r="BN89" s="26">
        <v>1965</v>
      </c>
      <c r="BO89" s="26">
        <v>2322</v>
      </c>
      <c r="BP89" s="26">
        <v>2184</v>
      </c>
      <c r="BQ89" s="2">
        <v>2392</v>
      </c>
      <c r="CH89" s="26"/>
      <c r="CI89" s="26"/>
      <c r="CJ89" s="26"/>
      <c r="CK89" s="26"/>
      <c r="CL89" s="26"/>
      <c r="CM89" s="26"/>
      <c r="CN89" s="26"/>
      <c r="CO89" s="26"/>
      <c r="CP89" s="26"/>
      <c r="CQ89" s="26"/>
      <c r="CR89" s="37">
        <f t="shared" si="213"/>
        <v>1661</v>
      </c>
      <c r="CS89" s="2">
        <f t="shared" si="214"/>
        <v>1985</v>
      </c>
      <c r="CT89" s="2">
        <f t="shared" si="215"/>
        <v>1820</v>
      </c>
      <c r="CU89" s="2">
        <f t="shared" si="216"/>
        <v>1467</v>
      </c>
      <c r="CV89" s="2">
        <f t="shared" si="217"/>
        <v>1930</v>
      </c>
      <c r="CW89" s="2">
        <f t="shared" si="218"/>
        <v>2184</v>
      </c>
    </row>
    <row r="90" spans="2:105">
      <c r="B90" s="2" t="s">
        <v>1227</v>
      </c>
      <c r="AV90" s="2">
        <f t="shared" ref="AV90:BP90" si="219">SUM(AV81:AV89)</f>
        <v>17360</v>
      </c>
      <c r="AW90" s="2">
        <f t="shared" si="219"/>
        <v>16325</v>
      </c>
      <c r="AX90" s="2">
        <f t="shared" si="219"/>
        <v>18729</v>
      </c>
      <c r="AY90" s="2">
        <f t="shared" si="219"/>
        <v>19300</v>
      </c>
      <c r="AZ90" s="2">
        <f t="shared" si="219"/>
        <v>21246</v>
      </c>
      <c r="BA90" s="2">
        <f t="shared" si="219"/>
        <v>19953</v>
      </c>
      <c r="BB90" s="2">
        <f t="shared" si="219"/>
        <v>19878</v>
      </c>
      <c r="BC90" s="2">
        <f t="shared" si="219"/>
        <v>19967</v>
      </c>
      <c r="BD90" s="2">
        <f t="shared" si="219"/>
        <v>19754</v>
      </c>
      <c r="BE90" s="2">
        <f t="shared" si="219"/>
        <v>21091</v>
      </c>
      <c r="BF90" s="2">
        <f t="shared" si="219"/>
        <v>20358</v>
      </c>
      <c r="BG90" s="2">
        <f t="shared" si="219"/>
        <v>19820</v>
      </c>
      <c r="BH90" s="2">
        <f t="shared" si="219"/>
        <v>20268</v>
      </c>
      <c r="BI90" s="2">
        <f t="shared" si="219"/>
        <v>19935</v>
      </c>
      <c r="BJ90" s="2">
        <f t="shared" si="219"/>
        <v>20048</v>
      </c>
      <c r="BK90" s="2">
        <f t="shared" si="219"/>
        <v>20137</v>
      </c>
      <c r="BL90" s="2">
        <f t="shared" si="219"/>
        <v>21319</v>
      </c>
      <c r="BM90" s="2">
        <f t="shared" si="219"/>
        <v>20230</v>
      </c>
      <c r="BN90" s="2">
        <f t="shared" si="219"/>
        <v>19368</v>
      </c>
      <c r="BO90" s="2">
        <f t="shared" si="219"/>
        <v>23684</v>
      </c>
      <c r="BP90" s="2">
        <f t="shared" si="219"/>
        <v>22337</v>
      </c>
      <c r="BQ90" s="2">
        <f>SUM(BQ81:BQ89)</f>
        <v>25076</v>
      </c>
      <c r="CH90" s="26"/>
      <c r="CI90" s="26"/>
      <c r="CJ90" s="26"/>
      <c r="CK90" s="26"/>
      <c r="CL90" s="26"/>
      <c r="CM90" s="26"/>
      <c r="CN90" s="26"/>
      <c r="CO90" s="26"/>
      <c r="CP90" s="26"/>
      <c r="CQ90" s="26"/>
      <c r="CR90" s="37">
        <f t="shared" si="213"/>
        <v>17360</v>
      </c>
      <c r="CS90" s="2">
        <f t="shared" si="214"/>
        <v>21246</v>
      </c>
      <c r="CT90" s="2">
        <f t="shared" si="215"/>
        <v>19754</v>
      </c>
      <c r="CU90" s="2">
        <f t="shared" si="216"/>
        <v>20268</v>
      </c>
      <c r="CV90" s="2">
        <f t="shared" si="217"/>
        <v>21319</v>
      </c>
      <c r="CW90" s="2">
        <f t="shared" si="218"/>
        <v>22337</v>
      </c>
    </row>
    <row r="91" spans="2:105">
      <c r="B91" s="2" t="s">
        <v>1228</v>
      </c>
      <c r="AV91" s="2">
        <v>12807</v>
      </c>
      <c r="AW91" s="26">
        <v>13115</v>
      </c>
      <c r="AX91" s="26">
        <v>12754</v>
      </c>
      <c r="AY91" s="26">
        <v>12986</v>
      </c>
      <c r="AZ91" s="26">
        <v>13084</v>
      </c>
      <c r="BA91" s="26">
        <v>13502</v>
      </c>
      <c r="BB91" s="26">
        <v>13820</v>
      </c>
      <c r="BC91" s="26">
        <v>14178</v>
      </c>
      <c r="BD91" s="26">
        <v>14877</v>
      </c>
      <c r="BE91" s="26">
        <v>15046</v>
      </c>
      <c r="BF91" s="26">
        <v>15674</v>
      </c>
      <c r="BG91" s="26">
        <v>16463</v>
      </c>
      <c r="BH91" s="26">
        <v>16616</v>
      </c>
      <c r="BI91" s="26">
        <v>16895</v>
      </c>
      <c r="BJ91" s="26">
        <v>17361</v>
      </c>
      <c r="BK91" s="26">
        <v>17905</v>
      </c>
      <c r="BL91" s="26">
        <v>18593</v>
      </c>
      <c r="BM91" s="26">
        <v>19172</v>
      </c>
      <c r="BN91" s="26">
        <v>19762</v>
      </c>
      <c r="BO91" s="26">
        <v>20149</v>
      </c>
      <c r="BP91" s="26">
        <v>20634</v>
      </c>
      <c r="BQ91" s="2">
        <v>20930</v>
      </c>
      <c r="CH91" s="26"/>
      <c r="CI91" s="26"/>
      <c r="CJ91" s="26"/>
      <c r="CK91" s="26"/>
      <c r="CL91" s="26"/>
      <c r="CM91" s="26"/>
      <c r="CN91" s="26"/>
      <c r="CO91" s="26"/>
      <c r="CP91" s="26"/>
      <c r="CQ91" s="26"/>
      <c r="CR91" s="37">
        <f t="shared" si="213"/>
        <v>12807</v>
      </c>
      <c r="CS91" s="2">
        <f t="shared" si="214"/>
        <v>13084</v>
      </c>
      <c r="CT91" s="2">
        <f t="shared" si="215"/>
        <v>14877</v>
      </c>
      <c r="CU91" s="2">
        <f t="shared" si="216"/>
        <v>16616</v>
      </c>
      <c r="CV91" s="2">
        <f t="shared" si="217"/>
        <v>18593</v>
      </c>
      <c r="CW91" s="2">
        <f t="shared" si="218"/>
        <v>20634</v>
      </c>
    </row>
    <row r="92" spans="2:105">
      <c r="B92" s="2" t="s">
        <v>1229</v>
      </c>
      <c r="AV92" s="2">
        <f t="shared" ref="AV92:BP92" si="220">AV90+AV91</f>
        <v>30167</v>
      </c>
      <c r="AW92" s="2">
        <f t="shared" si="220"/>
        <v>29440</v>
      </c>
      <c r="AX92" s="2">
        <f t="shared" si="220"/>
        <v>31483</v>
      </c>
      <c r="AY92" s="2">
        <f t="shared" si="220"/>
        <v>32286</v>
      </c>
      <c r="AZ92" s="2">
        <f t="shared" si="220"/>
        <v>34330</v>
      </c>
      <c r="BA92" s="2">
        <f t="shared" si="220"/>
        <v>33455</v>
      </c>
      <c r="BB92" s="2">
        <f t="shared" si="220"/>
        <v>33698</v>
      </c>
      <c r="BC92" s="2">
        <f t="shared" si="220"/>
        <v>34145</v>
      </c>
      <c r="BD92" s="2">
        <f t="shared" si="220"/>
        <v>34631</v>
      </c>
      <c r="BE92" s="2">
        <f t="shared" si="220"/>
        <v>36137</v>
      </c>
      <c r="BF92" s="2">
        <f t="shared" si="220"/>
        <v>36032</v>
      </c>
      <c r="BG92" s="2">
        <f t="shared" si="220"/>
        <v>36283</v>
      </c>
      <c r="BH92" s="2">
        <f t="shared" si="220"/>
        <v>36884</v>
      </c>
      <c r="BI92" s="2">
        <f t="shared" si="220"/>
        <v>36830</v>
      </c>
      <c r="BJ92" s="2">
        <f t="shared" si="220"/>
        <v>37409</v>
      </c>
      <c r="BK92" s="2">
        <f t="shared" si="220"/>
        <v>38042</v>
      </c>
      <c r="BL92" s="2">
        <f t="shared" si="220"/>
        <v>39912</v>
      </c>
      <c r="BM92" s="2">
        <f t="shared" si="220"/>
        <v>39402</v>
      </c>
      <c r="BN92" s="2">
        <f t="shared" si="220"/>
        <v>39130</v>
      </c>
      <c r="BO92" s="2">
        <f t="shared" si="220"/>
        <v>43833</v>
      </c>
      <c r="BP92" s="2">
        <f t="shared" si="220"/>
        <v>42971</v>
      </c>
      <c r="BQ92" s="2">
        <f>BQ90+BQ91</f>
        <v>46006</v>
      </c>
      <c r="CH92" s="26"/>
      <c r="CI92" s="26"/>
      <c r="CJ92" s="26"/>
      <c r="CK92" s="26"/>
      <c r="CL92" s="26"/>
      <c r="CM92" s="26"/>
      <c r="CN92" s="26"/>
      <c r="CO92" s="26"/>
      <c r="CP92" s="26"/>
      <c r="CQ92" s="26"/>
      <c r="CR92" s="2">
        <f t="shared" ref="CR92:CT92" si="221">CR90+CR91</f>
        <v>30167</v>
      </c>
      <c r="CS92" s="2">
        <f t="shared" si="221"/>
        <v>34330</v>
      </c>
      <c r="CT92" s="2">
        <f t="shared" si="221"/>
        <v>34631</v>
      </c>
      <c r="CU92" s="2">
        <f t="shared" ref="CU92:CW92" si="222">CU90+CU91</f>
        <v>36884</v>
      </c>
      <c r="CV92" s="2">
        <f t="shared" si="222"/>
        <v>39912</v>
      </c>
      <c r="CW92" s="2">
        <f t="shared" si="222"/>
        <v>42971</v>
      </c>
    </row>
    <row r="93" spans="2:105">
      <c r="AW93" s="26"/>
      <c r="AX93" s="26"/>
      <c r="AY93" s="26"/>
      <c r="AZ93" s="26"/>
      <c r="BA93" s="26"/>
      <c r="BB93" s="26"/>
      <c r="BC93" s="26"/>
      <c r="BD93" s="26"/>
      <c r="BE93" s="26"/>
      <c r="BF93" s="26"/>
      <c r="BG93" s="26"/>
      <c r="BH93" s="26"/>
      <c r="BI93" s="26"/>
      <c r="BJ93" s="26"/>
      <c r="BK93" s="26"/>
      <c r="BL93" s="26"/>
      <c r="BM93" s="26"/>
      <c r="BN93" s="26"/>
      <c r="BO93" s="26"/>
      <c r="BP93" s="26"/>
      <c r="CH93" s="26"/>
      <c r="CI93" s="26"/>
      <c r="CJ93" s="26"/>
      <c r="CK93" s="26"/>
      <c r="CL93" s="26"/>
      <c r="CM93" s="26"/>
      <c r="CN93" s="26"/>
      <c r="CO93" s="26"/>
      <c r="CP93" s="26"/>
      <c r="CQ93" s="26"/>
      <c r="CR93" s="26"/>
      <c r="CS93" s="26"/>
      <c r="CT93" s="26"/>
      <c r="CU93" s="26"/>
      <c r="CV93" s="26"/>
      <c r="CW93" s="26"/>
    </row>
    <row r="94" spans="2:105">
      <c r="B94" s="2" t="s">
        <v>1238</v>
      </c>
      <c r="AV94" s="18">
        <f t="shared" ref="AV94" si="223">SUM(AV68:AV73)/SUM(AV81:AV86)</f>
        <v>2.581818181818182</v>
      </c>
      <c r="AW94" s="18">
        <f t="shared" ref="AW94:BP94" si="224">SUM(AW68:AW73)/SUM(AW81:AW86)</f>
        <v>2.5795290725612685</v>
      </c>
      <c r="AX94" s="18">
        <f t="shared" si="224"/>
        <v>2.9060158910329172</v>
      </c>
      <c r="AY94" s="18">
        <f t="shared" si="224"/>
        <v>2.8886756238003839</v>
      </c>
      <c r="AZ94" s="18">
        <f t="shared" si="224"/>
        <v>1.9256099980162666</v>
      </c>
      <c r="BA94" s="18">
        <f t="shared" si="224"/>
        <v>2.2714394131039715</v>
      </c>
      <c r="BB94" s="18">
        <f t="shared" si="224"/>
        <v>2.1241768579492004</v>
      </c>
      <c r="BC94" s="18">
        <f t="shared" si="224"/>
        <v>2.1263205214654977</v>
      </c>
      <c r="BD94" s="18">
        <f t="shared" si="224"/>
        <v>2.2020224225104417</v>
      </c>
      <c r="BE94" s="18">
        <f t="shared" si="224"/>
        <v>1.9793557168784028</v>
      </c>
      <c r="BF94" s="18">
        <f t="shared" si="224"/>
        <v>2.0038601271571297</v>
      </c>
      <c r="BG94" s="18">
        <f t="shared" si="224"/>
        <v>2.0385036097134108</v>
      </c>
      <c r="BH94" s="18">
        <f t="shared" si="224"/>
        <v>1.6301761066158973</v>
      </c>
      <c r="BI94" s="18">
        <f t="shared" si="224"/>
        <v>1.7311626321172862</v>
      </c>
      <c r="BJ94" s="18">
        <f t="shared" si="224"/>
        <v>1.541767922235723</v>
      </c>
      <c r="BK94" s="18">
        <f t="shared" si="224"/>
        <v>1.4809600429069456</v>
      </c>
      <c r="BL94" s="18">
        <f t="shared" si="224"/>
        <v>1.5803560156545891</v>
      </c>
      <c r="BM94" s="18">
        <f t="shared" si="224"/>
        <v>1.7098490294751978</v>
      </c>
      <c r="BN94" s="18">
        <f t="shared" si="224"/>
        <v>1.6813456540571758</v>
      </c>
      <c r="BO94" s="18">
        <f t="shared" si="224"/>
        <v>1.913287260399009</v>
      </c>
      <c r="BP94" s="18">
        <f t="shared" si="224"/>
        <v>1.9494485294117647</v>
      </c>
      <c r="BQ94" s="18">
        <f>SUM(BQ68:BQ73)/SUM(BQ81:BQ86)</f>
        <v>1.6423256400554924</v>
      </c>
      <c r="CH94" s="26"/>
      <c r="CI94" s="26"/>
      <c r="CJ94" s="26"/>
      <c r="CK94" s="26"/>
      <c r="CL94" s="26"/>
      <c r="CM94" s="26"/>
      <c r="CN94" s="26"/>
      <c r="CO94" s="26"/>
      <c r="CP94" s="26"/>
      <c r="CQ94" s="26"/>
      <c r="CR94" s="18">
        <f t="shared" ref="CR94:CW94" si="225">SUM(CR68:CR73)/SUM(CR81:CR86)</f>
        <v>2.581818181818182</v>
      </c>
      <c r="CS94" s="18">
        <f t="shared" si="225"/>
        <v>1.9256099980162666</v>
      </c>
      <c r="CT94" s="18">
        <f t="shared" si="225"/>
        <v>2.2020224225104417</v>
      </c>
      <c r="CU94" s="18">
        <f t="shared" si="225"/>
        <v>1.6301761066158973</v>
      </c>
      <c r="CV94" s="18">
        <f t="shared" si="225"/>
        <v>1.5803560156545891</v>
      </c>
      <c r="CW94" s="18">
        <f t="shared" si="225"/>
        <v>1.9494485294117647</v>
      </c>
    </row>
    <row r="95" spans="2:105">
      <c r="B95" s="2" t="s">
        <v>1239</v>
      </c>
      <c r="AV95" s="18">
        <f t="shared" ref="AV95" si="226">(SUM(AV68:AV74)-AV73)/SUM(AV81:AV86)</f>
        <v>2.9925000000000002</v>
      </c>
      <c r="AW95" s="18">
        <f t="shared" ref="AW95:BP95" si="227">(SUM(AW68:AW74)-AW73)/SUM(AW81:AW86)</f>
        <v>3.0418068236424798</v>
      </c>
      <c r="AX95" s="18">
        <f t="shared" si="227"/>
        <v>3.3577752553916005</v>
      </c>
      <c r="AY95" s="18">
        <f t="shared" si="227"/>
        <v>3.3216037534655576</v>
      </c>
      <c r="AZ95" s="18">
        <f t="shared" si="227"/>
        <v>2.374727236659393</v>
      </c>
      <c r="BA95" s="18">
        <f t="shared" si="227"/>
        <v>2.8107766253478372</v>
      </c>
      <c r="BB95" s="18">
        <f t="shared" si="227"/>
        <v>2.6359360301034807</v>
      </c>
      <c r="BC95" s="18">
        <f t="shared" si="227"/>
        <v>2.6154191953247921</v>
      </c>
      <c r="BD95" s="18">
        <f t="shared" si="227"/>
        <v>2.679270169267971</v>
      </c>
      <c r="BE95" s="18">
        <f t="shared" si="227"/>
        <v>2.4589382940108893</v>
      </c>
      <c r="BF95" s="18">
        <f t="shared" si="227"/>
        <v>2.457765667574932</v>
      </c>
      <c r="BG95" s="18">
        <f t="shared" si="227"/>
        <v>2.4679501203237804</v>
      </c>
      <c r="BH95" s="18">
        <f t="shared" si="227"/>
        <v>1.9765191178803745</v>
      </c>
      <c r="BI95" s="18">
        <f t="shared" si="227"/>
        <v>2.1039890896692808</v>
      </c>
      <c r="BJ95" s="18">
        <f t="shared" si="227"/>
        <v>1.8854799513973268</v>
      </c>
      <c r="BK95" s="18">
        <f t="shared" si="227"/>
        <v>1.7700455886296593</v>
      </c>
      <c r="BL95" s="18">
        <f t="shared" si="227"/>
        <v>1.8780457013003409</v>
      </c>
      <c r="BM95" s="18">
        <f t="shared" si="227"/>
        <v>2.036808051761323</v>
      </c>
      <c r="BN95" s="18">
        <f t="shared" si="227"/>
        <v>2.0128501299451345</v>
      </c>
      <c r="BO95" s="18">
        <f t="shared" si="227"/>
        <v>2.2351023601512585</v>
      </c>
      <c r="BP95" s="18">
        <f t="shared" si="227"/>
        <v>2.1930147058823528</v>
      </c>
      <c r="BQ95" s="18">
        <f>(SUM(BQ68:BQ74)-BQ73)/SUM(BQ81:BQ86)</f>
        <v>1.8931769453903393</v>
      </c>
      <c r="CH95" s="26"/>
      <c r="CI95" s="26"/>
      <c r="CJ95" s="26"/>
      <c r="CK95" s="26"/>
      <c r="CL95" s="26"/>
      <c r="CM95" s="26"/>
      <c r="CN95" s="26"/>
      <c r="CO95" s="26"/>
      <c r="CP95" s="26"/>
      <c r="CQ95" s="26"/>
      <c r="CR95" s="18">
        <f t="shared" ref="CR95:CW95" si="228">(SUM(CR68:CR74)-CR73)/SUM(CR81:CR86)</f>
        <v>2.9925000000000002</v>
      </c>
      <c r="CS95" s="18">
        <f t="shared" si="228"/>
        <v>2.374727236659393</v>
      </c>
      <c r="CT95" s="18">
        <f t="shared" si="228"/>
        <v>2.679270169267971</v>
      </c>
      <c r="CU95" s="18">
        <f t="shared" si="228"/>
        <v>1.9765191178803745</v>
      </c>
      <c r="CV95" s="18">
        <f t="shared" si="228"/>
        <v>1.8780457013003409</v>
      </c>
      <c r="CW95" s="18">
        <f t="shared" si="228"/>
        <v>2.1930147058823528</v>
      </c>
    </row>
    <row r="96" spans="2:105">
      <c r="B96" s="2" t="s">
        <v>1240</v>
      </c>
      <c r="AV96" s="18">
        <f t="shared" ref="AV96" si="229">AV68/SUM(AV81:AV86)</f>
        <v>0.98568181818181821</v>
      </c>
      <c r="AW96" s="18">
        <f t="shared" ref="AW96:BP96" si="230">AW68/SUM(AW81:AW86)</f>
        <v>0.95242671792407496</v>
      </c>
      <c r="AX96" s="18">
        <f t="shared" si="230"/>
        <v>1.4844494892167992</v>
      </c>
      <c r="AY96" s="18">
        <f t="shared" si="230"/>
        <v>1.510556621880998</v>
      </c>
      <c r="AZ96" s="18">
        <f t="shared" si="230"/>
        <v>0.58381273556833957</v>
      </c>
      <c r="BA96" s="18">
        <f t="shared" si="230"/>
        <v>0.56615228940045537</v>
      </c>
      <c r="BB96" s="18">
        <f t="shared" si="230"/>
        <v>0.52704609595484475</v>
      </c>
      <c r="BC96" s="18">
        <f t="shared" si="230"/>
        <v>0.57608451337379185</v>
      </c>
      <c r="BD96" s="18">
        <f t="shared" si="230"/>
        <v>0.64717520334139367</v>
      </c>
      <c r="BE96" s="18">
        <f t="shared" si="230"/>
        <v>0.33076225045372049</v>
      </c>
      <c r="BF96" s="18">
        <f t="shared" si="230"/>
        <v>0.23705722070844687</v>
      </c>
      <c r="BG96" s="18">
        <f t="shared" si="230"/>
        <v>0.31065412382410851</v>
      </c>
      <c r="BH96" s="18">
        <f t="shared" si="230"/>
        <v>0.29255909884182135</v>
      </c>
      <c r="BI96" s="18">
        <f t="shared" si="230"/>
        <v>0.28486191612683259</v>
      </c>
      <c r="BJ96" s="18">
        <f t="shared" si="230"/>
        <v>0.21278857837181045</v>
      </c>
      <c r="BK96" s="18">
        <f t="shared" si="230"/>
        <v>0.24939662107803701</v>
      </c>
      <c r="BL96" s="18">
        <f t="shared" si="230"/>
        <v>0.37507890417876533</v>
      </c>
      <c r="BM96" s="18">
        <f t="shared" si="230"/>
        <v>0.33501078360891445</v>
      </c>
      <c r="BN96" s="18">
        <f t="shared" si="230"/>
        <v>0.27057464626046779</v>
      </c>
      <c r="BO96" s="18">
        <f t="shared" si="230"/>
        <v>0.5020211240057374</v>
      </c>
      <c r="BP96" s="18">
        <f t="shared" si="230"/>
        <v>0.47951680672268909</v>
      </c>
      <c r="BQ96" s="18">
        <f>BQ68/SUM(BQ81:BQ86)</f>
        <v>0.29259679656955478</v>
      </c>
      <c r="CH96" s="26"/>
      <c r="CI96" s="26"/>
      <c r="CJ96" s="26"/>
      <c r="CK96" s="26"/>
      <c r="CL96" s="26"/>
      <c r="CM96" s="26"/>
      <c r="CN96" s="26"/>
      <c r="CO96" s="26"/>
      <c r="CP96" s="26"/>
      <c r="CQ96" s="26"/>
      <c r="CR96" s="18">
        <f t="shared" ref="CR96:CW96" si="231">CR68/SUM(CR81:CR86)</f>
        <v>0.98568181818181821</v>
      </c>
      <c r="CS96" s="18">
        <f t="shared" si="231"/>
        <v>0.58381273556833957</v>
      </c>
      <c r="CT96" s="18">
        <f t="shared" si="231"/>
        <v>0.64717520334139367</v>
      </c>
      <c r="CU96" s="18">
        <f t="shared" si="231"/>
        <v>0.29255909884182135</v>
      </c>
      <c r="CV96" s="18">
        <f t="shared" si="231"/>
        <v>0.37507890417876533</v>
      </c>
      <c r="CW96" s="18">
        <f t="shared" si="231"/>
        <v>0.47951680672268909</v>
      </c>
    </row>
    <row r="97" spans="2:101">
      <c r="B97" s="2" t="s">
        <v>1241</v>
      </c>
      <c r="AV97" s="18">
        <f t="shared" ref="AV97" si="232">AV46/AV79</f>
        <v>0.13693771339543209</v>
      </c>
      <c r="AW97" s="18">
        <f t="shared" ref="AW97:BP97" si="233">AW46/AW79</f>
        <v>0.121875</v>
      </c>
      <c r="AX97" s="18">
        <f t="shared" si="233"/>
        <v>8.7793412317758793E-2</v>
      </c>
      <c r="AY97" s="18">
        <f t="shared" si="233"/>
        <v>0.11574676330297962</v>
      </c>
      <c r="AZ97" s="18">
        <f t="shared" si="233"/>
        <v>0.124147975531605</v>
      </c>
      <c r="BA97" s="18">
        <f t="shared" si="233"/>
        <v>0.11815872066955611</v>
      </c>
      <c r="BB97" s="18">
        <f t="shared" si="233"/>
        <v>0.12742595999762596</v>
      </c>
      <c r="BC97" s="18">
        <f t="shared" si="233"/>
        <v>0.12183335773905403</v>
      </c>
      <c r="BD97" s="18">
        <f t="shared" si="233"/>
        <v>0.13574543039473305</v>
      </c>
      <c r="BE97" s="18">
        <f t="shared" si="233"/>
        <v>0.11829980352547251</v>
      </c>
      <c r="BF97" s="18">
        <f t="shared" si="233"/>
        <v>0.12469471580817051</v>
      </c>
      <c r="BG97" s="18">
        <f t="shared" si="233"/>
        <v>0.12447544673873774</v>
      </c>
      <c r="BH97" s="18">
        <f t="shared" si="233"/>
        <v>0.14103676390846981</v>
      </c>
      <c r="BI97" s="18">
        <f t="shared" si="233"/>
        <v>0.12973119739342928</v>
      </c>
      <c r="BJ97" s="18">
        <f t="shared" si="233"/>
        <v>0.13355074981956214</v>
      </c>
      <c r="BK97" s="18">
        <f t="shared" si="233"/>
        <v>0.12904158561589821</v>
      </c>
      <c r="BL97" s="18">
        <f t="shared" si="233"/>
        <v>0.14569553016636599</v>
      </c>
      <c r="BM97" s="18">
        <f t="shared" si="233"/>
        <v>0.13306431145627126</v>
      </c>
      <c r="BN97" s="18">
        <f t="shared" si="233"/>
        <v>0.13856376181957578</v>
      </c>
      <c r="BO97" s="18">
        <f t="shared" si="233"/>
        <v>0.12533935619282277</v>
      </c>
      <c r="BP97" s="18">
        <f t="shared" si="233"/>
        <v>0.14977542994112308</v>
      </c>
      <c r="BQ97" s="18">
        <f>BQ46/BQ79</f>
        <v>0.12750510802938747</v>
      </c>
      <c r="CH97" s="26"/>
      <c r="CI97" s="26"/>
      <c r="CJ97" s="26"/>
      <c r="CK97" s="26"/>
      <c r="CL97" s="26"/>
      <c r="CM97" s="26"/>
      <c r="CN97" s="26"/>
      <c r="CO97" s="26"/>
      <c r="CP97" s="26"/>
      <c r="CQ97" s="26"/>
      <c r="CR97" s="18">
        <f t="shared" ref="CR97:CW97" si="234">CR46/CR79</f>
        <v>0.49338681340537671</v>
      </c>
      <c r="CS97" s="18">
        <f t="shared" si="234"/>
        <v>0.41803087678415379</v>
      </c>
      <c r="CT97" s="18">
        <f t="shared" si="234"/>
        <v>0.49400825849672259</v>
      </c>
      <c r="CU97" s="18">
        <f t="shared" si="234"/>
        <v>0.50018978418826587</v>
      </c>
      <c r="CV97" s="18">
        <f t="shared" si="234"/>
        <v>0.51357987572659847</v>
      </c>
      <c r="CW97" s="18">
        <f t="shared" si="234"/>
        <v>0.52581973889367251</v>
      </c>
    </row>
    <row r="98" spans="2:101">
      <c r="B98" s="2" t="s">
        <v>1242</v>
      </c>
      <c r="AV98" s="18">
        <f t="shared" ref="AV98:BP98" si="235">AV47/AVERAGE(AS73:AV73)</f>
        <v>1.8789473684210527</v>
      </c>
      <c r="AW98" s="18">
        <f t="shared" si="235"/>
        <v>1.7422037422037422</v>
      </c>
      <c r="AX98" s="18">
        <f t="shared" si="235"/>
        <v>1.8424242424242425</v>
      </c>
      <c r="AY98" s="18">
        <f t="shared" si="235"/>
        <v>2.0588947156111335</v>
      </c>
      <c r="AZ98" s="18">
        <f t="shared" si="235"/>
        <v>2.8001812415043044</v>
      </c>
      <c r="BA98" s="18">
        <f t="shared" si="235"/>
        <v>2.747859181731684</v>
      </c>
      <c r="BB98" s="18">
        <f t="shared" si="235"/>
        <v>2.8622472966619652</v>
      </c>
      <c r="BC98" s="18">
        <f t="shared" si="235"/>
        <v>2.7625113739763423</v>
      </c>
      <c r="BD98" s="18">
        <f t="shared" si="235"/>
        <v>2.7925801011804383</v>
      </c>
      <c r="BE98" s="18">
        <f t="shared" si="235"/>
        <v>2.4925192074403557</v>
      </c>
      <c r="BF98" s="18">
        <f t="shared" si="235"/>
        <v>2.4559852670349906</v>
      </c>
      <c r="BG98" s="18">
        <f t="shared" si="235"/>
        <v>2.2778523489932887</v>
      </c>
      <c r="BH98" s="18">
        <f t="shared" si="235"/>
        <v>2.5326892109500805</v>
      </c>
      <c r="BI98" s="18">
        <f t="shared" si="235"/>
        <v>2.1514041514041513</v>
      </c>
      <c r="BJ98" s="18">
        <f t="shared" si="235"/>
        <v>2.2060164083865086</v>
      </c>
      <c r="BK98" s="18">
        <f t="shared" si="235"/>
        <v>2.0563711098062245</v>
      </c>
      <c r="BL98" s="18">
        <f t="shared" si="235"/>
        <v>2.4303797468354431</v>
      </c>
      <c r="BM98" s="18">
        <f t="shared" si="235"/>
        <v>2.115171650055371</v>
      </c>
      <c r="BN98" s="18">
        <f t="shared" si="235"/>
        <v>2.1032765399737876</v>
      </c>
      <c r="BO98" s="18">
        <f t="shared" si="235"/>
        <v>2.066910611604809</v>
      </c>
      <c r="BP98" s="18">
        <f t="shared" si="235"/>
        <v>1.9833406400701448</v>
      </c>
      <c r="BQ98" s="18">
        <f>BQ47/AVERAGE(BN73:BQ73)</f>
        <v>1.6568416943197346</v>
      </c>
      <c r="CH98" s="26"/>
      <c r="CI98" s="26"/>
      <c r="CJ98" s="26"/>
      <c r="CK98" s="26"/>
      <c r="CL98" s="26"/>
      <c r="CM98" s="26"/>
      <c r="CN98" s="26"/>
      <c r="CO98" s="26"/>
      <c r="CP98" s="26"/>
      <c r="CQ98" s="26"/>
      <c r="CR98" s="18">
        <f t="shared" ref="CR98:CW98" si="236">CR47/AVERAGE(CO73:CR73)</f>
        <v>6.8263157894736839</v>
      </c>
      <c r="CS98" s="18">
        <f t="shared" si="236"/>
        <v>8.4839743589743595</v>
      </c>
      <c r="CT98" s="18">
        <f t="shared" si="236"/>
        <v>9.6439790575916238</v>
      </c>
      <c r="CU98" s="18">
        <f t="shared" si="236"/>
        <v>10.190582128290693</v>
      </c>
      <c r="CV98" s="18">
        <f t="shared" si="236"/>
        <v>10.651395848246242</v>
      </c>
      <c r="CW98" s="18">
        <f t="shared" si="236"/>
        <v>8.3662477558348289</v>
      </c>
    </row>
    <row r="99" spans="2:101">
      <c r="B99" s="2" t="s">
        <v>1243</v>
      </c>
      <c r="AV99" s="16">
        <f t="shared" ref="AV99" si="237">AV57/AV79</f>
        <v>2.4032883614545697E-2</v>
      </c>
      <c r="AW99" s="16">
        <f t="shared" ref="AW99:BP99" si="238">AW57/AW79</f>
        <v>1.6745923913043477E-2</v>
      </c>
      <c r="AX99" s="16">
        <f t="shared" si="238"/>
        <v>-2.6363434234348698E-3</v>
      </c>
      <c r="AY99" s="16">
        <f t="shared" si="238"/>
        <v>1.9234343058910985E-2</v>
      </c>
      <c r="AZ99" s="16">
        <f t="shared" si="238"/>
        <v>1.6545295659772793E-2</v>
      </c>
      <c r="BA99" s="16">
        <f t="shared" si="238"/>
        <v>9.0270512628904502E-3</v>
      </c>
      <c r="BB99" s="16">
        <f t="shared" si="238"/>
        <v>1.7567808178526916E-2</v>
      </c>
      <c r="BC99" s="16">
        <f t="shared" si="238"/>
        <v>1.2827646800410016E-2</v>
      </c>
      <c r="BD99" s="16">
        <f t="shared" si="238"/>
        <v>1.9115821085154919E-2</v>
      </c>
      <c r="BE99" s="16">
        <f t="shared" si="238"/>
        <v>8.9382073774801445E-3</v>
      </c>
      <c r="BF99" s="16">
        <f t="shared" si="238"/>
        <v>1.8206039076376555E-2</v>
      </c>
      <c r="BG99" s="16">
        <f t="shared" si="238"/>
        <v>2.2677375427285106E-2</v>
      </c>
      <c r="BH99" s="16">
        <f t="shared" si="238"/>
        <v>1.5264071141958572E-2</v>
      </c>
      <c r="BI99" s="16">
        <f t="shared" si="238"/>
        <v>1.6073852837360847E-2</v>
      </c>
      <c r="BJ99" s="16">
        <f t="shared" si="238"/>
        <v>1.9727872971744768E-2</v>
      </c>
      <c r="BK99" s="16">
        <f t="shared" si="238"/>
        <v>1.8190421113506126E-2</v>
      </c>
      <c r="BL99" s="16">
        <f t="shared" si="238"/>
        <v>2.8638003607937463E-2</v>
      </c>
      <c r="BM99" s="16">
        <f t="shared" si="238"/>
        <v>1.9998984823105425E-2</v>
      </c>
      <c r="BN99" s="16">
        <f t="shared" si="238"/>
        <v>2.1083567595195501E-2</v>
      </c>
      <c r="BO99" s="16">
        <f t="shared" si="238"/>
        <v>1.9026760659776879E-2</v>
      </c>
      <c r="BP99" s="16">
        <f t="shared" si="238"/>
        <v>1.2706243745782039E-2</v>
      </c>
      <c r="BQ99" s="16">
        <f>BQ57/BQ79</f>
        <v>1.421553710385602E-2</v>
      </c>
      <c r="CH99" s="26"/>
      <c r="CI99" s="26"/>
      <c r="CJ99" s="26"/>
      <c r="CK99" s="26"/>
      <c r="CL99" s="26"/>
      <c r="CM99" s="26"/>
      <c r="CN99" s="26"/>
      <c r="CO99" s="26"/>
      <c r="CP99" s="26"/>
      <c r="CQ99" s="26"/>
      <c r="CR99" s="16">
        <f t="shared" ref="CR99:CW99" si="239">CR57/CR79</f>
        <v>6.9048960784963698E-2</v>
      </c>
      <c r="CS99" s="16">
        <f t="shared" si="239"/>
        <v>4.6577337605592774E-2</v>
      </c>
      <c r="CT99" s="16">
        <f t="shared" si="239"/>
        <v>5.7578470156795937E-2</v>
      </c>
      <c r="CU99" s="16">
        <f t="shared" si="239"/>
        <v>6.3930159418718144E-2</v>
      </c>
      <c r="CV99" s="16">
        <f t="shared" si="239"/>
        <v>7.9299458809380635E-2</v>
      </c>
      <c r="CW99" s="16">
        <f t="shared" si="239"/>
        <v>6.9651625514882132E-2</v>
      </c>
    </row>
    <row r="100" spans="2:101" ht="15">
      <c r="B100" s="2" t="s">
        <v>1244</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16">
        <f t="shared" ref="AV100" si="240">AV57/AV91</f>
        <v>5.6609666588584365E-2</v>
      </c>
      <c r="AW100" s="16">
        <f t="shared" ref="AW100:BP100" si="241">AW57/AW91</f>
        <v>3.7590545177277924E-2</v>
      </c>
      <c r="AX100" s="16">
        <f t="shared" si="241"/>
        <v>-6.5077622706601846E-3</v>
      </c>
      <c r="AY100" s="16">
        <f t="shared" si="241"/>
        <v>4.7820730016941322E-2</v>
      </c>
      <c r="AZ100" s="16">
        <f t="shared" si="241"/>
        <v>4.3411800672577196E-2</v>
      </c>
      <c r="BA100" s="16">
        <f t="shared" si="241"/>
        <v>2.2367056732335949E-2</v>
      </c>
      <c r="BB100" s="16">
        <f t="shared" si="241"/>
        <v>4.283646888567294E-2</v>
      </c>
      <c r="BC100" s="16">
        <f t="shared" si="241"/>
        <v>3.0892932712653406E-2</v>
      </c>
      <c r="BD100" s="16">
        <f t="shared" si="241"/>
        <v>4.4498218726893864E-2</v>
      </c>
      <c r="BE100" s="16">
        <f t="shared" si="241"/>
        <v>2.1467499667685765E-2</v>
      </c>
      <c r="BF100" s="16">
        <f t="shared" si="241"/>
        <v>4.1852749776700268E-2</v>
      </c>
      <c r="BG100" s="16">
        <f t="shared" si="241"/>
        <v>4.9565692765595575E-2</v>
      </c>
      <c r="BH100" s="16">
        <f t="shared" si="241"/>
        <v>3.3883004333172845E-2</v>
      </c>
      <c r="BI100" s="16">
        <f t="shared" si="241"/>
        <v>3.5039952648712638E-2</v>
      </c>
      <c r="BJ100" s="16">
        <f t="shared" si="241"/>
        <v>4.2509072058061169E-2</v>
      </c>
      <c r="BK100" s="16">
        <f t="shared" si="241"/>
        <v>3.8648422228427813E-2</v>
      </c>
      <c r="BL100" s="16">
        <f t="shared" si="241"/>
        <v>6.1474748561286506E-2</v>
      </c>
      <c r="BM100" s="16">
        <f t="shared" si="241"/>
        <v>4.1101606509493009E-2</v>
      </c>
      <c r="BN100" s="16">
        <f t="shared" si="241"/>
        <v>4.1746786762473433E-2</v>
      </c>
      <c r="BO100" s="16">
        <f t="shared" si="241"/>
        <v>4.1391632339073899E-2</v>
      </c>
      <c r="BP100" s="16">
        <f t="shared" si="241"/>
        <v>2.6461180575748765E-2</v>
      </c>
      <c r="BQ100" s="16">
        <f>BQ57/BQ91</f>
        <v>3.1247013855709507E-2</v>
      </c>
      <c r="CR100" s="16">
        <f t="shared" ref="CR100:CW100" si="242">CR57/CR91</f>
        <v>0.1626454282814086</v>
      </c>
      <c r="CS100" s="16">
        <f t="shared" si="242"/>
        <v>0.1222103332314277</v>
      </c>
      <c r="CT100" s="16">
        <f t="shared" si="242"/>
        <v>0.13403239900517577</v>
      </c>
      <c r="CU100" s="16">
        <f t="shared" si="242"/>
        <v>0.14191141068849303</v>
      </c>
      <c r="CV100" s="16">
        <f t="shared" si="242"/>
        <v>0.17022535362770935</v>
      </c>
      <c r="CW100" s="16">
        <f t="shared" si="242"/>
        <v>0.14505185615973637</v>
      </c>
    </row>
    <row r="102" spans="2:101">
      <c r="B102" s="2" t="s">
        <v>19</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f t="shared" ref="AW102:BN102" si="243">AW57</f>
        <v>493</v>
      </c>
      <c r="AX102" s="37">
        <f t="shared" si="243"/>
        <v>-83</v>
      </c>
      <c r="AY102" s="37">
        <f t="shared" si="243"/>
        <v>621</v>
      </c>
      <c r="AZ102" s="37">
        <f t="shared" si="243"/>
        <v>568</v>
      </c>
      <c r="BA102" s="37">
        <f t="shared" si="243"/>
        <v>302</v>
      </c>
      <c r="BB102" s="37">
        <f t="shared" si="243"/>
        <v>592</v>
      </c>
      <c r="BC102" s="37">
        <f t="shared" si="243"/>
        <v>438</v>
      </c>
      <c r="BD102" s="37">
        <f t="shared" si="243"/>
        <v>662</v>
      </c>
      <c r="BE102" s="37">
        <f t="shared" si="243"/>
        <v>323</v>
      </c>
      <c r="BF102" s="37">
        <f t="shared" si="243"/>
        <v>656</v>
      </c>
      <c r="BG102" s="37">
        <f t="shared" si="243"/>
        <v>816</v>
      </c>
      <c r="BH102" s="37">
        <f t="shared" si="243"/>
        <v>563</v>
      </c>
      <c r="BI102" s="37">
        <f t="shared" si="243"/>
        <v>592</v>
      </c>
      <c r="BJ102" s="37">
        <f t="shared" si="243"/>
        <v>738</v>
      </c>
      <c r="BK102" s="37">
        <f t="shared" si="243"/>
        <v>692</v>
      </c>
      <c r="BL102" s="37">
        <f t="shared" si="243"/>
        <v>1143</v>
      </c>
      <c r="BM102" s="37">
        <f t="shared" si="243"/>
        <v>788</v>
      </c>
      <c r="BN102" s="37">
        <f t="shared" si="243"/>
        <v>825</v>
      </c>
      <c r="BO102" s="37">
        <f t="shared" ref="BO102:BP102" si="244">BO57</f>
        <v>834</v>
      </c>
      <c r="BP102" s="37">
        <f t="shared" si="244"/>
        <v>546</v>
      </c>
      <c r="BQ102" s="37">
        <f>BQ57</f>
        <v>654</v>
      </c>
      <c r="CG102" s="37"/>
      <c r="CH102" s="37"/>
      <c r="CI102" s="37"/>
      <c r="CJ102" s="37"/>
      <c r="CK102" s="37"/>
      <c r="CL102" s="37"/>
      <c r="CM102" s="37"/>
      <c r="CN102" s="37">
        <f t="shared" ref="CN102:CQ102" si="245">CN57</f>
        <v>1439</v>
      </c>
      <c r="CO102" s="37">
        <f t="shared" si="245"/>
        <v>1647</v>
      </c>
      <c r="CP102" s="37">
        <f t="shared" si="245"/>
        <v>1020</v>
      </c>
      <c r="CQ102" s="37">
        <f t="shared" si="245"/>
        <v>3553</v>
      </c>
      <c r="CR102" s="37">
        <f>CR57</f>
        <v>2083</v>
      </c>
      <c r="CS102" s="2">
        <f t="shared" ref="CS102:CS104" si="246">SUM(AW102:AZ102)</f>
        <v>1599</v>
      </c>
      <c r="CT102" s="37">
        <f>SUM(BA102:BD102)</f>
        <v>1994</v>
      </c>
      <c r="CU102" s="2">
        <f t="shared" ref="CU102:CU104" si="247">SUM(BE102:BH102)</f>
        <v>2358</v>
      </c>
      <c r="CV102" s="2">
        <f t="shared" ref="CV102:CV104" si="248">SUM(BI102:BL102)</f>
        <v>3165</v>
      </c>
      <c r="CW102" s="2">
        <f>SUM(BM102:BP102)</f>
        <v>2993</v>
      </c>
    </row>
    <row r="103" spans="2:101">
      <c r="B103" s="2" t="s">
        <v>1231</v>
      </c>
      <c r="AW103" s="2">
        <v>591</v>
      </c>
      <c r="AX103" s="2">
        <f>1211-AW103</f>
        <v>620</v>
      </c>
      <c r="AY103" s="2">
        <f>2040-SUM(AW103:AX103)</f>
        <v>829</v>
      </c>
      <c r="AZ103" s="2">
        <f>3277-SUM(AW103:AY103)</f>
        <v>1237</v>
      </c>
      <c r="BA103" s="2">
        <v>452</v>
      </c>
      <c r="BB103" s="2">
        <f>1330-BA103</f>
        <v>878</v>
      </c>
      <c r="BC103" s="2">
        <f>2263-SUM(BA103:BB103)</f>
        <v>933</v>
      </c>
      <c r="BD103" s="2">
        <f>3263-SUM(BA103:BC103)</f>
        <v>1000</v>
      </c>
      <c r="BE103" s="2">
        <v>203</v>
      </c>
      <c r="BF103" s="2">
        <f>732-BE103</f>
        <v>529</v>
      </c>
      <c r="BG103" s="2">
        <f>1621-SUM(BE103:BF103)</f>
        <v>889</v>
      </c>
      <c r="BH103" s="2">
        <f>2624-SUM(BE103:BG103)</f>
        <v>1003</v>
      </c>
      <c r="BI103" s="2">
        <v>445</v>
      </c>
      <c r="BJ103" s="2">
        <f>1133-BI103</f>
        <v>688</v>
      </c>
      <c r="BK103" s="2">
        <f>2183-SUM(BI103:BJ103)</f>
        <v>1050</v>
      </c>
      <c r="BL103" s="2">
        <f>3711-SUM(BI103:BK103)</f>
        <v>1528</v>
      </c>
      <c r="BM103" s="2">
        <v>204</v>
      </c>
      <c r="BN103" s="2">
        <f>837-BM103</f>
        <v>633</v>
      </c>
      <c r="BO103" s="2">
        <f>2311-SUM(BM103:BN103)</f>
        <v>1474</v>
      </c>
      <c r="BP103" s="2">
        <f>4242-SUM(BM103:BO103)</f>
        <v>1931</v>
      </c>
      <c r="BQ103" s="2">
        <v>250</v>
      </c>
      <c r="CG103" s="37"/>
      <c r="CH103" s="37"/>
      <c r="CI103" s="37"/>
      <c r="CJ103" s="37"/>
      <c r="CK103" s="37"/>
      <c r="CL103" s="37"/>
      <c r="CM103" s="37"/>
      <c r="CN103" s="37">
        <v>981</v>
      </c>
      <c r="CO103" s="37">
        <v>1915</v>
      </c>
      <c r="CP103" s="37">
        <v>1559</v>
      </c>
      <c r="CQ103" s="37">
        <v>2610</v>
      </c>
      <c r="CR103" s="37">
        <v>2191</v>
      </c>
      <c r="CS103" s="2">
        <f t="shared" si="246"/>
        <v>3277</v>
      </c>
      <c r="CT103" s="2">
        <f>SUM(BA103:BD103)</f>
        <v>3263</v>
      </c>
      <c r="CU103" s="2">
        <f t="shared" si="247"/>
        <v>2624</v>
      </c>
      <c r="CV103" s="2">
        <f t="shared" si="248"/>
        <v>3711</v>
      </c>
      <c r="CW103" s="2">
        <f>SUM(BM103:BP103)</f>
        <v>4242</v>
      </c>
    </row>
    <row r="104" spans="2:101">
      <c r="B104" s="2" t="s">
        <v>1232</v>
      </c>
      <c r="AW104" s="2">
        <v>-144</v>
      </c>
      <c r="AX104" s="2">
        <f>253-AW104</f>
        <v>397</v>
      </c>
      <c r="AY104" s="2">
        <f>-322-SUM(AW104:AX104)</f>
        <v>-575</v>
      </c>
      <c r="AZ104" s="2">
        <f>-487-SUM(AW104:AY104)</f>
        <v>-165</v>
      </c>
      <c r="BA104" s="2">
        <v>-83</v>
      </c>
      <c r="BB104" s="2">
        <f>189-BA104</f>
        <v>272</v>
      </c>
      <c r="BC104" s="2">
        <f>-319-SUM(BA104:BB104)</f>
        <v>-508</v>
      </c>
      <c r="BD104" s="2">
        <f>-525-SUM(BA104:BC104)</f>
        <v>-206</v>
      </c>
      <c r="BE104" s="2">
        <v>-119</v>
      </c>
      <c r="BF104" s="2">
        <f>-262-BE104</f>
        <v>-143</v>
      </c>
      <c r="BG104" s="2">
        <f>-400-SUM(BE104:BF104)</f>
        <v>-138</v>
      </c>
      <c r="BH104" s="2">
        <f>-588-SUM(BE104:BG104)</f>
        <v>-188</v>
      </c>
      <c r="BI104" s="2">
        <v>-130</v>
      </c>
      <c r="BJ104" s="2">
        <f>-282-BI104</f>
        <v>-152</v>
      </c>
      <c r="BK104" s="2">
        <f>-430-SUM(BI104:BJ104)</f>
        <v>-148</v>
      </c>
      <c r="BL104" s="2">
        <f>-575-SUM(BI104:BK104)</f>
        <v>-145</v>
      </c>
      <c r="BM104" s="2">
        <v>-167</v>
      </c>
      <c r="BN104" s="2">
        <f>-319-BM104</f>
        <v>-152</v>
      </c>
      <c r="BO104" s="2">
        <f>-489-SUM(BM104:BN104)</f>
        <v>-170</v>
      </c>
      <c r="BP104" s="2">
        <f>-755-SUM(BM104:BO104)</f>
        <v>-266</v>
      </c>
      <c r="BQ104" s="2">
        <v>-123</v>
      </c>
      <c r="CG104" s="37"/>
      <c r="CH104" s="37"/>
      <c r="CI104" s="37"/>
      <c r="CJ104" s="37"/>
      <c r="CK104" s="37"/>
      <c r="CL104" s="37"/>
      <c r="CM104" s="37"/>
      <c r="CN104" s="37">
        <v>-270</v>
      </c>
      <c r="CO104" s="37">
        <v>-490</v>
      </c>
      <c r="CP104" s="37">
        <v>-598</v>
      </c>
      <c r="CQ104" s="37">
        <v>-572</v>
      </c>
      <c r="CR104" s="37">
        <v>-649</v>
      </c>
      <c r="CS104" s="37">
        <f t="shared" si="246"/>
        <v>-487</v>
      </c>
      <c r="CT104" s="2">
        <f>SUM(BA104:BD104)</f>
        <v>-525</v>
      </c>
      <c r="CU104" s="2">
        <f t="shared" si="247"/>
        <v>-588</v>
      </c>
      <c r="CV104" s="2">
        <f t="shared" si="248"/>
        <v>-575</v>
      </c>
      <c r="CW104" s="2">
        <f>SUM(BM104:BP104)</f>
        <v>-755</v>
      </c>
    </row>
    <row r="105" spans="2:101">
      <c r="B105" s="2" t="s">
        <v>1233</v>
      </c>
      <c r="AW105" s="2">
        <f t="shared" ref="AW105:BP105" si="249">AW103+AW104</f>
        <v>447</v>
      </c>
      <c r="AX105" s="2">
        <f t="shared" si="249"/>
        <v>1017</v>
      </c>
      <c r="AY105" s="2">
        <f t="shared" si="249"/>
        <v>254</v>
      </c>
      <c r="AZ105" s="2">
        <f t="shared" si="249"/>
        <v>1072</v>
      </c>
      <c r="BA105" s="2">
        <f t="shared" si="249"/>
        <v>369</v>
      </c>
      <c r="BB105" s="2">
        <f t="shared" si="249"/>
        <v>1150</v>
      </c>
      <c r="BC105" s="2">
        <f t="shared" si="249"/>
        <v>425</v>
      </c>
      <c r="BD105" s="2">
        <f t="shared" si="249"/>
        <v>794</v>
      </c>
      <c r="BE105" s="2">
        <f t="shared" si="249"/>
        <v>84</v>
      </c>
      <c r="BF105" s="2">
        <f t="shared" si="249"/>
        <v>386</v>
      </c>
      <c r="BG105" s="2">
        <f t="shared" si="249"/>
        <v>751</v>
      </c>
      <c r="BH105" s="2">
        <f t="shared" si="249"/>
        <v>815</v>
      </c>
      <c r="BI105" s="2">
        <f t="shared" si="249"/>
        <v>315</v>
      </c>
      <c r="BJ105" s="2">
        <f t="shared" si="249"/>
        <v>536</v>
      </c>
      <c r="BK105" s="2">
        <f t="shared" si="249"/>
        <v>902</v>
      </c>
      <c r="BL105" s="2">
        <f t="shared" si="249"/>
        <v>1383</v>
      </c>
      <c r="BM105" s="2">
        <f t="shared" si="249"/>
        <v>37</v>
      </c>
      <c r="BN105" s="2">
        <f t="shared" si="249"/>
        <v>481</v>
      </c>
      <c r="BO105" s="2">
        <f t="shared" si="249"/>
        <v>1304</v>
      </c>
      <c r="BP105" s="2">
        <f t="shared" si="249"/>
        <v>1665</v>
      </c>
      <c r="BQ105" s="2">
        <f>BQ103+BQ104</f>
        <v>127</v>
      </c>
      <c r="CG105" s="37"/>
      <c r="CH105" s="37"/>
      <c r="CI105" s="37"/>
      <c r="CJ105" s="37"/>
      <c r="CK105" s="37"/>
      <c r="CL105" s="37"/>
      <c r="CN105" s="2">
        <f t="shared" ref="CN105:CR105" si="250">CN103+CN104</f>
        <v>711</v>
      </c>
      <c r="CO105" s="2">
        <f t="shared" si="250"/>
        <v>1425</v>
      </c>
      <c r="CP105" s="2">
        <f t="shared" si="250"/>
        <v>961</v>
      </c>
      <c r="CQ105" s="2">
        <f t="shared" si="250"/>
        <v>2038</v>
      </c>
      <c r="CR105" s="2">
        <f t="shared" si="250"/>
        <v>1542</v>
      </c>
      <c r="CS105" s="2">
        <f>CS103+CS104</f>
        <v>2790</v>
      </c>
      <c r="CT105" s="2">
        <f>CT103+CT104</f>
        <v>2738</v>
      </c>
      <c r="CU105" s="2">
        <f>CU103+CU104</f>
        <v>2036</v>
      </c>
      <c r="CV105" s="2">
        <f>CV103+CV104</f>
        <v>3136</v>
      </c>
      <c r="CW105" s="2">
        <f>CW103+CW104</f>
        <v>3487</v>
      </c>
    </row>
    <row r="106" spans="2:101">
      <c r="B106" s="2" t="s">
        <v>1208</v>
      </c>
      <c r="AW106" s="37">
        <f t="shared" ref="AW106:BQ106" si="251">AW58</f>
        <v>374.8</v>
      </c>
      <c r="AX106" s="37">
        <f t="shared" si="251"/>
        <v>375.5</v>
      </c>
      <c r="AY106" s="37">
        <f t="shared" si="251"/>
        <v>375.7</v>
      </c>
      <c r="AZ106" s="37">
        <f t="shared" si="251"/>
        <v>375.9</v>
      </c>
      <c r="BA106" s="37">
        <f t="shared" si="251"/>
        <v>376.3</v>
      </c>
      <c r="BB106" s="37">
        <f t="shared" si="251"/>
        <v>376.9</v>
      </c>
      <c r="BC106" s="37">
        <f t="shared" si="251"/>
        <v>377.1</v>
      </c>
      <c r="BD106" s="37">
        <f t="shared" si="251"/>
        <v>377.1</v>
      </c>
      <c r="BE106" s="37">
        <f t="shared" si="251"/>
        <v>377.7</v>
      </c>
      <c r="BF106" s="37">
        <f t="shared" si="251"/>
        <v>378.3</v>
      </c>
      <c r="BG106" s="37">
        <f t="shared" si="251"/>
        <v>378.4</v>
      </c>
      <c r="BH106" s="37">
        <f t="shared" si="251"/>
        <v>379</v>
      </c>
      <c r="BI106" s="37">
        <f t="shared" si="251"/>
        <v>379</v>
      </c>
      <c r="BJ106" s="37">
        <f t="shared" si="251"/>
        <v>379.5</v>
      </c>
      <c r="BK106" s="37">
        <f t="shared" si="251"/>
        <v>379.8</v>
      </c>
      <c r="BL106" s="37">
        <f t="shared" si="251"/>
        <v>380.2</v>
      </c>
      <c r="BM106" s="37">
        <f t="shared" si="251"/>
        <v>380.4</v>
      </c>
      <c r="BN106" s="37">
        <f t="shared" si="251"/>
        <v>381</v>
      </c>
      <c r="BO106" s="37">
        <f t="shared" si="251"/>
        <v>382</v>
      </c>
      <c r="BP106" s="37">
        <f t="shared" si="251"/>
        <v>382</v>
      </c>
      <c r="BQ106" s="37">
        <f t="shared" si="251"/>
        <v>381.7</v>
      </c>
      <c r="CG106" s="37"/>
      <c r="CH106" s="37"/>
      <c r="CI106" s="37"/>
      <c r="CJ106" s="37"/>
      <c r="CK106" s="37"/>
      <c r="CL106" s="37"/>
      <c r="CM106" s="37"/>
      <c r="CN106" s="37">
        <f t="shared" ref="CN106:CR106" si="252">CN58</f>
        <v>376.6</v>
      </c>
      <c r="CO106" s="37">
        <f t="shared" si="252"/>
        <v>374.1</v>
      </c>
      <c r="CP106" s="37">
        <f t="shared" si="252"/>
        <v>374</v>
      </c>
      <c r="CQ106" s="37">
        <f t="shared" si="252"/>
        <v>374.1</v>
      </c>
      <c r="CR106" s="37">
        <f t="shared" si="252"/>
        <v>374</v>
      </c>
      <c r="CS106" s="37">
        <f>CS58</f>
        <v>375.47500000000002</v>
      </c>
      <c r="CT106" s="37">
        <f>CT58</f>
        <v>376.85</v>
      </c>
      <c r="CU106" s="37">
        <f>CU58</f>
        <v>378.35</v>
      </c>
      <c r="CV106" s="37">
        <f>CV58</f>
        <v>379.625</v>
      </c>
      <c r="CW106" s="37">
        <f>CW58</f>
        <v>381.35</v>
      </c>
    </row>
    <row r="107" spans="2:101">
      <c r="B107" s="2" t="s">
        <v>1234</v>
      </c>
      <c r="AW107" s="18">
        <f t="shared" ref="AW107:BP107" si="253">AW105/AW106</f>
        <v>1.1926360725720384</v>
      </c>
      <c r="AX107" s="18">
        <f t="shared" si="253"/>
        <v>2.7083888149134485</v>
      </c>
      <c r="AY107" s="18">
        <f t="shared" si="253"/>
        <v>0.67607133351077986</v>
      </c>
      <c r="AZ107" s="18">
        <f t="shared" si="253"/>
        <v>2.8518222931630755</v>
      </c>
      <c r="BA107" s="18">
        <f t="shared" si="253"/>
        <v>0.98060058463991495</v>
      </c>
      <c r="BB107" s="18">
        <f t="shared" si="253"/>
        <v>3.0512072167683737</v>
      </c>
      <c r="BC107" s="18">
        <f t="shared" si="253"/>
        <v>1.1270220100769026</v>
      </c>
      <c r="BD107" s="18">
        <f t="shared" si="253"/>
        <v>2.1055422964730841</v>
      </c>
      <c r="BE107" s="18">
        <f t="shared" si="253"/>
        <v>0.22239872915011916</v>
      </c>
      <c r="BF107" s="18">
        <f t="shared" si="253"/>
        <v>1.0203542162305048</v>
      </c>
      <c r="BG107" s="18">
        <f t="shared" si="253"/>
        <v>1.9846723044397465</v>
      </c>
      <c r="BH107" s="18">
        <f t="shared" si="253"/>
        <v>2.1503957783641159</v>
      </c>
      <c r="BI107" s="18">
        <f t="shared" si="253"/>
        <v>0.83113456464379942</v>
      </c>
      <c r="BJ107" s="18">
        <f t="shared" si="253"/>
        <v>1.4123847167325427</v>
      </c>
      <c r="BK107" s="18">
        <f t="shared" si="253"/>
        <v>2.3749341758820433</v>
      </c>
      <c r="BL107" s="18">
        <f t="shared" si="253"/>
        <v>3.6375591793792741</v>
      </c>
      <c r="BM107" s="18">
        <f t="shared" si="253"/>
        <v>9.7266035751840174E-2</v>
      </c>
      <c r="BN107" s="18">
        <f t="shared" si="253"/>
        <v>1.2624671916010499</v>
      </c>
      <c r="BO107" s="18">
        <f t="shared" si="253"/>
        <v>3.413612565445026</v>
      </c>
      <c r="BP107" s="18">
        <f t="shared" si="253"/>
        <v>4.3586387434554972</v>
      </c>
      <c r="BQ107" s="18">
        <f>BQ105/BQ106</f>
        <v>0.33272203301021747</v>
      </c>
      <c r="CM107" s="18"/>
      <c r="CN107" s="18">
        <f t="shared" ref="CN107:CR107" si="254">CN105/CN106</f>
        <v>1.887944768985661</v>
      </c>
      <c r="CO107" s="18">
        <f t="shared" si="254"/>
        <v>3.8091419406575779</v>
      </c>
      <c r="CP107" s="18">
        <f t="shared" si="254"/>
        <v>2.5695187165775399</v>
      </c>
      <c r="CQ107" s="18">
        <f t="shared" si="254"/>
        <v>5.4477412456562417</v>
      </c>
      <c r="CR107" s="18">
        <f t="shared" si="254"/>
        <v>4.1229946524064172</v>
      </c>
      <c r="CS107" s="18">
        <f>CS105/CS106</f>
        <v>7.4305879219655102</v>
      </c>
      <c r="CT107" s="18">
        <f>CT105/CT106</f>
        <v>7.2654902481093266</v>
      </c>
      <c r="CU107" s="18">
        <f>CU105/CU106</f>
        <v>5.3812607374124486</v>
      </c>
      <c r="CV107" s="18">
        <f>CV105/CV106</f>
        <v>8.2607836680935129</v>
      </c>
      <c r="CW107" s="18">
        <f>CW105/CW106</f>
        <v>9.1438311262619631</v>
      </c>
    </row>
  </sheetData>
  <pageMargins left="0.7" right="0.7" top="0.75" bottom="0.75" header="0.3" footer="0.3"/>
  <ignoredErrors>
    <ignoredError sqref="CV48:CW57 CS9 BD9" formula="1"/>
    <ignoredError sqref="AV94:BQ100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C1192"/>
  <sheetViews>
    <sheetView tabSelected="1" topLeftCell="H82" zoomScaleNormal="100" workbookViewId="0">
      <selection activeCell="P85" sqref="P85"/>
    </sheetView>
  </sheetViews>
  <sheetFormatPr defaultColWidth="9.140625" defaultRowHeight="14.25"/>
  <cols>
    <col min="1" max="7" width="9.140625" style="2" hidden="1" customWidth="1"/>
    <col min="8" max="8" width="3.28515625" style="2" customWidth="1"/>
    <col min="9" max="28" width="9.140625" style="2"/>
    <col min="29" max="29" width="3" style="2" customWidth="1"/>
    <col min="30" max="51" width="9.140625" style="2"/>
    <col min="52" max="52" width="9.28515625" style="2" customWidth="1"/>
    <col min="53" max="57" width="9.140625" style="2"/>
    <col min="58" max="58" width="3.28515625" style="2" customWidth="1"/>
    <col min="59" max="16384" width="9.140625" style="2"/>
  </cols>
  <sheetData>
    <row r="1" spans="8:185">
      <c r="CB1" s="2">
        <v>0</v>
      </c>
      <c r="GC1" s="2">
        <v>0</v>
      </c>
    </row>
    <row r="2" spans="8:185" ht="15">
      <c r="H2" s="1" t="s">
        <v>12</v>
      </c>
      <c r="AD2" s="1" t="s">
        <v>1277</v>
      </c>
    </row>
    <row r="3" spans="8:185">
      <c r="AD3" s="2" t="s">
        <v>1426</v>
      </c>
    </row>
    <row r="5" spans="8:185">
      <c r="AD5" s="2" t="s">
        <v>1489</v>
      </c>
    </row>
    <row r="6" spans="8:185">
      <c r="AE6" s="2" t="s">
        <v>1490</v>
      </c>
    </row>
    <row r="7" spans="8:185">
      <c r="AE7" s="2" t="s">
        <v>1491</v>
      </c>
    </row>
    <row r="8" spans="8:185">
      <c r="AE8" s="2" t="s">
        <v>1560</v>
      </c>
    </row>
    <row r="9" spans="8:185" ht="15">
      <c r="AD9" s="1" t="s">
        <v>1492</v>
      </c>
    </row>
    <row r="35" spans="8:30" ht="15">
      <c r="H35" s="1" t="s">
        <v>13</v>
      </c>
      <c r="N35" s="1" t="s">
        <v>1487</v>
      </c>
    </row>
    <row r="36" spans="8:30" ht="15">
      <c r="I36" s="2" t="s">
        <v>1488</v>
      </c>
      <c r="AD36" s="1" t="s">
        <v>1253</v>
      </c>
    </row>
    <row r="37" spans="8:30" ht="15">
      <c r="J37" s="2" t="s">
        <v>1534</v>
      </c>
      <c r="AD37" s="1" t="s">
        <v>1254</v>
      </c>
    </row>
    <row r="38" spans="8:30">
      <c r="J38" s="2" t="s">
        <v>1517</v>
      </c>
    </row>
    <row r="39" spans="8:30">
      <c r="I39" s="2" t="s">
        <v>9</v>
      </c>
    </row>
    <row r="40" spans="8:30">
      <c r="J40" s="2" t="s">
        <v>1536</v>
      </c>
    </row>
    <row r="41" spans="8:30">
      <c r="J41" s="2" t="s">
        <v>1518</v>
      </c>
    </row>
    <row r="42" spans="8:30">
      <c r="J42" s="2" t="s">
        <v>1537</v>
      </c>
    </row>
    <row r="43" spans="8:30">
      <c r="J43" s="2" t="s">
        <v>1538</v>
      </c>
    </row>
    <row r="44" spans="8:30">
      <c r="J44" s="2" t="s">
        <v>1539</v>
      </c>
    </row>
    <row r="45" spans="8:30">
      <c r="J45" s="2" t="s">
        <v>1540</v>
      </c>
    </row>
    <row r="46" spans="8:30">
      <c r="J46" s="2" t="s">
        <v>1519</v>
      </c>
    </row>
    <row r="47" spans="8:30" ht="15">
      <c r="J47" s="1" t="s">
        <v>1520</v>
      </c>
    </row>
    <row r="48" spans="8:30" ht="15">
      <c r="J48" s="1" t="s">
        <v>1511</v>
      </c>
    </row>
    <row r="49" spans="9:10">
      <c r="I49" s="2" t="s">
        <v>10</v>
      </c>
    </row>
    <row r="50" spans="9:10" ht="15">
      <c r="J50" s="1" t="s">
        <v>1512</v>
      </c>
    </row>
    <row r="51" spans="9:10" ht="15">
      <c r="J51" s="2" t="s">
        <v>1541</v>
      </c>
    </row>
    <row r="52" spans="9:10">
      <c r="J52" s="2" t="s">
        <v>1513</v>
      </c>
    </row>
    <row r="53" spans="9:10">
      <c r="J53" s="2" t="s">
        <v>1521</v>
      </c>
    </row>
    <row r="54" spans="9:10">
      <c r="J54" s="2" t="s">
        <v>1514</v>
      </c>
    </row>
    <row r="55" spans="9:10">
      <c r="J55" s="2" t="s">
        <v>1515</v>
      </c>
    </row>
    <row r="56" spans="9:10">
      <c r="J56" s="2" t="s">
        <v>1493</v>
      </c>
    </row>
    <row r="57" spans="9:10">
      <c r="J57" s="2" t="s">
        <v>1527</v>
      </c>
    </row>
    <row r="58" spans="9:10">
      <c r="J58" s="2" t="s">
        <v>1547</v>
      </c>
    </row>
    <row r="59" spans="9:10">
      <c r="J59" s="2" t="s">
        <v>1548</v>
      </c>
    </row>
    <row r="60" spans="9:10">
      <c r="J60" s="2" t="s">
        <v>1546</v>
      </c>
    </row>
    <row r="61" spans="9:10">
      <c r="J61" s="2" t="s">
        <v>1522</v>
      </c>
    </row>
    <row r="62" spans="9:10">
      <c r="J62" s="2" t="s">
        <v>1523</v>
      </c>
    </row>
    <row r="63" spans="9:10">
      <c r="J63" s="2" t="s">
        <v>1516</v>
      </c>
    </row>
    <row r="64" spans="9:10">
      <c r="J64" s="2" t="s">
        <v>1524</v>
      </c>
    </row>
    <row r="65" spans="9:90">
      <c r="I65" s="2" t="s">
        <v>11</v>
      </c>
    </row>
    <row r="66" spans="9:90" ht="15">
      <c r="J66" s="2" t="s">
        <v>1549</v>
      </c>
      <c r="AD66" s="1" t="s">
        <v>1510</v>
      </c>
    </row>
    <row r="67" spans="9:90" ht="15">
      <c r="J67" s="1" t="s">
        <v>1525</v>
      </c>
    </row>
    <row r="68" spans="9:90">
      <c r="J68" s="2" t="s">
        <v>91</v>
      </c>
    </row>
    <row r="69" spans="9:90" ht="15">
      <c r="J69" s="1" t="s">
        <v>1526</v>
      </c>
    </row>
    <row r="70" spans="9:90">
      <c r="J70" s="2" t="s">
        <v>92</v>
      </c>
    </row>
    <row r="71" spans="9:90">
      <c r="J71" s="2" t="s">
        <v>1561</v>
      </c>
    </row>
    <row r="72" spans="9:90" ht="15">
      <c r="J72" s="2" t="s">
        <v>1542</v>
      </c>
      <c r="BG72" s="69"/>
      <c r="BJ72" s="67" t="s">
        <v>1508</v>
      </c>
      <c r="BK72" s="68" t="s">
        <v>1507</v>
      </c>
    </row>
    <row r="73" spans="9:90" ht="15">
      <c r="J73" s="2" t="s">
        <v>1530</v>
      </c>
      <c r="BG73" s="2" t="s">
        <v>1386</v>
      </c>
      <c r="CJ73" s="2" t="s">
        <v>1389</v>
      </c>
    </row>
    <row r="74" spans="9:90">
      <c r="J74" s="2" t="s">
        <v>1550</v>
      </c>
    </row>
    <row r="75" spans="9:90">
      <c r="J75" s="2" t="s">
        <v>1528</v>
      </c>
      <c r="BH75" s="2" t="s">
        <v>1387</v>
      </c>
      <c r="CK75" s="2" t="s">
        <v>1390</v>
      </c>
    </row>
    <row r="76" spans="9:90">
      <c r="J76" s="2" t="s">
        <v>1529</v>
      </c>
      <c r="BI76" s="2" t="s">
        <v>1388</v>
      </c>
      <c r="CL76" s="2" t="s">
        <v>1391</v>
      </c>
    </row>
    <row r="77" spans="9:90" ht="15">
      <c r="J77" s="2" t="s">
        <v>1543</v>
      </c>
      <c r="BG77" s="1" t="s">
        <v>1411</v>
      </c>
    </row>
    <row r="78" spans="9:90" ht="15">
      <c r="I78" s="4" t="s">
        <v>1383</v>
      </c>
      <c r="J78" s="1" t="s">
        <v>93</v>
      </c>
      <c r="BG78" s="2" t="s">
        <v>1392</v>
      </c>
      <c r="CJ78" s="2" t="s">
        <v>1395</v>
      </c>
    </row>
    <row r="79" spans="9:90" ht="15">
      <c r="I79" s="4"/>
      <c r="J79" s="1"/>
      <c r="K79" s="2" t="s">
        <v>1535</v>
      </c>
      <c r="BH79" s="2" t="s">
        <v>1393</v>
      </c>
      <c r="CK79" s="2" t="s">
        <v>1396</v>
      </c>
    </row>
    <row r="80" spans="9:90" ht="15">
      <c r="I80" s="4"/>
      <c r="J80" s="1"/>
      <c r="V80" s="2" t="s">
        <v>1531</v>
      </c>
      <c r="BI80" s="2" t="s">
        <v>1394</v>
      </c>
      <c r="CL80" s="2" t="s">
        <v>1394</v>
      </c>
    </row>
    <row r="81" spans="8:90" ht="15">
      <c r="I81" s="4"/>
      <c r="J81" s="1"/>
      <c r="V81" s="2" t="s">
        <v>1532</v>
      </c>
      <c r="BG81" s="1" t="s">
        <v>1410</v>
      </c>
    </row>
    <row r="82" spans="8:90" ht="15">
      <c r="I82" s="4"/>
      <c r="J82" s="1"/>
      <c r="V82" s="2" t="s">
        <v>1562</v>
      </c>
      <c r="BG82" s="2" t="s">
        <v>1399</v>
      </c>
      <c r="CJ82" s="2" t="s">
        <v>1402</v>
      </c>
    </row>
    <row r="83" spans="8:90" ht="15">
      <c r="I83" s="4"/>
      <c r="J83" s="1"/>
      <c r="BH83" s="2" t="s">
        <v>1400</v>
      </c>
      <c r="CK83" s="2" t="s">
        <v>1403</v>
      </c>
    </row>
    <row r="84" spans="8:90" ht="15">
      <c r="I84" s="4"/>
      <c r="J84" s="1"/>
      <c r="BI84" s="2" t="s">
        <v>1401</v>
      </c>
      <c r="CL84" s="2" t="s">
        <v>1404</v>
      </c>
    </row>
    <row r="85" spans="8:90" ht="15">
      <c r="AD85" s="2" t="s">
        <v>1533</v>
      </c>
      <c r="BG85" s="1" t="s">
        <v>1409</v>
      </c>
    </row>
    <row r="86" spans="8:90" ht="15">
      <c r="H86" s="1" t="s">
        <v>1245</v>
      </c>
      <c r="BG86" s="2" t="s">
        <v>1405</v>
      </c>
      <c r="CJ86" s="2" t="s">
        <v>1407</v>
      </c>
    </row>
    <row r="87" spans="8:90">
      <c r="BH87" s="2" t="s">
        <v>1406</v>
      </c>
    </row>
    <row r="88" spans="8:90">
      <c r="BG88" s="2" t="s">
        <v>1427</v>
      </c>
    </row>
    <row r="89" spans="8:90">
      <c r="BH89" s="2" t="s">
        <v>1408</v>
      </c>
    </row>
    <row r="90" spans="8:90" ht="15">
      <c r="BG90" s="1" t="s">
        <v>1378</v>
      </c>
    </row>
    <row r="91" spans="8:90" ht="15">
      <c r="BG91" s="2" t="s">
        <v>1385</v>
      </c>
    </row>
    <row r="92" spans="8:90">
      <c r="BG92" s="2" t="s">
        <v>1380</v>
      </c>
    </row>
    <row r="93" spans="8:90">
      <c r="BH93" s="2" t="s">
        <v>1563</v>
      </c>
    </row>
    <row r="94" spans="8:90" ht="15">
      <c r="BG94" s="1" t="s">
        <v>1384</v>
      </c>
    </row>
    <row r="95" spans="8:90" ht="15">
      <c r="BG95" s="2" t="s">
        <v>1382</v>
      </c>
    </row>
    <row r="96" spans="8:90">
      <c r="BG96" s="2" t="s">
        <v>1428</v>
      </c>
    </row>
    <row r="97" spans="59:61">
      <c r="BH97" s="2" t="s">
        <v>1429</v>
      </c>
    </row>
    <row r="98" spans="59:61" ht="15">
      <c r="BG98" s="1" t="s">
        <v>1412</v>
      </c>
    </row>
    <row r="99" spans="59:61">
      <c r="BG99" s="2" t="s">
        <v>1413</v>
      </c>
    </row>
    <row r="100" spans="59:61">
      <c r="BH100" s="2" t="s">
        <v>1414</v>
      </c>
    </row>
    <row r="101" spans="59:61" ht="15">
      <c r="BG101" s="1" t="s">
        <v>1415</v>
      </c>
    </row>
    <row r="102" spans="59:61">
      <c r="BG102" s="2" t="s">
        <v>1430</v>
      </c>
    </row>
    <row r="103" spans="59:61">
      <c r="BG103" s="2" t="s">
        <v>1431</v>
      </c>
    </row>
    <row r="104" spans="59:61">
      <c r="BG104" s="2" t="s">
        <v>1432</v>
      </c>
    </row>
    <row r="105" spans="59:61" ht="15">
      <c r="BG105" s="1" t="s">
        <v>22</v>
      </c>
    </row>
    <row r="106" spans="59:61">
      <c r="BG106" s="2" t="s">
        <v>1418</v>
      </c>
    </row>
    <row r="107" spans="59:61">
      <c r="BH107" s="2" t="s">
        <v>1419</v>
      </c>
    </row>
    <row r="108" spans="59:61">
      <c r="BI108" s="2" t="s">
        <v>1420</v>
      </c>
    </row>
    <row r="109" spans="59:61">
      <c r="BI109" s="2" t="s">
        <v>1421</v>
      </c>
    </row>
    <row r="110" spans="59:61">
      <c r="BI110" s="2" t="s">
        <v>1422</v>
      </c>
    </row>
    <row r="111" spans="59:61">
      <c r="BI111" s="2" t="s">
        <v>1423</v>
      </c>
    </row>
    <row r="112" spans="59:61">
      <c r="BG112" s="2" t="s">
        <v>1424</v>
      </c>
    </row>
    <row r="113" spans="8:60">
      <c r="BG113" s="2" t="s">
        <v>1425</v>
      </c>
    </row>
    <row r="114" spans="8:60">
      <c r="BH114" s="2" t="s">
        <v>1564</v>
      </c>
    </row>
    <row r="115" spans="8:60" ht="15">
      <c r="BG115" s="1" t="s">
        <v>1497</v>
      </c>
    </row>
    <row r="116" spans="8:60">
      <c r="BG116" s="2" t="s">
        <v>1498</v>
      </c>
    </row>
    <row r="117" spans="8:60">
      <c r="BG117" s="2" t="s">
        <v>1499</v>
      </c>
    </row>
    <row r="118" spans="8:60" ht="15">
      <c r="BG118" s="1" t="s">
        <v>20</v>
      </c>
    </row>
    <row r="119" spans="8:60">
      <c r="I119" s="2" t="s">
        <v>1397</v>
      </c>
      <c r="BG119" s="2" t="s">
        <v>1500</v>
      </c>
    </row>
    <row r="120" spans="8:60">
      <c r="J120" s="2" t="s">
        <v>1398</v>
      </c>
      <c r="BH120" s="2" t="s">
        <v>1501</v>
      </c>
    </row>
    <row r="121" spans="8:60">
      <c r="J121" s="2" t="s">
        <v>1565</v>
      </c>
      <c r="BG121" s="2" t="s">
        <v>1502</v>
      </c>
    </row>
    <row r="122" spans="8:60">
      <c r="BG122" s="2" t="s">
        <v>1566</v>
      </c>
    </row>
    <row r="123" spans="8:60" ht="15">
      <c r="H123" s="1" t="s">
        <v>94</v>
      </c>
      <c r="BH123" s="2" t="s">
        <v>1503</v>
      </c>
    </row>
    <row r="124" spans="8:60">
      <c r="BG124" s="2" t="s">
        <v>1504</v>
      </c>
    </row>
    <row r="125" spans="8:60">
      <c r="BH125" s="2" t="s">
        <v>1505</v>
      </c>
    </row>
    <row r="126" spans="8:60">
      <c r="BH126" s="2" t="s">
        <v>1506</v>
      </c>
    </row>
    <row r="127" spans="8:60" ht="15">
      <c r="AD127" s="1" t="s">
        <v>1255</v>
      </c>
    </row>
    <row r="153" spans="8:31" ht="15">
      <c r="AD153" s="1" t="s">
        <v>1416</v>
      </c>
    </row>
    <row r="154" spans="8:31">
      <c r="AE154" s="2" t="s">
        <v>1417</v>
      </c>
    </row>
    <row r="155" spans="8:31" ht="15">
      <c r="H155" s="1" t="s">
        <v>1128</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11" ht="15" customHeight="1">
      <c r="A177" s="5">
        <v>346.5</v>
      </c>
      <c r="B177" s="5">
        <v>351.04</v>
      </c>
      <c r="C177" s="5">
        <v>343.19</v>
      </c>
      <c r="D177" s="5">
        <v>346.17</v>
      </c>
      <c r="E177" s="5">
        <v>1349941</v>
      </c>
      <c r="F177" s="5" t="s">
        <v>1110</v>
      </c>
      <c r="G177" s="9">
        <f t="shared" si="0"/>
        <v>9.5328884652046142E-4</v>
      </c>
    </row>
    <row r="178" spans="1:11">
      <c r="A178" s="5">
        <v>346.67</v>
      </c>
      <c r="B178" s="5">
        <v>352.58</v>
      </c>
      <c r="C178" s="5">
        <v>343.58</v>
      </c>
      <c r="D178" s="5">
        <v>348.24</v>
      </c>
      <c r="E178" s="5">
        <v>1302879</v>
      </c>
      <c r="F178" s="5" t="s">
        <v>1109</v>
      </c>
      <c r="G178" s="9">
        <f t="shared" si="0"/>
        <v>-4.5083850218240462E-3</v>
      </c>
    </row>
    <row r="179" spans="1:11">
      <c r="A179" s="5">
        <v>346.8</v>
      </c>
      <c r="B179" s="5">
        <v>355.39</v>
      </c>
      <c r="C179" s="5">
        <v>345.99</v>
      </c>
      <c r="D179" s="5">
        <v>354.85</v>
      </c>
      <c r="E179" s="5">
        <v>1670401</v>
      </c>
      <c r="F179" s="5" t="s">
        <v>1108</v>
      </c>
      <c r="G179" s="9">
        <f t="shared" si="0"/>
        <v>-2.2685641820487601E-2</v>
      </c>
    </row>
    <row r="180" spans="1:11">
      <c r="A180" s="5">
        <v>353.42</v>
      </c>
      <c r="B180" s="5">
        <v>358</v>
      </c>
      <c r="C180" s="5">
        <v>349.14</v>
      </c>
      <c r="D180" s="5">
        <v>354.75</v>
      </c>
      <c r="E180" s="5">
        <v>1317863</v>
      </c>
      <c r="F180" s="5" t="s">
        <v>1107</v>
      </c>
      <c r="G180" s="9">
        <f t="shared" si="0"/>
        <v>-3.7491190979562772E-3</v>
      </c>
    </row>
    <row r="181" spans="1:11">
      <c r="A181" s="5">
        <v>350.28</v>
      </c>
      <c r="B181" s="5">
        <v>353.1046</v>
      </c>
      <c r="C181" s="5">
        <v>341.74</v>
      </c>
      <c r="D181" s="5">
        <v>351.15</v>
      </c>
      <c r="E181" s="5">
        <v>1767163</v>
      </c>
      <c r="F181" s="5" t="s">
        <v>1106</v>
      </c>
      <c r="G181" s="9">
        <f t="shared" si="0"/>
        <v>-2.4775736864588449E-3</v>
      </c>
    </row>
    <row r="182" spans="1:11">
      <c r="A182" s="5">
        <v>348.39</v>
      </c>
      <c r="B182" s="5">
        <v>359.46</v>
      </c>
      <c r="C182" s="5">
        <v>337.45</v>
      </c>
      <c r="D182" s="5">
        <v>358.33</v>
      </c>
      <c r="E182" s="5">
        <v>2669001</v>
      </c>
      <c r="F182" s="5" t="s">
        <v>1105</v>
      </c>
      <c r="G182" s="9">
        <f t="shared" si="0"/>
        <v>-2.7739792928306306E-2</v>
      </c>
    </row>
    <row r="183" spans="1:11">
      <c r="A183" s="5">
        <v>362.97</v>
      </c>
      <c r="B183" s="5">
        <v>364.4</v>
      </c>
      <c r="C183" s="5">
        <v>330</v>
      </c>
      <c r="D183" s="5">
        <v>335</v>
      </c>
      <c r="E183" s="5">
        <v>3128870</v>
      </c>
      <c r="F183" s="5" t="s">
        <v>1104</v>
      </c>
      <c r="G183" s="9">
        <f t="shared" si="0"/>
        <v>8.349253731343298E-2</v>
      </c>
    </row>
    <row r="184" spans="1:11">
      <c r="A184" s="5">
        <v>337.37</v>
      </c>
      <c r="B184" s="5">
        <v>357.47</v>
      </c>
      <c r="C184" s="5">
        <v>332.32</v>
      </c>
      <c r="D184" s="5">
        <v>355.46499999999997</v>
      </c>
      <c r="E184" s="5">
        <v>2052994</v>
      </c>
      <c r="F184" s="5" t="s">
        <v>1103</v>
      </c>
      <c r="G184" s="9">
        <f t="shared" si="0"/>
        <v>-5.0905152406003351E-2</v>
      </c>
    </row>
    <row r="185" spans="1:11">
      <c r="A185" s="5">
        <v>345.34</v>
      </c>
      <c r="B185" s="5">
        <v>357.59</v>
      </c>
      <c r="C185" s="5">
        <v>329.16079999999999</v>
      </c>
      <c r="D185" s="5">
        <v>335.25</v>
      </c>
      <c r="E185" s="5">
        <v>4198899</v>
      </c>
      <c r="F185" s="5" t="s">
        <v>1102</v>
      </c>
      <c r="G185" s="9">
        <f t="shared" si="0"/>
        <v>3.0096942580164043E-2</v>
      </c>
      <c r="I185" s="2" t="s">
        <v>1150</v>
      </c>
    </row>
    <row r="186" spans="1:11">
      <c r="A186" s="5">
        <v>345.8</v>
      </c>
      <c r="B186" s="5">
        <v>362.07</v>
      </c>
      <c r="C186" s="5">
        <v>344.81</v>
      </c>
      <c r="D186" s="5">
        <v>361.07499999999999</v>
      </c>
      <c r="E186" s="5">
        <v>3956780</v>
      </c>
      <c r="F186" s="5" t="s">
        <v>1101</v>
      </c>
      <c r="G186" s="9">
        <f t="shared" si="0"/>
        <v>-4.2304230423042211E-2</v>
      </c>
      <c r="I186" s="2" t="s">
        <v>1132</v>
      </c>
    </row>
    <row r="187" spans="1:11">
      <c r="A187" s="5">
        <v>368.15</v>
      </c>
      <c r="B187" s="5">
        <v>374.56</v>
      </c>
      <c r="C187" s="5">
        <v>361.59</v>
      </c>
      <c r="D187" s="5">
        <v>367.97</v>
      </c>
      <c r="E187" s="5">
        <v>3306171</v>
      </c>
      <c r="F187" s="5" t="s">
        <v>1100</v>
      </c>
      <c r="G187" s="9">
        <f t="shared" si="0"/>
        <v>4.8917031279716028E-4</v>
      </c>
    </row>
    <row r="188" spans="1:11">
      <c r="A188" s="5">
        <v>377.46</v>
      </c>
      <c r="B188" s="5">
        <v>378.35</v>
      </c>
      <c r="C188" s="5">
        <v>366.69</v>
      </c>
      <c r="D188" s="5">
        <v>369.57</v>
      </c>
      <c r="E188" s="5">
        <v>1801895</v>
      </c>
      <c r="F188" s="5" t="s">
        <v>1099</v>
      </c>
      <c r="G188" s="9">
        <f t="shared" si="0"/>
        <v>2.1349135481776083E-2</v>
      </c>
    </row>
    <row r="189" spans="1:11">
      <c r="A189" s="5">
        <v>373.3</v>
      </c>
      <c r="B189" s="5">
        <v>374.04</v>
      </c>
      <c r="C189" s="5">
        <v>366.61</v>
      </c>
      <c r="D189" s="5">
        <v>369.29</v>
      </c>
      <c r="E189" s="5">
        <v>1180876</v>
      </c>
      <c r="F189" s="5" t="s">
        <v>1098</v>
      </c>
      <c r="G189" s="9">
        <f t="shared" si="0"/>
        <v>1.0858674754258058E-2</v>
      </c>
    </row>
    <row r="190" spans="1:11">
      <c r="A190" s="5">
        <v>372.25</v>
      </c>
      <c r="B190" s="5">
        <v>374.2</v>
      </c>
      <c r="C190" s="5">
        <v>361.02499999999998</v>
      </c>
      <c r="D190" s="5">
        <v>361.53</v>
      </c>
      <c r="E190" s="5">
        <v>1924305</v>
      </c>
      <c r="F190" s="5" t="s">
        <v>1097</v>
      </c>
      <c r="G190" s="9">
        <f t="shared" si="0"/>
        <v>2.9651757807097612E-2</v>
      </c>
    </row>
    <row r="191" spans="1:11">
      <c r="A191" s="5">
        <v>363.66</v>
      </c>
      <c r="B191" s="5">
        <v>367.66079999999999</v>
      </c>
      <c r="C191" s="5">
        <v>362.43779999999998</v>
      </c>
      <c r="D191" s="5">
        <v>364.66770000000002</v>
      </c>
      <c r="E191" s="5">
        <v>1274328</v>
      </c>
      <c r="F191" s="5" t="s">
        <v>1096</v>
      </c>
      <c r="G191" s="9">
        <f t="shared" si="0"/>
        <v>-2.7633376907250096E-3</v>
      </c>
    </row>
    <row r="192" spans="1:11">
      <c r="A192" s="5">
        <v>366.69299999999998</v>
      </c>
      <c r="B192" s="5">
        <v>369.14729999999997</v>
      </c>
      <c r="C192" s="5">
        <v>364.64769999999999</v>
      </c>
      <c r="D192" s="5">
        <v>366.76280000000003</v>
      </c>
      <c r="E192" s="5">
        <v>1138814</v>
      </c>
      <c r="F192" s="5" t="s">
        <v>1095</v>
      </c>
      <c r="G192" s="9">
        <f t="shared" si="0"/>
        <v>-1.9031373956146513E-4</v>
      </c>
      <c r="I192" s="10"/>
      <c r="J192" s="10" t="s">
        <v>1130</v>
      </c>
      <c r="K192" s="11">
        <f>MIN(G167:G1192)</f>
        <v>-5.5999092292851715E-2</v>
      </c>
    </row>
    <row r="193" spans="1:30">
      <c r="A193" s="5">
        <v>366.92250000000001</v>
      </c>
      <c r="B193" s="5">
        <v>371.75130000000001</v>
      </c>
      <c r="C193" s="5">
        <v>359.16039999999998</v>
      </c>
      <c r="D193" s="5">
        <v>370.57400000000001</v>
      </c>
      <c r="E193" s="5">
        <v>1657559</v>
      </c>
      <c r="F193" s="5" t="s">
        <v>1094</v>
      </c>
      <c r="G193" s="9">
        <f t="shared" si="0"/>
        <v>-9.8536324728664137E-3</v>
      </c>
      <c r="I193" s="10"/>
      <c r="J193" s="10" t="s">
        <v>1131</v>
      </c>
      <c r="K193" s="11">
        <f>MAX(G167:G1192)</f>
        <v>8.349253731343298E-2</v>
      </c>
    </row>
    <row r="194" spans="1:30">
      <c r="A194" s="5">
        <v>372.01069999999999</v>
      </c>
      <c r="B194" s="5">
        <v>378.16649999999998</v>
      </c>
      <c r="C194" s="5">
        <v>369.36680000000001</v>
      </c>
      <c r="D194" s="5">
        <v>374.8741</v>
      </c>
      <c r="E194" s="5">
        <v>865039</v>
      </c>
      <c r="F194" s="5" t="s">
        <v>1093</v>
      </c>
      <c r="G194" s="9">
        <f t="shared" si="0"/>
        <v>-7.638297764502866E-3</v>
      </c>
      <c r="I194" s="10"/>
      <c r="J194" s="10" t="s">
        <v>1133</v>
      </c>
      <c r="K194" s="11">
        <f>AVERAGE(G167:G1192)</f>
        <v>2.8840192365155138E-4</v>
      </c>
    </row>
    <row r="195" spans="1:30">
      <c r="A195" s="5">
        <v>373.40750000000003</v>
      </c>
      <c r="B195" s="5">
        <v>376.36070000000001</v>
      </c>
      <c r="C195" s="5">
        <v>371.80930000000001</v>
      </c>
      <c r="D195" s="5">
        <v>372.66919999999999</v>
      </c>
      <c r="E195" s="5">
        <v>1124286</v>
      </c>
      <c r="F195" s="5" t="s">
        <v>1092</v>
      </c>
      <c r="G195" s="9">
        <f t="shared" si="0"/>
        <v>1.9811135452032502E-3</v>
      </c>
      <c r="I195" s="10"/>
      <c r="J195" s="10" t="s">
        <v>1134</v>
      </c>
      <c r="K195" s="11">
        <f>MEDIAN(G167:G1192)</f>
        <v>3.4810405770502317E-4</v>
      </c>
    </row>
    <row r="196" spans="1:30" ht="15">
      <c r="A196" s="5">
        <v>370.25479999999999</v>
      </c>
      <c r="B196" s="5">
        <v>373.92630000000003</v>
      </c>
      <c r="C196" s="5">
        <v>365.6454</v>
      </c>
      <c r="D196" s="5">
        <v>370.47430000000003</v>
      </c>
      <c r="E196" s="5">
        <v>2372481</v>
      </c>
      <c r="F196" s="5" t="s">
        <v>1091</v>
      </c>
      <c r="G196" s="9">
        <f t="shared" si="0"/>
        <v>-5.9248374313691787E-4</v>
      </c>
      <c r="I196" s="10"/>
      <c r="J196" s="10" t="s">
        <v>1135</v>
      </c>
      <c r="K196" s="11">
        <f>_xlfn.STDEV.P(G167:G1192)</f>
        <v>1.330634927391715E-2</v>
      </c>
      <c r="M196" s="1"/>
    </row>
    <row r="197" spans="1:30" ht="15">
      <c r="A197" s="5">
        <v>373.35759999999999</v>
      </c>
      <c r="B197" s="5">
        <v>377.392</v>
      </c>
      <c r="C197" s="5">
        <v>372.45839999999998</v>
      </c>
      <c r="D197" s="5">
        <v>376.63</v>
      </c>
      <c r="E197" s="5">
        <v>1509074</v>
      </c>
      <c r="F197" s="5" t="s">
        <v>1090</v>
      </c>
      <c r="G197" s="9">
        <f t="shared" si="0"/>
        <v>-8.6886334067918236E-3</v>
      </c>
      <c r="I197" s="10"/>
      <c r="J197" s="12" t="s">
        <v>1136</v>
      </c>
      <c r="K197" s="11">
        <f>3*K196</f>
        <v>3.9919047821751451E-2</v>
      </c>
      <c r="L197" s="10"/>
      <c r="M197" s="1" t="s">
        <v>1567</v>
      </c>
    </row>
    <row r="198" spans="1:30" ht="15">
      <c r="A198" s="5">
        <v>377.17880000000002</v>
      </c>
      <c r="B198" s="5">
        <v>380.01220000000001</v>
      </c>
      <c r="C198" s="5">
        <v>373.74669999999998</v>
      </c>
      <c r="D198" s="5">
        <v>376.01150000000001</v>
      </c>
      <c r="E198" s="5">
        <v>1554972</v>
      </c>
      <c r="F198" s="5" t="s">
        <v>1089</v>
      </c>
      <c r="G198" s="9">
        <f t="shared" si="0"/>
        <v>3.1044263273862782E-3</v>
      </c>
      <c r="I198" s="10"/>
      <c r="J198" s="12" t="s">
        <v>1137</v>
      </c>
      <c r="K198" s="10">
        <v>0.94</v>
      </c>
      <c r="L198" s="10"/>
      <c r="M198" s="1" t="s">
        <v>1138</v>
      </c>
    </row>
    <row r="199" spans="1:30">
      <c r="A199" s="5">
        <v>375.0437</v>
      </c>
      <c r="B199" s="5">
        <v>375.85180000000003</v>
      </c>
      <c r="C199" s="5">
        <v>371.91090000000003</v>
      </c>
      <c r="D199" s="5">
        <v>373.13810000000001</v>
      </c>
      <c r="E199" s="5">
        <v>1774944</v>
      </c>
      <c r="F199" s="5" t="s">
        <v>1088</v>
      </c>
      <c r="G199" s="9">
        <f t="shared" si="0"/>
        <v>5.1069563788848082E-3</v>
      </c>
      <c r="AD199" s="2" t="s">
        <v>1509</v>
      </c>
    </row>
    <row r="200" spans="1:30">
      <c r="A200" s="5">
        <v>372.6293</v>
      </c>
      <c r="B200" s="5">
        <v>375.82190000000003</v>
      </c>
      <c r="C200" s="5">
        <v>367.15190000000001</v>
      </c>
      <c r="D200" s="5">
        <v>367.24169999999998</v>
      </c>
      <c r="E200" s="5">
        <v>1236099</v>
      </c>
      <c r="F200" s="5" t="s">
        <v>1087</v>
      </c>
      <c r="G200" s="9">
        <f t="shared" si="0"/>
        <v>1.4670447283083643E-2</v>
      </c>
    </row>
    <row r="201" spans="1:30">
      <c r="A201" s="5">
        <v>368.67840000000001</v>
      </c>
      <c r="B201" s="5">
        <v>370.9033</v>
      </c>
      <c r="C201" s="5">
        <v>361.77440000000001</v>
      </c>
      <c r="D201" s="5">
        <v>363.7398</v>
      </c>
      <c r="E201" s="5">
        <v>1798176</v>
      </c>
      <c r="F201" s="5" t="s">
        <v>1086</v>
      </c>
      <c r="G201" s="9">
        <f t="shared" si="0"/>
        <v>1.3577287940445437E-2</v>
      </c>
      <c r="I201" s="21" t="s">
        <v>1149</v>
      </c>
      <c r="J201" s="22">
        <v>1014</v>
      </c>
    </row>
    <row r="202" spans="1:30" ht="15" thickBot="1">
      <c r="A202" s="5">
        <v>362.82190000000003</v>
      </c>
      <c r="B202" s="5">
        <v>366.43360000000001</v>
      </c>
      <c r="C202" s="5">
        <v>360.19799999999998</v>
      </c>
      <c r="D202" s="5">
        <v>364.29849999999999</v>
      </c>
      <c r="E202" s="5">
        <v>1965867</v>
      </c>
      <c r="F202" s="5" t="s">
        <v>1085</v>
      </c>
      <c r="G202" s="9">
        <f t="shared" si="0"/>
        <v>-4.0532695028938637E-3</v>
      </c>
      <c r="I202" s="2" t="s">
        <v>1155</v>
      </c>
      <c r="L202" s="2" t="s">
        <v>1156</v>
      </c>
      <c r="P202" s="2" t="s">
        <v>1157</v>
      </c>
    </row>
    <row r="203" spans="1:30" ht="15" customHeight="1">
      <c r="A203" s="5">
        <v>363.00150000000002</v>
      </c>
      <c r="B203" s="5">
        <v>370.25479999999999</v>
      </c>
      <c r="C203" s="5">
        <v>360.50229999999999</v>
      </c>
      <c r="D203" s="5">
        <v>367.50110000000001</v>
      </c>
      <c r="E203" s="5">
        <v>1559213</v>
      </c>
      <c r="F203" s="5" t="s">
        <v>1084</v>
      </c>
      <c r="G203" s="9">
        <f t="shared" si="0"/>
        <v>-1.2243772875781822E-2</v>
      </c>
      <c r="I203" s="15" t="s">
        <v>1139</v>
      </c>
      <c r="J203" s="15" t="s">
        <v>1141</v>
      </c>
      <c r="L203" s="23" t="s">
        <v>1151</v>
      </c>
      <c r="M203" s="24" t="s">
        <v>1152</v>
      </c>
      <c r="P203" s="23" t="s">
        <v>1153</v>
      </c>
      <c r="Q203" s="24" t="s">
        <v>1154</v>
      </c>
    </row>
    <row r="204" spans="1:30" ht="15">
      <c r="A204" s="5">
        <v>364.44819999999999</v>
      </c>
      <c r="B204" s="5">
        <v>368.66840000000002</v>
      </c>
      <c r="C204" s="5">
        <v>362.26319999999998</v>
      </c>
      <c r="D204" s="5">
        <v>368.66840000000002</v>
      </c>
      <c r="E204" s="5">
        <v>1638849</v>
      </c>
      <c r="F204" s="5" t="s">
        <v>1083</v>
      </c>
      <c r="G204" s="9">
        <f t="shared" si="0"/>
        <v>-1.1447143286487327E-2</v>
      </c>
      <c r="I204" s="13">
        <v>-0.04</v>
      </c>
      <c r="J204">
        <v>1</v>
      </c>
      <c r="L204" s="13">
        <v>-4.1000000000000002E-2</v>
      </c>
      <c r="M204" s="2">
        <f t="shared" ref="M204:M235" si="1">_xlfn.NORM.DIST(L204,$K$194,$K$196,FALSE)</f>
        <v>0.24330261971412301</v>
      </c>
      <c r="O204" s="2" t="s">
        <v>1142</v>
      </c>
      <c r="P204" s="16">
        <f>K194</f>
        <v>2.8840192365155138E-4</v>
      </c>
      <c r="Q204" s="2">
        <v>0</v>
      </c>
    </row>
    <row r="205" spans="1:30" ht="15">
      <c r="A205" s="5">
        <v>369.267</v>
      </c>
      <c r="B205" s="5">
        <v>376.221</v>
      </c>
      <c r="C205" s="5">
        <v>366.4436</v>
      </c>
      <c r="D205" s="5">
        <v>374.58479999999997</v>
      </c>
      <c r="E205" s="5">
        <v>2162585</v>
      </c>
      <c r="F205" s="5" t="s">
        <v>1082</v>
      </c>
      <c r="G205" s="9">
        <f t="shared" si="0"/>
        <v>-1.419651838515601E-2</v>
      </c>
      <c r="I205" s="13">
        <v>-3.9E-2</v>
      </c>
      <c r="J205">
        <v>1</v>
      </c>
      <c r="L205" s="13">
        <v>-0.04</v>
      </c>
      <c r="M205" s="2">
        <f t="shared" si="1"/>
        <v>0.30633285338385041</v>
      </c>
      <c r="P205" s="16">
        <f>K195</f>
        <v>3.4810405770502317E-4</v>
      </c>
      <c r="Q205" s="2">
        <v>32</v>
      </c>
    </row>
    <row r="206" spans="1:30" ht="15">
      <c r="A206" s="5">
        <v>378.42590000000001</v>
      </c>
      <c r="B206" s="5">
        <v>380.12200000000001</v>
      </c>
      <c r="C206" s="5">
        <v>366.60320000000002</v>
      </c>
      <c r="D206" s="5">
        <v>379.06439999999998</v>
      </c>
      <c r="E206" s="5">
        <v>1961830</v>
      </c>
      <c r="F206" s="5" t="s">
        <v>1081</v>
      </c>
      <c r="G206" s="9">
        <f t="shared" si="0"/>
        <v>-1.6844103534913168E-3</v>
      </c>
      <c r="I206" s="13">
        <v>-3.7999999999999999E-2</v>
      </c>
      <c r="J206">
        <v>0</v>
      </c>
      <c r="L206" s="13">
        <v>-3.9E-2</v>
      </c>
      <c r="M206" s="2">
        <f t="shared" si="1"/>
        <v>0.38351958154803484</v>
      </c>
      <c r="O206" s="17" t="s">
        <v>1143</v>
      </c>
      <c r="P206" s="16">
        <f>$K$194+($K$196*-3)</f>
        <v>-3.9630645898099899E-2</v>
      </c>
      <c r="Q206" s="2">
        <v>0</v>
      </c>
    </row>
    <row r="207" spans="1:30" ht="15">
      <c r="A207" s="5">
        <v>381.42899999999997</v>
      </c>
      <c r="B207" s="5">
        <v>392.56319999999999</v>
      </c>
      <c r="C207" s="5">
        <v>379.12279999999998</v>
      </c>
      <c r="D207" s="5">
        <v>391.13650000000001</v>
      </c>
      <c r="E207" s="5">
        <v>1263833</v>
      </c>
      <c r="F207" s="5" t="s">
        <v>1080</v>
      </c>
      <c r="G207" s="9">
        <f t="shared" si="0"/>
        <v>-2.4818701399639376E-2</v>
      </c>
      <c r="I207" s="13">
        <v>-3.6999999999999998E-2</v>
      </c>
      <c r="J207">
        <v>0</v>
      </c>
      <c r="L207" s="13">
        <v>-3.7999999999999999E-2</v>
      </c>
      <c r="M207" s="2">
        <f t="shared" si="1"/>
        <v>0.47745086551047328</v>
      </c>
      <c r="O207" s="18"/>
      <c r="P207" s="16">
        <f>$K$194+($K$196*-3)</f>
        <v>-3.9630645898099899E-2</v>
      </c>
      <c r="Q207" s="2">
        <v>3</v>
      </c>
    </row>
    <row r="208" spans="1:30" ht="15">
      <c r="A208" s="5">
        <v>394.77809999999999</v>
      </c>
      <c r="B208" s="5">
        <v>397.08280000000002</v>
      </c>
      <c r="C208" s="5">
        <v>386.11810000000003</v>
      </c>
      <c r="D208" s="5">
        <v>386.85640000000001</v>
      </c>
      <c r="E208" s="5">
        <v>1105201</v>
      </c>
      <c r="F208" s="5" t="s">
        <v>1079</v>
      </c>
      <c r="G208" s="9">
        <f t="shared" si="0"/>
        <v>2.0477107267709682E-2</v>
      </c>
      <c r="I208" s="13">
        <v>-3.5999999999999997E-2</v>
      </c>
      <c r="J208">
        <v>1</v>
      </c>
      <c r="L208" s="13">
        <v>-3.6999999999999998E-2</v>
      </c>
      <c r="M208" s="2">
        <f t="shared" si="1"/>
        <v>0.59104017531798669</v>
      </c>
      <c r="O208" s="17" t="s">
        <v>1144</v>
      </c>
      <c r="P208" s="16">
        <f>$K$194+($K$196*-2)</f>
        <v>-2.6324296624182748E-2</v>
      </c>
      <c r="Q208" s="2">
        <v>0</v>
      </c>
    </row>
    <row r="209" spans="1:30" ht="15">
      <c r="A209" s="5">
        <v>389.02140000000003</v>
      </c>
      <c r="B209" s="5">
        <v>395.52640000000002</v>
      </c>
      <c r="C209" s="5">
        <v>387.8741</v>
      </c>
      <c r="D209" s="5">
        <v>394.15960000000001</v>
      </c>
      <c r="E209" s="5">
        <v>1687281</v>
      </c>
      <c r="F209" s="5" t="s">
        <v>1078</v>
      </c>
      <c r="G209" s="9">
        <f t="shared" si="0"/>
        <v>-1.3035836245013366E-2</v>
      </c>
      <c r="I209" s="13">
        <v>-3.4999999999999996E-2</v>
      </c>
      <c r="J209">
        <v>4</v>
      </c>
      <c r="L209" s="13">
        <v>-3.5999999999999997E-2</v>
      </c>
      <c r="M209" s="2">
        <f t="shared" si="1"/>
        <v>0.72753266253923077</v>
      </c>
      <c r="O209" s="18"/>
      <c r="P209" s="16">
        <f>$K$194+($K$196*-2)</f>
        <v>-2.6324296624182748E-2</v>
      </c>
      <c r="Q209" s="2">
        <v>7</v>
      </c>
    </row>
    <row r="210" spans="1:30" ht="15">
      <c r="A210" s="5">
        <v>393.97</v>
      </c>
      <c r="B210" s="5">
        <v>396.40440000000001</v>
      </c>
      <c r="C210" s="5">
        <v>387.45499999999998</v>
      </c>
      <c r="D210" s="5">
        <v>389.50029999999998</v>
      </c>
      <c r="E210" s="5">
        <v>1237657</v>
      </c>
      <c r="F210" s="5" t="s">
        <v>1077</v>
      </c>
      <c r="G210" s="9">
        <f t="shared" si="0"/>
        <v>1.1475472547774812E-2</v>
      </c>
      <c r="I210" s="13">
        <v>-3.3999999999999996E-2</v>
      </c>
      <c r="J210">
        <v>2</v>
      </c>
      <c r="L210" s="13">
        <v>-3.4999999999999996E-2</v>
      </c>
      <c r="M210" s="2">
        <f t="shared" si="1"/>
        <v>0.89050254374147597</v>
      </c>
      <c r="O210" s="19" t="s">
        <v>1145</v>
      </c>
      <c r="P210" s="16">
        <f>$K$194+($K$196*-1)</f>
        <v>-1.3017947350265598E-2</v>
      </c>
      <c r="Q210" s="2">
        <v>0</v>
      </c>
    </row>
    <row r="211" spans="1:30" ht="15">
      <c r="A211" s="5">
        <v>385.3</v>
      </c>
      <c r="B211" s="5">
        <v>392.91239999999999</v>
      </c>
      <c r="C211" s="5">
        <v>378.73520000000002</v>
      </c>
      <c r="D211" s="5">
        <v>390.14879999999999</v>
      </c>
      <c r="E211" s="5">
        <v>2855622</v>
      </c>
      <c r="F211" s="5" t="s">
        <v>1076</v>
      </c>
      <c r="G211" s="9">
        <f t="shared" si="0"/>
        <v>-1.242807872278473E-2</v>
      </c>
      <c r="I211" s="13">
        <v>-3.2999999999999995E-2</v>
      </c>
      <c r="J211">
        <v>1</v>
      </c>
      <c r="L211" s="13">
        <v>-3.3999999999999996E-2</v>
      </c>
      <c r="M211" s="2">
        <f t="shared" si="1"/>
        <v>1.0838395846539897</v>
      </c>
      <c r="P211" s="16">
        <f>$K$194+($K$196*-1)</f>
        <v>-1.3017947350265598E-2</v>
      </c>
      <c r="Q211" s="2">
        <v>25</v>
      </c>
    </row>
    <row r="212" spans="1:30" ht="15">
      <c r="A212" s="5">
        <v>388.00380000000001</v>
      </c>
      <c r="B212" s="5">
        <v>392.93239999999997</v>
      </c>
      <c r="C212" s="5">
        <v>387.61419999999998</v>
      </c>
      <c r="D212" s="5">
        <v>389.50029999999998</v>
      </c>
      <c r="E212" s="5">
        <v>997257</v>
      </c>
      <c r="F212" s="5" t="s">
        <v>1075</v>
      </c>
      <c r="G212" s="9">
        <f t="shared" si="0"/>
        <v>-3.8421023039005853E-3</v>
      </c>
      <c r="I212" s="13">
        <v>-3.1999999999999994E-2</v>
      </c>
      <c r="J212">
        <v>1</v>
      </c>
      <c r="L212" s="13">
        <v>-3.2999999999999995E-2</v>
      </c>
      <c r="M212" s="2">
        <f t="shared" si="1"/>
        <v>1.3117226816436751</v>
      </c>
      <c r="O212" s="2" t="s">
        <v>1146</v>
      </c>
      <c r="P212" s="16">
        <f>$K$194+($K$196*1)</f>
        <v>1.3594751197568701E-2</v>
      </c>
      <c r="Q212" s="2">
        <v>0</v>
      </c>
    </row>
    <row r="213" spans="1:30" ht="15">
      <c r="A213" s="5">
        <v>390.8372</v>
      </c>
      <c r="B213" s="5">
        <v>395.7559</v>
      </c>
      <c r="C213" s="5">
        <v>388.43779999999998</v>
      </c>
      <c r="D213" s="5">
        <v>390.64769999999999</v>
      </c>
      <c r="E213" s="5">
        <v>867818</v>
      </c>
      <c r="F213" s="5" t="s">
        <v>1074</v>
      </c>
      <c r="G213" s="9">
        <f t="shared" si="0"/>
        <v>4.8509181034472881E-4</v>
      </c>
      <c r="I213" s="13">
        <v>-3.0999999999999993E-2</v>
      </c>
      <c r="J213">
        <v>3</v>
      </c>
      <c r="L213" s="13">
        <v>-3.1999999999999994E-2</v>
      </c>
      <c r="M213" s="2">
        <f t="shared" si="1"/>
        <v>1.578578645060458</v>
      </c>
      <c r="P213" s="16">
        <f>$K$194+($K$196*1)</f>
        <v>1.3594751197568701E-2</v>
      </c>
      <c r="Q213" s="2">
        <v>25</v>
      </c>
    </row>
    <row r="214" spans="1:30" ht="15">
      <c r="A214" s="5">
        <v>389.40050000000002</v>
      </c>
      <c r="B214" s="5">
        <v>390.46809999999999</v>
      </c>
      <c r="C214" s="5">
        <v>384.18259999999998</v>
      </c>
      <c r="D214" s="5">
        <v>387.3553</v>
      </c>
      <c r="E214" s="5">
        <v>1665069</v>
      </c>
      <c r="F214" s="5" t="s">
        <v>1073</v>
      </c>
      <c r="G214" s="9">
        <f t="shared" si="0"/>
        <v>5.2799071033751144E-3</v>
      </c>
      <c r="I214" s="13">
        <v>-2.9999999999999992E-2</v>
      </c>
      <c r="J214">
        <v>1</v>
      </c>
      <c r="L214" s="13">
        <v>-3.0999999999999993E-2</v>
      </c>
      <c r="M214" s="2">
        <f t="shared" si="1"/>
        <v>1.8890245151375733</v>
      </c>
      <c r="O214" s="20" t="s">
        <v>1147</v>
      </c>
      <c r="P214" s="16">
        <f>$K$194+($K$196*2)</f>
        <v>2.6901100471485851E-2</v>
      </c>
      <c r="Q214" s="2">
        <v>0</v>
      </c>
    </row>
    <row r="215" spans="1:30" ht="15">
      <c r="A215" s="5">
        <v>387.02600000000001</v>
      </c>
      <c r="B215" s="5">
        <v>389.38060000000002</v>
      </c>
      <c r="C215" s="5">
        <v>379.63310000000001</v>
      </c>
      <c r="D215" s="5">
        <v>381.08969999999999</v>
      </c>
      <c r="E215" s="5">
        <v>1317444</v>
      </c>
      <c r="F215" s="5" t="s">
        <v>1072</v>
      </c>
      <c r="G215" s="9">
        <f t="shared" si="0"/>
        <v>1.5577172513452808E-2</v>
      </c>
      <c r="I215" s="13">
        <v>-2.8999999999999991E-2</v>
      </c>
      <c r="J215">
        <v>4</v>
      </c>
      <c r="L215" s="13">
        <v>-2.9999999999999992E-2</v>
      </c>
      <c r="M215" s="2">
        <f t="shared" si="1"/>
        <v>2.2477920988013178</v>
      </c>
      <c r="P215" s="16">
        <f>$K$194+($K$196*2)</f>
        <v>2.6901100471485851E-2</v>
      </c>
      <c r="Q215" s="2">
        <v>7</v>
      </c>
    </row>
    <row r="216" spans="1:30" ht="15">
      <c r="A216" s="5">
        <v>381.89789999999999</v>
      </c>
      <c r="B216" s="5">
        <v>386.62689999999998</v>
      </c>
      <c r="C216" s="5">
        <v>379.22399999999999</v>
      </c>
      <c r="D216" s="5">
        <v>381.98770000000002</v>
      </c>
      <c r="E216" s="5">
        <v>1268475</v>
      </c>
      <c r="F216" s="5" t="s">
        <v>1071</v>
      </c>
      <c r="G216" s="9">
        <f t="shared" si="0"/>
        <v>-2.3508610355782444E-4</v>
      </c>
      <c r="I216" s="13">
        <v>-2.799999999999999E-2</v>
      </c>
      <c r="J216">
        <v>1</v>
      </c>
      <c r="L216" s="13">
        <v>-2.8999999999999991E-2</v>
      </c>
      <c r="M216" s="2">
        <f t="shared" si="1"/>
        <v>2.6596339130588227</v>
      </c>
      <c r="O216" s="20" t="s">
        <v>1148</v>
      </c>
      <c r="P216" s="16">
        <f>$K$194+($K$196*3)</f>
        <v>4.0207449745403002E-2</v>
      </c>
      <c r="Q216" s="2">
        <v>0</v>
      </c>
    </row>
    <row r="217" spans="1:30" ht="15">
      <c r="A217" s="5">
        <v>385.51949999999999</v>
      </c>
      <c r="B217" s="5">
        <v>387.10430000000002</v>
      </c>
      <c r="C217" s="5">
        <v>382.41669999999999</v>
      </c>
      <c r="D217" s="5">
        <v>386.77659999999997</v>
      </c>
      <c r="E217" s="5">
        <v>930275</v>
      </c>
      <c r="F217" s="5" t="s">
        <v>1070</v>
      </c>
      <c r="G217" s="9">
        <f t="shared" si="0"/>
        <v>-3.2501966251318182E-3</v>
      </c>
      <c r="I217" s="13">
        <v>-2.6999999999999989E-2</v>
      </c>
      <c r="J217">
        <v>4</v>
      </c>
      <c r="L217" s="13">
        <v>-2.799999999999999E-2</v>
      </c>
      <c r="M217" s="2">
        <f t="shared" si="1"/>
        <v>3.1292103587889639</v>
      </c>
      <c r="O217" s="20"/>
      <c r="P217" s="16">
        <f>$K$194+($K$196*3)</f>
        <v>4.0207449745403002E-2</v>
      </c>
      <c r="Q217" s="2">
        <v>3</v>
      </c>
    </row>
    <row r="218" spans="1:30" ht="15">
      <c r="A218" s="5">
        <v>387.62459999999999</v>
      </c>
      <c r="B218" s="5">
        <v>387.73439999999999</v>
      </c>
      <c r="C218" s="5">
        <v>383.37450000000001</v>
      </c>
      <c r="D218" s="5">
        <v>383.69369999999998</v>
      </c>
      <c r="E218" s="5">
        <v>827136</v>
      </c>
      <c r="F218" s="5" t="s">
        <v>1069</v>
      </c>
      <c r="G218" s="9">
        <f t="shared" si="0"/>
        <v>1.024489065105838E-2</v>
      </c>
      <c r="I218" s="13">
        <v>-2.5999999999999988E-2</v>
      </c>
      <c r="J218">
        <v>1</v>
      </c>
      <c r="L218" s="13">
        <v>-2.6999999999999989E-2</v>
      </c>
      <c r="M218" s="2">
        <f t="shared" si="1"/>
        <v>3.6609587205509038</v>
      </c>
    </row>
    <row r="219" spans="1:30" ht="15">
      <c r="A219" s="5">
        <v>384.72140000000002</v>
      </c>
      <c r="B219" s="5">
        <v>384.8211</v>
      </c>
      <c r="C219" s="5">
        <v>378.48579999999998</v>
      </c>
      <c r="D219" s="5">
        <v>382.11739999999998</v>
      </c>
      <c r="E219" s="5">
        <v>1338410</v>
      </c>
      <c r="F219" s="5" t="s">
        <v>1068</v>
      </c>
      <c r="G219" s="9">
        <f t="shared" si="0"/>
        <v>6.814659578443738E-3</v>
      </c>
      <c r="I219" s="13">
        <v>-2.4999999999999988E-2</v>
      </c>
      <c r="J219">
        <v>5</v>
      </c>
      <c r="L219" s="13">
        <v>-2.5999999999999988E-2</v>
      </c>
      <c r="M219" s="2">
        <f t="shared" si="1"/>
        <v>4.258945476645092</v>
      </c>
    </row>
    <row r="220" spans="1:30" ht="15">
      <c r="A220" s="5">
        <v>384.29230000000001</v>
      </c>
      <c r="B220" s="5">
        <v>390.58280000000002</v>
      </c>
      <c r="C220" s="5">
        <v>383.6139</v>
      </c>
      <c r="D220" s="5">
        <v>389.13119999999998</v>
      </c>
      <c r="E220" s="5">
        <v>1267884</v>
      </c>
      <c r="F220" s="5" t="s">
        <v>1067</v>
      </c>
      <c r="G220" s="9">
        <f t="shared" si="0"/>
        <v>-1.243513755771819E-2</v>
      </c>
      <c r="I220" s="13">
        <v>-2.3999999999999987E-2</v>
      </c>
      <c r="J220">
        <v>1</v>
      </c>
      <c r="L220" s="13">
        <v>-2.4999999999999988E-2</v>
      </c>
      <c r="M220" s="2">
        <f t="shared" si="1"/>
        <v>4.9267043820016658</v>
      </c>
    </row>
    <row r="221" spans="1:30" ht="15">
      <c r="A221" s="5">
        <v>387.47500000000002</v>
      </c>
      <c r="B221" s="5">
        <v>387.904</v>
      </c>
      <c r="C221" s="5">
        <v>382.5564</v>
      </c>
      <c r="D221" s="5">
        <v>385.34989999999999</v>
      </c>
      <c r="E221" s="5">
        <v>916676</v>
      </c>
      <c r="F221" s="5" t="s">
        <v>1066</v>
      </c>
      <c r="G221" s="9">
        <f t="shared" si="0"/>
        <v>5.5147283027712213E-3</v>
      </c>
      <c r="I221" s="13">
        <v>-2.2999999999999986E-2</v>
      </c>
      <c r="J221">
        <v>2</v>
      </c>
      <c r="L221" s="13">
        <v>-2.3999999999999987E-2</v>
      </c>
      <c r="M221" s="2">
        <f t="shared" si="1"/>
        <v>5.6670638170172571</v>
      </c>
    </row>
    <row r="222" spans="1:30" ht="15">
      <c r="A222" s="5">
        <v>384.74130000000002</v>
      </c>
      <c r="B222" s="5">
        <v>388.83190000000002</v>
      </c>
      <c r="C222" s="5">
        <v>381.15960000000001</v>
      </c>
      <c r="D222" s="5">
        <v>385.89859999999999</v>
      </c>
      <c r="E222" s="5">
        <v>1161419</v>
      </c>
      <c r="F222" s="5" t="s">
        <v>1065</v>
      </c>
      <c r="G222" s="9">
        <f t="shared" si="0"/>
        <v>-2.9989743419643888E-3</v>
      </c>
      <c r="I222" s="13">
        <v>-2.1999999999999985E-2</v>
      </c>
      <c r="J222">
        <v>2</v>
      </c>
      <c r="L222" s="13">
        <v>-2.2999999999999986E-2</v>
      </c>
      <c r="M222" s="2">
        <f t="shared" si="1"/>
        <v>6.4819679309391072</v>
      </c>
      <c r="AD222" s="1" t="s">
        <v>1256</v>
      </c>
    </row>
    <row r="223" spans="1:30" ht="15">
      <c r="A223" s="5">
        <v>389.58010000000002</v>
      </c>
      <c r="B223" s="5">
        <v>392.53829999999999</v>
      </c>
      <c r="C223" s="5">
        <v>388.1035</v>
      </c>
      <c r="D223" s="5">
        <v>389.81959999999998</v>
      </c>
      <c r="E223" s="5">
        <v>881874</v>
      </c>
      <c r="F223" s="5" t="s">
        <v>1064</v>
      </c>
      <c r="G223" s="9">
        <f t="shared" si="0"/>
        <v>-6.1438675736147363E-4</v>
      </c>
      <c r="I223" s="13">
        <v>-2.0999999999999984E-2</v>
      </c>
      <c r="J223">
        <v>3</v>
      </c>
      <c r="L223" s="13">
        <v>-2.1999999999999985E-2</v>
      </c>
      <c r="M223" s="2">
        <f t="shared" si="1"/>
        <v>7.3722970932413006</v>
      </c>
    </row>
    <row r="224" spans="1:30" ht="15">
      <c r="A224" s="5">
        <v>391.6952</v>
      </c>
      <c r="B224" s="5">
        <v>393.0521</v>
      </c>
      <c r="C224" s="5">
        <v>389.47039999999998</v>
      </c>
      <c r="D224" s="5">
        <v>391.88479999999998</v>
      </c>
      <c r="E224" s="5">
        <v>1334553</v>
      </c>
      <c r="F224" s="5" t="s">
        <v>1063</v>
      </c>
      <c r="G224" s="9">
        <f t="shared" si="0"/>
        <v>-4.8381565194666187E-4</v>
      </c>
      <c r="I224" s="13">
        <v>-1.9999999999999983E-2</v>
      </c>
      <c r="J224">
        <v>5</v>
      </c>
      <c r="L224" s="13">
        <v>-2.0999999999999984E-2</v>
      </c>
      <c r="M224" s="2">
        <f t="shared" si="1"/>
        <v>8.3376940391129448</v>
      </c>
    </row>
    <row r="225" spans="1:13" ht="15" customHeight="1">
      <c r="A225" s="5">
        <v>390.49799999999999</v>
      </c>
      <c r="B225" s="5">
        <v>396.31209999999999</v>
      </c>
      <c r="C225" s="5">
        <v>389.70979999999997</v>
      </c>
      <c r="D225" s="5">
        <v>395.12729999999999</v>
      </c>
      <c r="E225" s="5">
        <v>1025808</v>
      </c>
      <c r="F225" s="5" t="s">
        <v>1062</v>
      </c>
      <c r="G225" s="9">
        <f t="shared" si="0"/>
        <v>-1.1715971030095917E-2</v>
      </c>
      <c r="I225" s="13">
        <v>-1.8999999999999982E-2</v>
      </c>
      <c r="J225">
        <v>9</v>
      </c>
      <c r="L225" s="13">
        <v>-1.9999999999999983E-2</v>
      </c>
      <c r="M225" s="2">
        <f t="shared" si="1"/>
        <v>9.3764027912942609</v>
      </c>
    </row>
    <row r="226" spans="1:13" ht="15">
      <c r="A226" s="5">
        <v>395.15719999999999</v>
      </c>
      <c r="B226" s="5">
        <v>399.32760000000002</v>
      </c>
      <c r="C226" s="5">
        <v>394.99759999999998</v>
      </c>
      <c r="D226" s="5">
        <v>397.4819</v>
      </c>
      <c r="E226" s="5">
        <v>1124078</v>
      </c>
      <c r="F226" s="5" t="s">
        <v>1061</v>
      </c>
      <c r="G226" s="9">
        <f t="shared" si="0"/>
        <v>-5.848568198954518E-3</v>
      </c>
      <c r="I226" s="13">
        <v>-1.7999999999999981E-2</v>
      </c>
      <c r="J226">
        <v>6</v>
      </c>
      <c r="L226" s="13">
        <v>-1.8999999999999982E-2</v>
      </c>
      <c r="M226" s="2">
        <f t="shared" si="1"/>
        <v>10.485127896633797</v>
      </c>
    </row>
    <row r="227" spans="1:13" ht="15">
      <c r="A227" s="5">
        <v>398.1703</v>
      </c>
      <c r="B227" s="5">
        <v>398.92840000000001</v>
      </c>
      <c r="C227" s="5">
        <v>392.50839999999999</v>
      </c>
      <c r="D227" s="5">
        <v>393.98</v>
      </c>
      <c r="E227" s="5">
        <v>1011830</v>
      </c>
      <c r="F227" s="5" t="s">
        <v>1060</v>
      </c>
      <c r="G227" s="9">
        <f t="shared" si="0"/>
        <v>1.0635819077110531E-2</v>
      </c>
      <c r="I227" s="13">
        <v>-1.699999999999998E-2</v>
      </c>
      <c r="J227">
        <v>10</v>
      </c>
      <c r="L227" s="13">
        <v>-1.7999999999999981E-2</v>
      </c>
      <c r="M227" s="2">
        <f t="shared" si="1"/>
        <v>11.658921673763489</v>
      </c>
    </row>
    <row r="228" spans="1:13" ht="15">
      <c r="A228" s="5">
        <v>391.48570000000001</v>
      </c>
      <c r="B228" s="5">
        <v>392.16419999999999</v>
      </c>
      <c r="C228" s="5">
        <v>387.34530000000001</v>
      </c>
      <c r="D228" s="5">
        <v>388.43279999999999</v>
      </c>
      <c r="E228" s="5">
        <v>1121598</v>
      </c>
      <c r="F228" s="5" t="s">
        <v>1059</v>
      </c>
      <c r="G228" s="9">
        <f t="shared" si="0"/>
        <v>7.8595319447791745E-3</v>
      </c>
      <c r="I228" s="13">
        <v>-1.599999999999998E-2</v>
      </c>
      <c r="J228">
        <v>13</v>
      </c>
      <c r="L228" s="13">
        <v>-1.699999999999998E-2</v>
      </c>
      <c r="M228" s="2">
        <f t="shared" si="1"/>
        <v>12.891106979905215</v>
      </c>
    </row>
    <row r="229" spans="1:13" ht="15">
      <c r="A229" s="5">
        <v>390.23860000000002</v>
      </c>
      <c r="B229" s="5">
        <v>393.2217</v>
      </c>
      <c r="C229" s="5">
        <v>386.10809999999998</v>
      </c>
      <c r="D229" s="5">
        <v>388.54250000000002</v>
      </c>
      <c r="E229" s="5">
        <v>999024</v>
      </c>
      <c r="F229" s="5" t="s">
        <v>1058</v>
      </c>
      <c r="G229" s="9">
        <f t="shared" si="0"/>
        <v>4.3652882245828195E-3</v>
      </c>
      <c r="I229" s="13">
        <v>-1.4999999999999979E-2</v>
      </c>
      <c r="J229">
        <v>11</v>
      </c>
      <c r="L229" s="13">
        <v>-1.599999999999998E-2</v>
      </c>
      <c r="M229" s="2">
        <f t="shared" si="1"/>
        <v>14.173242436056498</v>
      </c>
    </row>
    <row r="230" spans="1:13" ht="15">
      <c r="A230" s="5">
        <v>390.38830000000002</v>
      </c>
      <c r="B230" s="5">
        <v>396.6438</v>
      </c>
      <c r="C230" s="5">
        <v>389.10120000000001</v>
      </c>
      <c r="D230" s="5">
        <v>390.24860000000001</v>
      </c>
      <c r="E230" s="5">
        <v>1549213</v>
      </c>
      <c r="F230" s="5" t="s">
        <v>1057</v>
      </c>
      <c r="G230" s="9">
        <f t="shared" si="0"/>
        <v>3.5797694085260012E-4</v>
      </c>
      <c r="I230" s="13">
        <v>-1.3999999999999978E-2</v>
      </c>
      <c r="J230">
        <v>24</v>
      </c>
      <c r="L230" s="13">
        <v>-1.4999999999999979E-2</v>
      </c>
      <c r="M230" s="2">
        <f t="shared" si="1"/>
        <v>15.495136085031207</v>
      </c>
    </row>
    <row r="231" spans="1:13" ht="15">
      <c r="A231" s="5">
        <v>389.53019999999998</v>
      </c>
      <c r="B231" s="5">
        <v>399.63189999999997</v>
      </c>
      <c r="C231" s="5">
        <v>388.40280000000001</v>
      </c>
      <c r="D231" s="5">
        <v>393.24169999999998</v>
      </c>
      <c r="E231" s="5">
        <v>1683562</v>
      </c>
      <c r="F231" s="5" t="s">
        <v>1056</v>
      </c>
      <c r="G231" s="9">
        <f t="shared" ref="G231:G294" si="2">A231/D231-1</f>
        <v>-9.4382157334789163E-3</v>
      </c>
      <c r="I231" s="13">
        <v>-1.2999999999999977E-2</v>
      </c>
      <c r="J231">
        <v>18</v>
      </c>
      <c r="L231" s="13">
        <v>-1.3999999999999978E-2</v>
      </c>
      <c r="M231" s="2">
        <f t="shared" si="1"/>
        <v>16.844912102018611</v>
      </c>
    </row>
    <row r="232" spans="1:13" ht="15">
      <c r="A232" s="5">
        <v>390.16879999999998</v>
      </c>
      <c r="B232" s="5">
        <v>395.79579999999999</v>
      </c>
      <c r="C232" s="5">
        <v>385.87869999999998</v>
      </c>
      <c r="D232" s="5">
        <v>394.08969999999999</v>
      </c>
      <c r="E232" s="5">
        <v>3322052</v>
      </c>
      <c r="F232" s="5" t="s">
        <v>1055</v>
      </c>
      <c r="G232" s="9">
        <f t="shared" si="2"/>
        <v>-9.9492577451275599E-3</v>
      </c>
      <c r="I232" s="13">
        <v>-1.1999999999999976E-2</v>
      </c>
      <c r="J232">
        <v>27</v>
      </c>
      <c r="L232" s="13">
        <v>-1.2999999999999977E-2</v>
      </c>
      <c r="M232" s="2">
        <f t="shared" si="1"/>
        <v>18.209133462105321</v>
      </c>
    </row>
    <row r="233" spans="1:13" ht="15">
      <c r="A233" s="5">
        <v>394.23939999999999</v>
      </c>
      <c r="B233" s="5">
        <v>405.25389999999999</v>
      </c>
      <c r="C233" s="5">
        <v>393.6807</v>
      </c>
      <c r="D233" s="5">
        <v>399.68680000000001</v>
      </c>
      <c r="E233" s="5">
        <v>1993675</v>
      </c>
      <c r="F233" s="5" t="s">
        <v>1054</v>
      </c>
      <c r="G233" s="9">
        <f t="shared" si="2"/>
        <v>-1.362917164139521E-2</v>
      </c>
      <c r="I233" s="13">
        <v>-1.0999999999999975E-2</v>
      </c>
      <c r="J233">
        <v>18</v>
      </c>
      <c r="L233" s="13">
        <v>-1.1999999999999976E-2</v>
      </c>
      <c r="M233" s="2">
        <f t="shared" si="1"/>
        <v>19.572981447529923</v>
      </c>
    </row>
    <row r="234" spans="1:13" ht="15">
      <c r="A234" s="5">
        <v>398.97840000000002</v>
      </c>
      <c r="B234" s="5">
        <v>399.41739999999999</v>
      </c>
      <c r="C234" s="5">
        <v>393.63080000000002</v>
      </c>
      <c r="D234" s="5">
        <v>395.0874</v>
      </c>
      <c r="E234" s="5">
        <v>1582562</v>
      </c>
      <c r="F234" s="5" t="s">
        <v>1053</v>
      </c>
      <c r="G234" s="9">
        <f t="shared" si="2"/>
        <v>9.8484537851624143E-3</v>
      </c>
      <c r="I234" s="13">
        <v>-9.9999999999999742E-3</v>
      </c>
      <c r="J234">
        <v>19</v>
      </c>
      <c r="L234" s="13">
        <v>-1.0999999999999975E-2</v>
      </c>
      <c r="M234" s="2">
        <f t="shared" si="1"/>
        <v>20.920490626570793</v>
      </c>
    </row>
    <row r="235" spans="1:13" ht="15">
      <c r="A235" s="5">
        <v>393.40129999999999</v>
      </c>
      <c r="B235" s="5">
        <v>393.7704</v>
      </c>
      <c r="C235" s="5">
        <v>388.91669999999999</v>
      </c>
      <c r="D235" s="5">
        <v>389.15109999999999</v>
      </c>
      <c r="E235" s="5">
        <v>1331817</v>
      </c>
      <c r="F235" s="5" t="s">
        <v>1052</v>
      </c>
      <c r="G235" s="9">
        <f t="shared" si="2"/>
        <v>1.0921721665440476E-2</v>
      </c>
      <c r="I235" s="13">
        <v>-8.9999999999999733E-3</v>
      </c>
      <c r="J235">
        <v>24</v>
      </c>
      <c r="L235" s="13">
        <v>-9.9999999999999742E-3</v>
      </c>
      <c r="M235" s="2">
        <f t="shared" si="1"/>
        <v>22.234835553740457</v>
      </c>
    </row>
    <row r="236" spans="1:13" ht="15">
      <c r="A236" s="5">
        <v>392.59320000000002</v>
      </c>
      <c r="B236" s="5">
        <v>393.6807</v>
      </c>
      <c r="C236" s="5">
        <v>388.55250000000001</v>
      </c>
      <c r="D236" s="5">
        <v>390.21870000000001</v>
      </c>
      <c r="E236" s="5">
        <v>1389832</v>
      </c>
      <c r="F236" s="5" t="s">
        <v>1051</v>
      </c>
      <c r="G236" s="9">
        <f t="shared" si="2"/>
        <v>6.0850492300856818E-3</v>
      </c>
      <c r="I236" s="13">
        <v>-7.9999999999999724E-3</v>
      </c>
      <c r="J236">
        <v>16</v>
      </c>
      <c r="L236" s="13">
        <v>-8.9999999999999733E-3</v>
      </c>
      <c r="M236" s="2">
        <f t="shared" ref="M236:M267" si="3">_xlfn.NORM.DIST(L236,$K$194,$K$196,FALSE)</f>
        <v>23.49866304135163</v>
      </c>
    </row>
    <row r="237" spans="1:13" ht="15">
      <c r="A237" s="5">
        <v>389.59010000000001</v>
      </c>
      <c r="B237" s="5">
        <v>394.08960000000002</v>
      </c>
      <c r="C237" s="5">
        <v>387.99380000000002</v>
      </c>
      <c r="D237" s="5">
        <v>393.2516</v>
      </c>
      <c r="E237" s="5">
        <v>1996570</v>
      </c>
      <c r="F237" s="5" t="s">
        <v>1050</v>
      </c>
      <c r="G237" s="9">
        <f t="shared" si="2"/>
        <v>-9.3108330646334281E-3</v>
      </c>
      <c r="I237" s="13">
        <v>-6.9999999999999724E-3</v>
      </c>
      <c r="J237">
        <v>26</v>
      </c>
      <c r="L237" s="13">
        <v>-7.9999999999999724E-3</v>
      </c>
      <c r="M237" s="2">
        <f t="shared" si="3"/>
        <v>24.694461559704717</v>
      </c>
    </row>
    <row r="238" spans="1:13" ht="15">
      <c r="A238" s="5">
        <v>394.93779999999998</v>
      </c>
      <c r="B238" s="5">
        <v>395.29689999999999</v>
      </c>
      <c r="C238" s="5">
        <v>387.0061</v>
      </c>
      <c r="D238" s="5">
        <v>388.7371</v>
      </c>
      <c r="E238" s="5">
        <v>2102209</v>
      </c>
      <c r="F238" s="5" t="s">
        <v>1049</v>
      </c>
      <c r="G238" s="9">
        <f t="shared" si="2"/>
        <v>1.5950883000361848E-2</v>
      </c>
      <c r="I238" s="13">
        <v>-5.9999999999999724E-3</v>
      </c>
      <c r="J238">
        <v>29</v>
      </c>
      <c r="L238" s="13">
        <v>-6.9999999999999724E-3</v>
      </c>
      <c r="M238" s="2">
        <f t="shared" si="3"/>
        <v>25.804957264360048</v>
      </c>
    </row>
    <row r="239" spans="1:13" ht="15">
      <c r="A239" s="5">
        <v>382.53640000000001</v>
      </c>
      <c r="B239" s="5">
        <v>384.93090000000001</v>
      </c>
      <c r="C239" s="5">
        <v>378.1266</v>
      </c>
      <c r="D239" s="5">
        <v>384.11279999999999</v>
      </c>
      <c r="E239" s="5">
        <v>1727128</v>
      </c>
      <c r="F239" s="5" t="s">
        <v>1048</v>
      </c>
      <c r="G239" s="9">
        <f t="shared" si="2"/>
        <v>-4.1040027825158809E-3</v>
      </c>
      <c r="I239" s="13">
        <v>-4.9999999999999723E-3</v>
      </c>
      <c r="J239">
        <v>17</v>
      </c>
      <c r="L239" s="13">
        <v>-5.9999999999999724E-3</v>
      </c>
      <c r="M239" s="2">
        <f t="shared" si="3"/>
        <v>26.81352444662306</v>
      </c>
    </row>
    <row r="240" spans="1:13" ht="15">
      <c r="A240" s="5">
        <v>380.91019999999997</v>
      </c>
      <c r="B240" s="5">
        <v>380.94009999999997</v>
      </c>
      <c r="C240" s="5">
        <v>371.21260000000001</v>
      </c>
      <c r="D240" s="5">
        <v>371.21260000000001</v>
      </c>
      <c r="E240" s="5">
        <v>1515283</v>
      </c>
      <c r="F240" s="5" t="s">
        <v>1047</v>
      </c>
      <c r="G240" s="9">
        <f t="shared" si="2"/>
        <v>2.6124113244000879E-2</v>
      </c>
      <c r="I240" s="13">
        <v>-3.9999999999999723E-3</v>
      </c>
      <c r="J240">
        <v>23</v>
      </c>
      <c r="L240" s="13">
        <v>-4.9999999999999723E-3</v>
      </c>
      <c r="M240" s="2">
        <f t="shared" si="3"/>
        <v>27.704596967012165</v>
      </c>
    </row>
    <row r="241" spans="1:32" ht="15">
      <c r="A241" s="5">
        <v>367.76049999999998</v>
      </c>
      <c r="B241" s="5">
        <v>369.19720000000001</v>
      </c>
      <c r="C241" s="5">
        <v>362.82190000000003</v>
      </c>
      <c r="D241" s="5">
        <v>363.68990000000002</v>
      </c>
      <c r="E241" s="5">
        <v>1529224</v>
      </c>
      <c r="F241" s="5" t="s">
        <v>1046</v>
      </c>
      <c r="G241" s="9">
        <f t="shared" si="2"/>
        <v>1.1192502183865916E-2</v>
      </c>
      <c r="I241" s="13">
        <v>-2.9999999999999723E-3</v>
      </c>
      <c r="J241">
        <v>37</v>
      </c>
      <c r="L241" s="13">
        <v>-3.9999999999999723E-3</v>
      </c>
      <c r="M241" s="2">
        <f t="shared" si="3"/>
        <v>28.464066550027482</v>
      </c>
    </row>
    <row r="242" spans="1:32" ht="15">
      <c r="A242" s="5">
        <v>361.96390000000002</v>
      </c>
      <c r="B242" s="5">
        <v>362.77210000000002</v>
      </c>
      <c r="C242" s="5">
        <v>358.49189999999999</v>
      </c>
      <c r="D242" s="5">
        <v>361.99380000000002</v>
      </c>
      <c r="E242" s="5">
        <v>1175858</v>
      </c>
      <c r="F242" s="5" t="s">
        <v>1045</v>
      </c>
      <c r="G242" s="9">
        <f t="shared" si="2"/>
        <v>-8.2598099746422626E-5</v>
      </c>
      <c r="I242" s="13">
        <v>-1.9999999999999723E-3</v>
      </c>
      <c r="J242">
        <v>41</v>
      </c>
      <c r="L242" s="13">
        <v>-2.9999999999999723E-3</v>
      </c>
      <c r="M242" s="2">
        <f t="shared" si="3"/>
        <v>29.079653753616999</v>
      </c>
    </row>
    <row r="243" spans="1:32" ht="15">
      <c r="A243" s="5">
        <v>360.1481</v>
      </c>
      <c r="B243" s="5">
        <v>367.00229999999999</v>
      </c>
      <c r="C243" s="5">
        <v>359.92860000000002</v>
      </c>
      <c r="D243" s="5">
        <v>362.81200000000001</v>
      </c>
      <c r="E243" s="5">
        <v>1400835</v>
      </c>
      <c r="F243" s="5" t="s">
        <v>1044</v>
      </c>
      <c r="G243" s="9">
        <f t="shared" si="2"/>
        <v>-7.3423701531372121E-3</v>
      </c>
      <c r="I243" s="13">
        <v>-9.9999999999997227E-4</v>
      </c>
      <c r="J243">
        <v>35</v>
      </c>
      <c r="L243" s="13">
        <v>-1.9999999999999723E-3</v>
      </c>
      <c r="M243" s="2">
        <f t="shared" si="3"/>
        <v>29.541238007479279</v>
      </c>
    </row>
    <row r="244" spans="1:32" ht="15">
      <c r="A244" s="5">
        <v>364.81729999999999</v>
      </c>
      <c r="B244" s="5">
        <v>367.97</v>
      </c>
      <c r="C244" s="5">
        <v>360.32769999999999</v>
      </c>
      <c r="D244" s="5">
        <v>360.78660000000002</v>
      </c>
      <c r="E244" s="5">
        <v>1313873</v>
      </c>
      <c r="F244" s="5" t="s">
        <v>1043</v>
      </c>
      <c r="G244" s="9">
        <f t="shared" si="2"/>
        <v>1.1171978116703896E-2</v>
      </c>
      <c r="I244" s="13">
        <v>2.7755575615628914E-17</v>
      </c>
      <c r="J244">
        <v>45</v>
      </c>
      <c r="L244" s="13">
        <v>-9.9999999999997227E-4</v>
      </c>
      <c r="M244" s="2">
        <f t="shared" si="3"/>
        <v>29.84113433421124</v>
      </c>
    </row>
    <row r="245" spans="1:32" ht="15">
      <c r="A245" s="5">
        <v>363.26089999999999</v>
      </c>
      <c r="B245" s="5">
        <v>364.10899999999998</v>
      </c>
      <c r="C245" s="5">
        <v>353.90820000000002</v>
      </c>
      <c r="D245" s="5">
        <v>360.47239999999999</v>
      </c>
      <c r="E245" s="5">
        <v>1534717</v>
      </c>
      <c r="F245" s="5" t="s">
        <v>1042</v>
      </c>
      <c r="G245" s="9">
        <f t="shared" si="2"/>
        <v>7.7356823989853662E-3</v>
      </c>
      <c r="I245" s="13">
        <v>1.0000000000000278E-3</v>
      </c>
      <c r="J245">
        <v>53</v>
      </c>
      <c r="L245" s="13">
        <v>2.7755575615628914E-17</v>
      </c>
      <c r="M245" s="2">
        <f t="shared" si="3"/>
        <v>29.974306183221255</v>
      </c>
    </row>
    <row r="246" spans="1:32" ht="15">
      <c r="A246" s="5">
        <v>354.36149999999998</v>
      </c>
      <c r="B246" s="5">
        <v>361.63470000000001</v>
      </c>
      <c r="C246" s="5">
        <v>351.03919999999999</v>
      </c>
      <c r="D246" s="5">
        <v>361.33539999999999</v>
      </c>
      <c r="E246" s="5">
        <v>1931593</v>
      </c>
      <c r="F246" s="5" t="s">
        <v>1041</v>
      </c>
      <c r="G246" s="9">
        <f t="shared" si="2"/>
        <v>-1.9300350865151916E-2</v>
      </c>
      <c r="I246" s="13">
        <v>2.0000000000000278E-3</v>
      </c>
      <c r="J246">
        <v>37</v>
      </c>
      <c r="L246" s="13">
        <v>1.0000000000000278E-3</v>
      </c>
      <c r="M246" s="2">
        <f t="shared" si="3"/>
        <v>29.938506141234956</v>
      </c>
      <c r="AD246" s="2" t="s">
        <v>1579</v>
      </c>
    </row>
    <row r="247" spans="1:32" ht="15">
      <c r="A247" s="5">
        <v>360.52719999999999</v>
      </c>
      <c r="B247" s="5">
        <v>361.60469999999998</v>
      </c>
      <c r="C247" s="5">
        <v>357.19490000000002</v>
      </c>
      <c r="D247" s="5">
        <v>360.12819999999999</v>
      </c>
      <c r="E247" s="5">
        <v>1269910</v>
      </c>
      <c r="F247" s="5" t="s">
        <v>1040</v>
      </c>
      <c r="G247" s="9">
        <f t="shared" si="2"/>
        <v>1.1079387840218224E-3</v>
      </c>
      <c r="I247" s="13">
        <v>3.0000000000000278E-3</v>
      </c>
      <c r="J247">
        <v>26</v>
      </c>
      <c r="L247" s="13">
        <v>2.0000000000000278E-3</v>
      </c>
      <c r="M247" s="2">
        <f t="shared" si="3"/>
        <v>29.734339026119326</v>
      </c>
      <c r="AE247" s="2" t="s">
        <v>1580</v>
      </c>
    </row>
    <row r="248" spans="1:32" ht="15">
      <c r="A248" s="5">
        <v>360.68689999999998</v>
      </c>
      <c r="B248" s="5">
        <v>361.16180000000003</v>
      </c>
      <c r="C248" s="5">
        <v>357.47430000000003</v>
      </c>
      <c r="D248" s="5">
        <v>360.13810000000001</v>
      </c>
      <c r="E248" s="5">
        <v>805544</v>
      </c>
      <c r="F248" s="5" t="s">
        <v>1039</v>
      </c>
      <c r="G248" s="9">
        <f t="shared" si="2"/>
        <v>1.523859874864586E-3</v>
      </c>
      <c r="I248" s="13">
        <v>4.0000000000000278E-3</v>
      </c>
      <c r="J248">
        <v>39</v>
      </c>
      <c r="L248" s="13">
        <v>3.0000000000000278E-3</v>
      </c>
      <c r="M248" s="2">
        <f t="shared" si="3"/>
        <v>29.365244888858772</v>
      </c>
      <c r="AE248" s="2" t="s">
        <v>1581</v>
      </c>
    </row>
    <row r="249" spans="1:32" ht="15">
      <c r="A249" s="5">
        <v>357.89330000000001</v>
      </c>
      <c r="B249" s="5">
        <v>361.6447</v>
      </c>
      <c r="C249" s="5">
        <v>355.99779999999998</v>
      </c>
      <c r="D249" s="5">
        <v>361.6447</v>
      </c>
      <c r="E249" s="5">
        <v>858269</v>
      </c>
      <c r="F249" s="5" t="s">
        <v>1038</v>
      </c>
      <c r="G249" s="9">
        <f t="shared" si="2"/>
        <v>-1.0373164600504303E-2</v>
      </c>
      <c r="I249" s="13">
        <v>5.0000000000000279E-3</v>
      </c>
      <c r="J249">
        <v>33</v>
      </c>
      <c r="L249" s="13">
        <v>4.0000000000000278E-3</v>
      </c>
      <c r="M249" s="2">
        <f t="shared" si="3"/>
        <v>28.837402591235453</v>
      </c>
      <c r="AF249" s="2" t="s">
        <v>1582</v>
      </c>
    </row>
    <row r="250" spans="1:32" ht="15">
      <c r="A250" s="5">
        <v>359.22030000000001</v>
      </c>
      <c r="B250" s="5">
        <v>363.7398</v>
      </c>
      <c r="C250" s="5">
        <v>357.4144</v>
      </c>
      <c r="D250" s="5">
        <v>361.06599999999997</v>
      </c>
      <c r="E250" s="5">
        <v>821834</v>
      </c>
      <c r="F250" s="5" t="s">
        <v>1037</v>
      </c>
      <c r="G250" s="9">
        <f t="shared" si="2"/>
        <v>-5.1118078135298228E-3</v>
      </c>
      <c r="I250" s="13">
        <v>6.0000000000000279E-3</v>
      </c>
      <c r="J250">
        <v>29</v>
      </c>
      <c r="L250" s="13">
        <v>5.0000000000000279E-3</v>
      </c>
      <c r="M250" s="2">
        <f t="shared" si="3"/>
        <v>28.159557735840721</v>
      </c>
      <c r="AF250" s="2" t="s">
        <v>1583</v>
      </c>
    </row>
    <row r="251" spans="1:32" ht="15">
      <c r="A251" s="5">
        <v>360.58710000000002</v>
      </c>
      <c r="B251" s="5">
        <v>362.42360000000002</v>
      </c>
      <c r="C251" s="5">
        <v>357.01369999999997</v>
      </c>
      <c r="D251" s="5">
        <v>361.22410000000002</v>
      </c>
      <c r="E251" s="5">
        <v>814082</v>
      </c>
      <c r="F251" s="5" t="s">
        <v>1036</v>
      </c>
      <c r="G251" s="9">
        <f t="shared" si="2"/>
        <v>-1.7634482306135846E-3</v>
      </c>
      <c r="I251" s="13">
        <v>7.0000000000000279E-3</v>
      </c>
      <c r="J251">
        <v>26</v>
      </c>
      <c r="L251" s="13">
        <v>6.0000000000000279E-3</v>
      </c>
      <c r="M251" s="2">
        <f t="shared" si="3"/>
        <v>27.342781644290781</v>
      </c>
    </row>
    <row r="252" spans="1:32" ht="15">
      <c r="A252" s="5">
        <v>365.41469999999998</v>
      </c>
      <c r="B252" s="5">
        <v>367.96289999999999</v>
      </c>
      <c r="C252" s="5">
        <v>363.10539999999997</v>
      </c>
      <c r="D252" s="5">
        <v>365.53410000000002</v>
      </c>
      <c r="E252" s="5">
        <v>705491</v>
      </c>
      <c r="F252" s="5" t="s">
        <v>1035</v>
      </c>
      <c r="G252" s="9">
        <f t="shared" si="2"/>
        <v>-3.2664531161397115E-4</v>
      </c>
      <c r="I252" s="13">
        <v>8.0000000000000279E-3</v>
      </c>
      <c r="J252">
        <v>22</v>
      </c>
      <c r="L252" s="13">
        <v>7.0000000000000279E-3</v>
      </c>
      <c r="M252" s="2">
        <f t="shared" si="3"/>
        <v>26.400170664392089</v>
      </c>
    </row>
    <row r="253" spans="1:32" ht="15">
      <c r="A253" s="5">
        <v>367.714</v>
      </c>
      <c r="B253" s="5">
        <v>368.9384</v>
      </c>
      <c r="C253" s="5">
        <v>365.78300000000002</v>
      </c>
      <c r="D253" s="5">
        <v>366.53949999999998</v>
      </c>
      <c r="E253" s="5">
        <v>840826</v>
      </c>
      <c r="F253" s="5" t="s">
        <v>1034</v>
      </c>
      <c r="G253" s="9">
        <f t="shared" si="2"/>
        <v>3.2042931252975748E-3</v>
      </c>
      <c r="I253" s="13">
        <v>9.0000000000000288E-3</v>
      </c>
      <c r="J253">
        <v>24</v>
      </c>
      <c r="L253" s="13">
        <v>8.0000000000000279E-3</v>
      </c>
      <c r="M253" s="2">
        <f t="shared" si="3"/>
        <v>25.346497213325758</v>
      </c>
    </row>
    <row r="254" spans="1:32" ht="15">
      <c r="A254" s="5">
        <v>369.06779999999998</v>
      </c>
      <c r="B254" s="5">
        <v>369.11750000000001</v>
      </c>
      <c r="C254" s="5">
        <v>364.86689999999999</v>
      </c>
      <c r="D254" s="5">
        <v>366.57929999999999</v>
      </c>
      <c r="E254" s="5">
        <v>431006</v>
      </c>
      <c r="F254" s="5" t="s">
        <v>1033</v>
      </c>
      <c r="G254" s="9">
        <f t="shared" si="2"/>
        <v>6.7884356809018165E-3</v>
      </c>
      <c r="I254" s="13">
        <v>1.000000000000003E-2</v>
      </c>
      <c r="J254">
        <v>30</v>
      </c>
      <c r="L254" s="13">
        <v>9.0000000000000288E-3</v>
      </c>
      <c r="M254" s="2">
        <f t="shared" si="3"/>
        <v>24.197825535155634</v>
      </c>
    </row>
    <row r="255" spans="1:32" ht="15">
      <c r="A255" s="5">
        <v>364.79759999999999</v>
      </c>
      <c r="B255" s="5">
        <v>365.56400000000002</v>
      </c>
      <c r="C255" s="5">
        <v>360.7663</v>
      </c>
      <c r="D255" s="5">
        <v>363.10539999999997</v>
      </c>
      <c r="E255" s="5">
        <v>1461406</v>
      </c>
      <c r="F255" s="5" t="s">
        <v>1032</v>
      </c>
      <c r="G255" s="9">
        <f t="shared" si="2"/>
        <v>4.6603548170862652E-3</v>
      </c>
      <c r="I255" s="13">
        <v>1.1000000000000031E-2</v>
      </c>
      <c r="J255">
        <v>29</v>
      </c>
      <c r="L255" s="13">
        <v>1.000000000000003E-2</v>
      </c>
      <c r="M255" s="2">
        <f t="shared" si="3"/>
        <v>22.971106103509396</v>
      </c>
    </row>
    <row r="256" spans="1:32" ht="15">
      <c r="A256" s="5">
        <v>362.91629999999998</v>
      </c>
      <c r="B256" s="5">
        <v>363.12029999999999</v>
      </c>
      <c r="C256" s="5">
        <v>354.35599999999999</v>
      </c>
      <c r="D256" s="5">
        <v>354.5849</v>
      </c>
      <c r="E256" s="5">
        <v>3146693</v>
      </c>
      <c r="F256" s="5" t="s">
        <v>1031</v>
      </c>
      <c r="G256" s="9">
        <f t="shared" si="2"/>
        <v>2.3496206409240772E-2</v>
      </c>
      <c r="I256" s="13">
        <v>1.2000000000000031E-2</v>
      </c>
      <c r="J256">
        <v>21</v>
      </c>
      <c r="L256" s="13">
        <v>1.1000000000000031E-2</v>
      </c>
      <c r="M256" s="2">
        <f t="shared" si="3"/>
        <v>21.683762906467617</v>
      </c>
    </row>
    <row r="257" spans="1:13" ht="15">
      <c r="A257" s="5">
        <v>355.4907</v>
      </c>
      <c r="B257" s="5">
        <v>361.38339999999999</v>
      </c>
      <c r="C257" s="5">
        <v>354.65460000000002</v>
      </c>
      <c r="D257" s="5">
        <v>357.65069999999997</v>
      </c>
      <c r="E257" s="5">
        <v>1713558</v>
      </c>
      <c r="F257" s="5" t="s">
        <v>1030</v>
      </c>
      <c r="G257" s="9">
        <f t="shared" si="2"/>
        <v>-6.0394121974316484E-3</v>
      </c>
      <c r="I257" s="13">
        <v>1.3000000000000032E-2</v>
      </c>
      <c r="J257">
        <v>19</v>
      </c>
      <c r="L257" s="13">
        <v>1.2000000000000031E-2</v>
      </c>
      <c r="M257" s="2">
        <f t="shared" si="3"/>
        <v>20.353287519327644</v>
      </c>
    </row>
    <row r="258" spans="1:13" ht="15">
      <c r="A258" s="5">
        <v>357.51139999999998</v>
      </c>
      <c r="B258" s="5">
        <v>370.20249999999999</v>
      </c>
      <c r="C258" s="5">
        <v>356.83449999999999</v>
      </c>
      <c r="D258" s="5">
        <v>369.2867</v>
      </c>
      <c r="E258" s="5">
        <v>1618165</v>
      </c>
      <c r="F258" s="5" t="s">
        <v>1029</v>
      </c>
      <c r="G258" s="9">
        <f t="shared" si="2"/>
        <v>-3.1886607343291851E-2</v>
      </c>
      <c r="I258" s="13">
        <v>1.4000000000000033E-2</v>
      </c>
      <c r="J258">
        <v>20</v>
      </c>
      <c r="L258" s="13">
        <v>1.3000000000000032E-2</v>
      </c>
      <c r="M258" s="2">
        <f t="shared" si="3"/>
        <v>18.996852945382901</v>
      </c>
    </row>
    <row r="259" spans="1:13" ht="15">
      <c r="A259" s="5">
        <v>369.0976</v>
      </c>
      <c r="B259" s="5">
        <v>372.84030000000001</v>
      </c>
      <c r="C259" s="5">
        <v>366.35039999999998</v>
      </c>
      <c r="D259" s="5">
        <v>369.86410000000001</v>
      </c>
      <c r="E259" s="5">
        <v>1540369</v>
      </c>
      <c r="F259" s="5" t="s">
        <v>1028</v>
      </c>
      <c r="G259" s="9">
        <f t="shared" si="2"/>
        <v>-2.0723828022238822E-3</v>
      </c>
      <c r="I259" s="13">
        <v>1.5000000000000034E-2</v>
      </c>
      <c r="J259">
        <v>11</v>
      </c>
      <c r="L259" s="13">
        <v>1.4000000000000033E-2</v>
      </c>
      <c r="M259" s="2">
        <f t="shared" si="3"/>
        <v>17.630958759087321</v>
      </c>
    </row>
    <row r="260" spans="1:13" ht="15">
      <c r="A260" s="5">
        <v>370.97890000000001</v>
      </c>
      <c r="B260" s="5">
        <v>374.5025</v>
      </c>
      <c r="C260" s="5">
        <v>370.7251</v>
      </c>
      <c r="D260" s="5">
        <v>373.26830000000001</v>
      </c>
      <c r="E260" s="5">
        <v>1155610</v>
      </c>
      <c r="F260" s="5" t="s">
        <v>1027</v>
      </c>
      <c r="G260" s="9">
        <f t="shared" si="2"/>
        <v>-6.1333898431771283E-3</v>
      </c>
      <c r="I260" s="13">
        <v>1.6000000000000035E-2</v>
      </c>
      <c r="J260">
        <v>11</v>
      </c>
      <c r="L260" s="13">
        <v>1.5000000000000034E-2</v>
      </c>
      <c r="M260" s="2">
        <f t="shared" si="3"/>
        <v>16.271117218493135</v>
      </c>
    </row>
    <row r="261" spans="1:13" ht="15">
      <c r="A261" s="5">
        <v>372.87009999999998</v>
      </c>
      <c r="B261" s="5">
        <v>374.74639999999999</v>
      </c>
      <c r="C261" s="5">
        <v>371.42680000000001</v>
      </c>
      <c r="D261" s="5">
        <v>373.8854</v>
      </c>
      <c r="E261" s="5">
        <v>755824</v>
      </c>
      <c r="F261" s="5" t="s">
        <v>1026</v>
      </c>
      <c r="G261" s="9">
        <f t="shared" si="2"/>
        <v>-2.7155379696559567E-3</v>
      </c>
      <c r="I261" s="13">
        <v>1.7000000000000036E-2</v>
      </c>
      <c r="J261">
        <v>7</v>
      </c>
      <c r="L261" s="13">
        <v>1.6000000000000035E-2</v>
      </c>
      <c r="M261" s="2">
        <f t="shared" si="3"/>
        <v>14.931587840618413</v>
      </c>
    </row>
    <row r="262" spans="1:13" ht="15">
      <c r="A262" s="5">
        <v>373.32799999999997</v>
      </c>
      <c r="B262" s="5">
        <v>376.34399999999999</v>
      </c>
      <c r="C262" s="5">
        <v>372.89</v>
      </c>
      <c r="D262" s="5">
        <v>375.25900000000001</v>
      </c>
      <c r="E262" s="5">
        <v>846127</v>
      </c>
      <c r="F262" s="5" t="s">
        <v>1025</v>
      </c>
      <c r="G262" s="9">
        <f t="shared" si="2"/>
        <v>-5.1457793150865294E-3</v>
      </c>
      <c r="I262" s="13">
        <v>1.8000000000000037E-2</v>
      </c>
      <c r="J262">
        <v>12</v>
      </c>
      <c r="L262" s="13">
        <v>1.7000000000000036E-2</v>
      </c>
      <c r="M262" s="2">
        <f t="shared" si="3"/>
        <v>13.625165579865037</v>
      </c>
    </row>
    <row r="263" spans="1:13" ht="15">
      <c r="A263" s="5">
        <v>374.42290000000003</v>
      </c>
      <c r="B263" s="5">
        <v>384.84460000000001</v>
      </c>
      <c r="C263" s="5">
        <v>373.52710000000002</v>
      </c>
      <c r="D263" s="5">
        <v>381.25119999999998</v>
      </c>
      <c r="E263" s="5">
        <v>1214105</v>
      </c>
      <c r="F263" s="5" t="s">
        <v>1024</v>
      </c>
      <c r="G263" s="9">
        <f t="shared" si="2"/>
        <v>-1.7910238708756743E-2</v>
      </c>
      <c r="I263" s="13">
        <v>1.9000000000000038E-2</v>
      </c>
      <c r="J263">
        <v>7</v>
      </c>
      <c r="L263" s="13">
        <v>1.8000000000000037E-2</v>
      </c>
      <c r="M263" s="2">
        <f t="shared" si="3"/>
        <v>12.363025342638814</v>
      </c>
    </row>
    <row r="264" spans="1:13" ht="15">
      <c r="A264" s="5">
        <v>380.9128</v>
      </c>
      <c r="B264" s="5">
        <v>383.77949999999998</v>
      </c>
      <c r="C264" s="5">
        <v>379.33010000000002</v>
      </c>
      <c r="D264" s="5">
        <v>382.34609999999998</v>
      </c>
      <c r="E264" s="5">
        <v>1281748</v>
      </c>
      <c r="F264" s="5" t="s">
        <v>1023</v>
      </c>
      <c r="G264" s="9">
        <f t="shared" si="2"/>
        <v>-3.7486978420859796E-3</v>
      </c>
      <c r="I264" s="13">
        <v>2.0000000000000039E-2</v>
      </c>
      <c r="J264">
        <v>5</v>
      </c>
      <c r="L264" s="13">
        <v>1.9000000000000038E-2</v>
      </c>
      <c r="M264" s="2">
        <f t="shared" si="3"/>
        <v>11.154623231589555</v>
      </c>
    </row>
    <row r="265" spans="1:13" ht="15">
      <c r="A265" s="5">
        <v>379.35</v>
      </c>
      <c r="B265" s="5">
        <v>383.36869999999999</v>
      </c>
      <c r="C265" s="5">
        <v>377.0009</v>
      </c>
      <c r="D265" s="5">
        <v>383.02300000000002</v>
      </c>
      <c r="E265" s="5">
        <v>924899</v>
      </c>
      <c r="F265" s="5" t="s">
        <v>1022</v>
      </c>
      <c r="G265" s="9">
        <f t="shared" si="2"/>
        <v>-9.5895024580768817E-3</v>
      </c>
      <c r="I265" s="13">
        <v>2.1000000000000039E-2</v>
      </c>
      <c r="J265">
        <v>7</v>
      </c>
      <c r="L265" s="13">
        <v>2.0000000000000039E-2</v>
      </c>
      <c r="M265" s="2">
        <f t="shared" si="3"/>
        <v>10.007652748181465</v>
      </c>
    </row>
    <row r="266" spans="1:13" ht="15">
      <c r="A266" s="5">
        <v>383.24200000000002</v>
      </c>
      <c r="B266" s="5">
        <v>388.18900000000002</v>
      </c>
      <c r="C266" s="5">
        <v>381.32089999999999</v>
      </c>
      <c r="D266" s="5">
        <v>381.32089999999999</v>
      </c>
      <c r="E266" s="5">
        <v>1049412</v>
      </c>
      <c r="F266" s="5" t="s">
        <v>1021</v>
      </c>
      <c r="G266" s="9">
        <f t="shared" si="2"/>
        <v>5.0380139142649494E-3</v>
      </c>
      <c r="I266" s="13">
        <v>2.200000000000004E-2</v>
      </c>
      <c r="J266">
        <v>14</v>
      </c>
      <c r="L266" s="13">
        <v>2.1000000000000039E-2</v>
      </c>
      <c r="M266" s="2">
        <f t="shared" si="3"/>
        <v>8.9280522821969779</v>
      </c>
    </row>
    <row r="267" spans="1:13" ht="15">
      <c r="A267" s="5">
        <v>380.68389999999999</v>
      </c>
      <c r="B267" s="5">
        <v>386.91890000000001</v>
      </c>
      <c r="C267" s="5">
        <v>378.06599999999997</v>
      </c>
      <c r="D267" s="5">
        <v>385.392</v>
      </c>
      <c r="E267" s="5">
        <v>1319513</v>
      </c>
      <c r="F267" s="5" t="s">
        <v>1020</v>
      </c>
      <c r="G267" s="9">
        <f t="shared" si="2"/>
        <v>-1.2216392659941011E-2</v>
      </c>
      <c r="I267" s="13">
        <v>2.3000000000000041E-2</v>
      </c>
      <c r="J267">
        <v>3</v>
      </c>
      <c r="L267" s="13">
        <v>2.200000000000004E-2</v>
      </c>
      <c r="M267" s="2">
        <f t="shared" si="3"/>
        <v>7.9200586489003983</v>
      </c>
    </row>
    <row r="268" spans="1:13" ht="15">
      <c r="A268" s="5">
        <v>387.96010000000001</v>
      </c>
      <c r="B268" s="5">
        <v>390.39879999999999</v>
      </c>
      <c r="C268" s="5">
        <v>386.16840000000002</v>
      </c>
      <c r="D268" s="5">
        <v>388.94549999999998</v>
      </c>
      <c r="E268" s="5">
        <v>707714</v>
      </c>
      <c r="F268" s="5" t="s">
        <v>1019</v>
      </c>
      <c r="G268" s="9">
        <f t="shared" si="2"/>
        <v>-2.5335169066101892E-3</v>
      </c>
      <c r="I268" s="13">
        <v>2.4000000000000042E-2</v>
      </c>
      <c r="J268">
        <v>7</v>
      </c>
      <c r="L268" s="13">
        <v>2.3000000000000041E-2</v>
      </c>
      <c r="M268" s="2">
        <f t="shared" ref="M268:M286" si="4">_xlfn.NORM.DIST(L268,$K$194,$K$196,FALSE)</f>
        <v>6.9863002426241483</v>
      </c>
    </row>
    <row r="269" spans="1:13" ht="15">
      <c r="A269" s="5">
        <v>389.16449999999998</v>
      </c>
      <c r="B269" s="5">
        <v>390.09019999999998</v>
      </c>
      <c r="C269" s="5">
        <v>384.67529999999999</v>
      </c>
      <c r="D269" s="5">
        <v>387.69139999999999</v>
      </c>
      <c r="E269" s="5">
        <v>923883</v>
      </c>
      <c r="F269" s="5" t="s">
        <v>1018</v>
      </c>
      <c r="G269" s="9">
        <f t="shared" si="2"/>
        <v>3.7996715944692561E-3</v>
      </c>
      <c r="I269" s="13">
        <v>2.5000000000000043E-2</v>
      </c>
      <c r="J269">
        <v>7</v>
      </c>
      <c r="L269" s="13">
        <v>2.4000000000000042E-2</v>
      </c>
      <c r="M269" s="2">
        <f t="shared" si="4"/>
        <v>6.1279225789406535</v>
      </c>
    </row>
    <row r="270" spans="1:13" ht="15">
      <c r="A270" s="5">
        <v>387.83069999999998</v>
      </c>
      <c r="B270" s="5">
        <v>392.31990000000002</v>
      </c>
      <c r="C270" s="5">
        <v>386.87509999999997</v>
      </c>
      <c r="D270" s="5">
        <v>391.43400000000003</v>
      </c>
      <c r="E270" s="5">
        <v>1216547</v>
      </c>
      <c r="F270" s="5" t="s">
        <v>1017</v>
      </c>
      <c r="G270" s="9">
        <f t="shared" si="2"/>
        <v>-9.2053832830056859E-3</v>
      </c>
      <c r="I270" s="13">
        <v>2.6000000000000044E-2</v>
      </c>
      <c r="J270">
        <v>8</v>
      </c>
      <c r="L270" s="13">
        <v>2.5000000000000043E-2</v>
      </c>
      <c r="M270" s="2">
        <f t="shared" si="4"/>
        <v>5.3447385928472428</v>
      </c>
    </row>
    <row r="271" spans="1:13" ht="15">
      <c r="A271" s="5">
        <v>390.33909999999997</v>
      </c>
      <c r="B271" s="5">
        <v>391.48379999999997</v>
      </c>
      <c r="C271" s="5">
        <v>384.67529999999999</v>
      </c>
      <c r="D271" s="5">
        <v>385.24270000000001</v>
      </c>
      <c r="E271" s="5">
        <v>711206</v>
      </c>
      <c r="F271" s="5" t="s">
        <v>1016</v>
      </c>
      <c r="G271" s="9">
        <f t="shared" si="2"/>
        <v>1.322906313344796E-2</v>
      </c>
      <c r="I271" s="13">
        <v>2.7000000000000045E-2</v>
      </c>
      <c r="J271">
        <v>2</v>
      </c>
      <c r="L271" s="13">
        <v>2.6000000000000044E-2</v>
      </c>
      <c r="M271" s="2">
        <f t="shared" si="4"/>
        <v>4.6353960236808662</v>
      </c>
    </row>
    <row r="272" spans="1:13" ht="15">
      <c r="A272" s="5">
        <v>386.3476</v>
      </c>
      <c r="B272" s="5">
        <v>389.59249999999997</v>
      </c>
      <c r="C272" s="5">
        <v>386.02910000000003</v>
      </c>
      <c r="D272" s="5">
        <v>387.36290000000002</v>
      </c>
      <c r="E272" s="5">
        <v>1018008</v>
      </c>
      <c r="F272" s="5" t="s">
        <v>1015</v>
      </c>
      <c r="G272" s="9">
        <f t="shared" si="2"/>
        <v>-2.6210563789150765E-3</v>
      </c>
      <c r="I272" s="13">
        <v>2.8000000000000046E-2</v>
      </c>
      <c r="J272">
        <v>0</v>
      </c>
      <c r="L272" s="13">
        <v>2.7000000000000045E-2</v>
      </c>
      <c r="M272" s="2">
        <f t="shared" si="4"/>
        <v>3.9975545082321977</v>
      </c>
    </row>
    <row r="273" spans="1:13" ht="15">
      <c r="A273" s="5">
        <v>387.91030000000001</v>
      </c>
      <c r="B273" s="5">
        <v>388.14920000000001</v>
      </c>
      <c r="C273" s="5">
        <v>383.12869999999998</v>
      </c>
      <c r="D273" s="5">
        <v>386.20819999999998</v>
      </c>
      <c r="E273" s="5">
        <v>1014597</v>
      </c>
      <c r="F273" s="5" t="s">
        <v>1014</v>
      </c>
      <c r="G273" s="9">
        <f t="shared" si="2"/>
        <v>4.4072083399575579E-3</v>
      </c>
      <c r="I273" s="13">
        <v>2.9000000000000047E-2</v>
      </c>
      <c r="J273">
        <v>4</v>
      </c>
      <c r="L273" s="13">
        <v>2.8000000000000046E-2</v>
      </c>
      <c r="M273" s="2">
        <f t="shared" si="4"/>
        <v>3.4280655687282566</v>
      </c>
    </row>
    <row r="274" spans="1:13" ht="15">
      <c r="A274" s="5">
        <v>383.13249999999999</v>
      </c>
      <c r="B274" s="5">
        <v>386.63389999999998</v>
      </c>
      <c r="C274" s="5">
        <v>377.7475</v>
      </c>
      <c r="D274" s="5">
        <v>384.5061</v>
      </c>
      <c r="E274" s="5">
        <v>2102840</v>
      </c>
      <c r="F274" s="5" t="s">
        <v>1013</v>
      </c>
      <c r="G274" s="9">
        <f t="shared" si="2"/>
        <v>-3.5723750546480249E-3</v>
      </c>
      <c r="I274" s="13">
        <v>3.0000000000000047E-2</v>
      </c>
      <c r="J274">
        <v>1</v>
      </c>
      <c r="L274" s="13">
        <v>2.9000000000000047E-2</v>
      </c>
      <c r="M274" s="2">
        <f t="shared" si="4"/>
        <v>2.9231494610784972</v>
      </c>
    </row>
    <row r="275" spans="1:13" ht="15">
      <c r="A275" s="5">
        <v>383.07279999999997</v>
      </c>
      <c r="B275" s="5">
        <v>389.26409999999998</v>
      </c>
      <c r="C275" s="5">
        <v>379.7183</v>
      </c>
      <c r="D275" s="5">
        <v>388.6071</v>
      </c>
      <c r="E275" s="5">
        <v>1069692</v>
      </c>
      <c r="F275" s="5" t="s">
        <v>1012</v>
      </c>
      <c r="G275" s="9">
        <f t="shared" si="2"/>
        <v>-1.4241376444228737E-2</v>
      </c>
      <c r="I275" s="13">
        <v>3.1000000000000048E-2</v>
      </c>
      <c r="J275">
        <v>2</v>
      </c>
      <c r="L275" s="13">
        <v>3.0000000000000047E-2</v>
      </c>
      <c r="M275" s="2">
        <f t="shared" si="4"/>
        <v>2.4785637766983237</v>
      </c>
    </row>
    <row r="276" spans="1:13" ht="15">
      <c r="A276" s="5">
        <v>388.3383</v>
      </c>
      <c r="B276" s="5">
        <v>388.56229999999999</v>
      </c>
      <c r="C276" s="5">
        <v>382.79410000000001</v>
      </c>
      <c r="D276" s="5">
        <v>385.40199999999999</v>
      </c>
      <c r="E276" s="5">
        <v>1136399</v>
      </c>
      <c r="F276" s="5" t="s">
        <v>1011</v>
      </c>
      <c r="G276" s="9">
        <f t="shared" si="2"/>
        <v>7.6187980342603545E-3</v>
      </c>
      <c r="I276" s="13">
        <v>3.2000000000000049E-2</v>
      </c>
      <c r="J276">
        <v>2</v>
      </c>
      <c r="L276" s="13">
        <v>3.1000000000000048E-2</v>
      </c>
      <c r="M276" s="2">
        <f t="shared" si="4"/>
        <v>2.089759704725016</v>
      </c>
    </row>
    <row r="277" spans="1:13" ht="15">
      <c r="A277" s="5">
        <v>383.89890000000003</v>
      </c>
      <c r="B277" s="5">
        <v>388.19900000000001</v>
      </c>
      <c r="C277" s="5">
        <v>380.48480000000001</v>
      </c>
      <c r="D277" s="5">
        <v>388.04969999999997</v>
      </c>
      <c r="E277" s="5">
        <v>1098082</v>
      </c>
      <c r="F277" s="5" t="s">
        <v>1010</v>
      </c>
      <c r="G277" s="9">
        <f t="shared" si="2"/>
        <v>-1.0696567991161809E-2</v>
      </c>
      <c r="I277" s="13">
        <v>3.300000000000005E-2</v>
      </c>
      <c r="J277">
        <v>0</v>
      </c>
      <c r="L277" s="13">
        <v>3.2000000000000049E-2</v>
      </c>
      <c r="M277" s="2">
        <f t="shared" si="4"/>
        <v>1.7520229011767259</v>
      </c>
    </row>
    <row r="278" spans="1:13" ht="15">
      <c r="A278" s="5">
        <v>386.88510000000002</v>
      </c>
      <c r="B278" s="5">
        <v>390.49340000000001</v>
      </c>
      <c r="C278" s="5">
        <v>384.108</v>
      </c>
      <c r="D278" s="5">
        <v>385.14319999999998</v>
      </c>
      <c r="E278" s="5">
        <v>1524168</v>
      </c>
      <c r="F278" s="5" t="s">
        <v>1009</v>
      </c>
      <c r="G278" s="9">
        <f t="shared" si="2"/>
        <v>4.5227333625519339E-3</v>
      </c>
      <c r="I278" s="13">
        <v>3.4000000000000051E-2</v>
      </c>
      <c r="J278">
        <v>2</v>
      </c>
      <c r="L278" s="13">
        <v>3.300000000000005E-2</v>
      </c>
      <c r="M278" s="2">
        <f t="shared" si="4"/>
        <v>1.4605969252869571</v>
      </c>
    </row>
    <row r="279" spans="1:13" ht="15">
      <c r="A279" s="5">
        <v>387.60180000000003</v>
      </c>
      <c r="B279" s="5">
        <v>396.36110000000002</v>
      </c>
      <c r="C279" s="5">
        <v>387.23349999999999</v>
      </c>
      <c r="D279" s="5">
        <v>391.15530000000001</v>
      </c>
      <c r="E279" s="5">
        <v>2054699</v>
      </c>
      <c r="F279" s="5" t="s">
        <v>1008</v>
      </c>
      <c r="G279" s="9">
        <f t="shared" si="2"/>
        <v>-9.084627001091361E-3</v>
      </c>
      <c r="I279" s="13">
        <v>3.5000000000000052E-2</v>
      </c>
      <c r="J279">
        <v>2</v>
      </c>
      <c r="L279" s="13">
        <v>3.4000000000000051E-2</v>
      </c>
      <c r="M279" s="2">
        <f t="shared" si="4"/>
        <v>1.210788147600123</v>
      </c>
    </row>
    <row r="280" spans="1:13" ht="15">
      <c r="A280" s="5">
        <v>388.27859999999998</v>
      </c>
      <c r="B280" s="5">
        <v>390.19970000000001</v>
      </c>
      <c r="C280" s="5">
        <v>378.45420000000001</v>
      </c>
      <c r="D280" s="5">
        <v>380.226</v>
      </c>
      <c r="E280" s="5">
        <v>2874077</v>
      </c>
      <c r="F280" s="5" t="s">
        <v>1007</v>
      </c>
      <c r="G280" s="9">
        <f t="shared" si="2"/>
        <v>2.1178457022928532E-2</v>
      </c>
      <c r="I280" s="13">
        <v>3.6000000000000053E-2</v>
      </c>
      <c r="J280">
        <v>0</v>
      </c>
      <c r="L280" s="13">
        <v>3.5000000000000052E-2</v>
      </c>
      <c r="M280" s="2">
        <f t="shared" si="4"/>
        <v>0.99805187629411873</v>
      </c>
    </row>
    <row r="281" spans="1:13" ht="15">
      <c r="A281" s="5">
        <v>381.51</v>
      </c>
      <c r="B281" s="5">
        <v>390.88650000000001</v>
      </c>
      <c r="C281" s="5">
        <v>380.63409999999999</v>
      </c>
      <c r="D281" s="5">
        <v>387.74110000000002</v>
      </c>
      <c r="E281" s="5">
        <v>1811783</v>
      </c>
      <c r="F281" s="5" t="s">
        <v>1006</v>
      </c>
      <c r="G281" s="9">
        <f t="shared" si="2"/>
        <v>-1.6070259252888186E-2</v>
      </c>
      <c r="I281" s="13">
        <v>3.7000000000000054E-2</v>
      </c>
      <c r="J281">
        <v>0</v>
      </c>
      <c r="L281" s="13">
        <v>3.6000000000000053E-2</v>
      </c>
      <c r="M281" s="2">
        <f t="shared" si="4"/>
        <v>0.81806016490533739</v>
      </c>
    </row>
    <row r="282" spans="1:13" ht="15">
      <c r="A282" s="5">
        <v>386.54669999999999</v>
      </c>
      <c r="B282" s="5">
        <v>388.78629999999998</v>
      </c>
      <c r="C282" s="5">
        <v>383.56049999999999</v>
      </c>
      <c r="D282" s="5">
        <v>384.88440000000003</v>
      </c>
      <c r="E282" s="5">
        <v>1685887</v>
      </c>
      <c r="F282" s="5" t="s">
        <v>1005</v>
      </c>
      <c r="G282" s="9">
        <f t="shared" si="2"/>
        <v>4.3189591472139188E-3</v>
      </c>
      <c r="I282" s="13">
        <v>3.8000000000000055E-2</v>
      </c>
      <c r="J282">
        <v>0</v>
      </c>
      <c r="L282" s="13">
        <v>3.7000000000000054E-2</v>
      </c>
      <c r="M282" s="2">
        <f t="shared" si="4"/>
        <v>0.66675234354585899</v>
      </c>
    </row>
    <row r="283" spans="1:13" ht="15">
      <c r="A283" s="5">
        <v>385.32229999999998</v>
      </c>
      <c r="B283" s="5">
        <v>386.32769999999999</v>
      </c>
      <c r="C283" s="5">
        <v>378.80259999999998</v>
      </c>
      <c r="D283" s="5">
        <v>379.65859999999998</v>
      </c>
      <c r="E283" s="5">
        <v>1634143</v>
      </c>
      <c r="F283" s="5" t="s">
        <v>1004</v>
      </c>
      <c r="G283" s="9">
        <f t="shared" si="2"/>
        <v>1.4917876218265569E-2</v>
      </c>
      <c r="I283" s="13">
        <v>3.9000000000000055E-2</v>
      </c>
      <c r="J283">
        <v>0</v>
      </c>
      <c r="L283" s="13">
        <v>3.8000000000000055E-2</v>
      </c>
      <c r="M283" s="2">
        <f t="shared" si="4"/>
        <v>0.54036975333680215</v>
      </c>
    </row>
    <row r="284" spans="1:13" ht="15">
      <c r="A284" s="5">
        <v>377.11040000000003</v>
      </c>
      <c r="B284" s="5">
        <v>379.77809999999999</v>
      </c>
      <c r="C284" s="5">
        <v>374.40300000000002</v>
      </c>
      <c r="D284" s="5">
        <v>375.7269</v>
      </c>
      <c r="E284" s="5">
        <v>966242</v>
      </c>
      <c r="F284" s="5" t="s">
        <v>1003</v>
      </c>
      <c r="G284" s="9">
        <f t="shared" si="2"/>
        <v>3.682195765062346E-3</v>
      </c>
      <c r="I284" s="13">
        <v>4.0000000000000056E-2</v>
      </c>
      <c r="J284">
        <v>1</v>
      </c>
      <c r="L284" s="13">
        <v>3.9000000000000055E-2</v>
      </c>
      <c r="M284" s="2">
        <f t="shared" si="4"/>
        <v>0.43547646445183286</v>
      </c>
    </row>
    <row r="285" spans="1:13" ht="15.75" thickBot="1">
      <c r="A285" s="5">
        <v>374.22379999999998</v>
      </c>
      <c r="B285" s="5">
        <v>376.08519999999999</v>
      </c>
      <c r="C285" s="5">
        <v>369.11750000000001</v>
      </c>
      <c r="D285" s="5">
        <v>369.39620000000002</v>
      </c>
      <c r="E285" s="5">
        <v>1009226</v>
      </c>
      <c r="F285" s="5" t="s">
        <v>1002</v>
      </c>
      <c r="G285" s="9">
        <f t="shared" si="2"/>
        <v>1.3068894590686053E-2</v>
      </c>
      <c r="I285" s="14" t="s">
        <v>1140</v>
      </c>
      <c r="J285" s="14">
        <v>6</v>
      </c>
      <c r="L285" s="13">
        <v>4.0000000000000056E-2</v>
      </c>
      <c r="M285" s="2">
        <f t="shared" si="4"/>
        <v>0.34896793239983337</v>
      </c>
    </row>
    <row r="286" spans="1:13" ht="15">
      <c r="A286" s="5">
        <v>368.12209999999999</v>
      </c>
      <c r="B286" s="5">
        <v>368.62979999999999</v>
      </c>
      <c r="C286" s="5">
        <v>364.42930000000001</v>
      </c>
      <c r="D286" s="5">
        <v>368.62979999999999</v>
      </c>
      <c r="E286" s="5">
        <v>867013</v>
      </c>
      <c r="F286" s="5" t="s">
        <v>1001</v>
      </c>
      <c r="G286" s="9">
        <f t="shared" si="2"/>
        <v>-1.3772625002101968E-3</v>
      </c>
      <c r="L286" s="13">
        <v>4.1000000000000002E-2</v>
      </c>
      <c r="M286" s="2">
        <f t="shared" si="4"/>
        <v>0.27806961002886771</v>
      </c>
    </row>
    <row r="287" spans="1:13">
      <c r="A287" s="5">
        <v>367.3159</v>
      </c>
      <c r="B287" s="5">
        <v>374.30349999999999</v>
      </c>
      <c r="C287" s="5">
        <v>362.93119999999999</v>
      </c>
      <c r="D287" s="5">
        <v>372.27289999999999</v>
      </c>
      <c r="E287" s="5">
        <v>1366185</v>
      </c>
      <c r="F287" s="5" t="s">
        <v>1000</v>
      </c>
      <c r="G287" s="9">
        <f t="shared" si="2"/>
        <v>-1.3315500537374625E-2</v>
      </c>
    </row>
    <row r="288" spans="1:13">
      <c r="A288" s="5">
        <v>368.15199999999999</v>
      </c>
      <c r="B288" s="5">
        <v>368.57900000000001</v>
      </c>
      <c r="C288" s="5">
        <v>361.3734</v>
      </c>
      <c r="D288" s="5">
        <v>364.5487</v>
      </c>
      <c r="E288" s="5">
        <v>1346698</v>
      </c>
      <c r="F288" s="5" t="s">
        <v>999</v>
      </c>
      <c r="G288" s="9">
        <f t="shared" si="2"/>
        <v>9.8842760926043383E-3</v>
      </c>
    </row>
    <row r="289" spans="1:7">
      <c r="A289" s="5">
        <v>365.20569999999998</v>
      </c>
      <c r="B289" s="5">
        <v>367.9828</v>
      </c>
      <c r="C289" s="5">
        <v>362.44349999999997</v>
      </c>
      <c r="D289" s="5">
        <v>366.30059999999997</v>
      </c>
      <c r="E289" s="5">
        <v>730068</v>
      </c>
      <c r="F289" s="5" t="s">
        <v>998</v>
      </c>
      <c r="G289" s="9">
        <f t="shared" si="2"/>
        <v>-2.9890750929700838E-3</v>
      </c>
    </row>
    <row r="290" spans="1:7">
      <c r="A290" s="5">
        <v>365.4545</v>
      </c>
      <c r="B290" s="5">
        <v>366.06169999999997</v>
      </c>
      <c r="C290" s="5">
        <v>356.12779999999998</v>
      </c>
      <c r="D290" s="5">
        <v>356.50599999999997</v>
      </c>
      <c r="E290" s="5">
        <v>1860484</v>
      </c>
      <c r="F290" s="5" t="s">
        <v>997</v>
      </c>
      <c r="G290" s="9">
        <f t="shared" si="2"/>
        <v>2.510055931737476E-2</v>
      </c>
    </row>
    <row r="291" spans="1:7">
      <c r="A291" s="5">
        <v>354.63470000000001</v>
      </c>
      <c r="B291" s="5">
        <v>362.32900000000001</v>
      </c>
      <c r="C291" s="5">
        <v>353.91800000000001</v>
      </c>
      <c r="D291" s="5">
        <v>359.06420000000003</v>
      </c>
      <c r="E291" s="5">
        <v>1383928</v>
      </c>
      <c r="F291" s="5" t="s">
        <v>996</v>
      </c>
      <c r="G291" s="9">
        <f t="shared" si="2"/>
        <v>-1.2336234021659731E-2</v>
      </c>
    </row>
    <row r="292" spans="1:7">
      <c r="A292" s="5">
        <v>361.75170000000003</v>
      </c>
      <c r="B292" s="5">
        <v>372.00409999999999</v>
      </c>
      <c r="C292" s="5">
        <v>356.24720000000002</v>
      </c>
      <c r="D292" s="5">
        <v>363.99630000000002</v>
      </c>
      <c r="E292" s="5">
        <v>2242813</v>
      </c>
      <c r="F292" s="5" t="s">
        <v>995</v>
      </c>
      <c r="G292" s="9">
        <f t="shared" si="2"/>
        <v>-6.166546198409173E-3</v>
      </c>
    </row>
    <row r="293" spans="1:7">
      <c r="A293" s="5">
        <v>357.35210000000001</v>
      </c>
      <c r="B293" s="5">
        <v>360.6866</v>
      </c>
      <c r="C293" s="5">
        <v>351.81779999999998</v>
      </c>
      <c r="D293" s="5">
        <v>352.36520000000002</v>
      </c>
      <c r="E293" s="5">
        <v>2173842</v>
      </c>
      <c r="F293" s="5" t="s">
        <v>994</v>
      </c>
      <c r="G293" s="9">
        <f t="shared" si="2"/>
        <v>1.4152646175047856E-2</v>
      </c>
    </row>
    <row r="294" spans="1:7">
      <c r="A294" s="5">
        <v>354.36599999999999</v>
      </c>
      <c r="B294" s="5">
        <v>354.87360000000001</v>
      </c>
      <c r="C294" s="5">
        <v>352.5145</v>
      </c>
      <c r="D294" s="5">
        <v>354.22660000000002</v>
      </c>
      <c r="E294" s="5">
        <v>967742</v>
      </c>
      <c r="F294" s="5" t="s">
        <v>993</v>
      </c>
      <c r="G294" s="9">
        <f t="shared" si="2"/>
        <v>3.9353340488812449E-4</v>
      </c>
    </row>
    <row r="295" spans="1:7">
      <c r="A295" s="5">
        <v>351.19069999999999</v>
      </c>
      <c r="B295" s="5">
        <v>359.93009999999998</v>
      </c>
      <c r="C295" s="5">
        <v>349.6635</v>
      </c>
      <c r="D295" s="5">
        <v>356.83449999999999</v>
      </c>
      <c r="E295" s="5">
        <v>1244464</v>
      </c>
      <c r="F295" s="5" t="s">
        <v>992</v>
      </c>
      <c r="G295" s="9">
        <f t="shared" ref="G295:G358" si="5">A295/D295-1</f>
        <v>-1.581629578978494E-2</v>
      </c>
    </row>
    <row r="296" spans="1:7">
      <c r="A296" s="5">
        <v>358.238</v>
      </c>
      <c r="B296" s="5">
        <v>364.54629999999997</v>
      </c>
      <c r="C296" s="5">
        <v>358.22800000000001</v>
      </c>
      <c r="D296" s="5">
        <v>362.8168</v>
      </c>
      <c r="E296" s="5">
        <v>708143</v>
      </c>
      <c r="F296" s="5" t="s">
        <v>991</v>
      </c>
      <c r="G296" s="9">
        <f t="shared" si="5"/>
        <v>-1.2620143278922025E-2</v>
      </c>
    </row>
    <row r="297" spans="1:7">
      <c r="A297" s="5">
        <v>361.56259999999997</v>
      </c>
      <c r="B297" s="5">
        <v>365.27530000000002</v>
      </c>
      <c r="C297" s="5">
        <v>359.16370000000001</v>
      </c>
      <c r="D297" s="5">
        <v>363.03570000000002</v>
      </c>
      <c r="E297" s="5">
        <v>1313379</v>
      </c>
      <c r="F297" s="5" t="s">
        <v>990</v>
      </c>
      <c r="G297" s="9">
        <f t="shared" si="5"/>
        <v>-4.0577276559854436E-3</v>
      </c>
    </row>
    <row r="298" spans="1:7">
      <c r="A298" s="5">
        <v>364.3297</v>
      </c>
      <c r="B298" s="5">
        <v>365.62369999999999</v>
      </c>
      <c r="C298" s="5">
        <v>361.4083</v>
      </c>
      <c r="D298" s="5">
        <v>364.68810000000002</v>
      </c>
      <c r="E298" s="5">
        <v>893466</v>
      </c>
      <c r="F298" s="5" t="s">
        <v>989</v>
      </c>
      <c r="G298" s="9">
        <f t="shared" si="5"/>
        <v>-9.8275759477761682E-4</v>
      </c>
    </row>
    <row r="299" spans="1:7">
      <c r="A299" s="5">
        <v>365.55410000000001</v>
      </c>
      <c r="B299" s="5">
        <v>369.25689999999997</v>
      </c>
      <c r="C299" s="5">
        <v>364.51889999999997</v>
      </c>
      <c r="D299" s="5">
        <v>365.75310000000002</v>
      </c>
      <c r="E299" s="5">
        <v>906575</v>
      </c>
      <c r="F299" s="5" t="s">
        <v>988</v>
      </c>
      <c r="G299" s="9">
        <f t="shared" si="5"/>
        <v>-5.440828799537778E-4</v>
      </c>
    </row>
    <row r="300" spans="1:7">
      <c r="A300" s="5">
        <v>367.85340000000002</v>
      </c>
      <c r="B300" s="5">
        <v>369.45600000000002</v>
      </c>
      <c r="C300" s="5">
        <v>358.55149999999998</v>
      </c>
      <c r="D300" s="5">
        <v>359.48219999999998</v>
      </c>
      <c r="E300" s="5">
        <v>1589555</v>
      </c>
      <c r="F300" s="5" t="s">
        <v>987</v>
      </c>
      <c r="G300" s="9">
        <f t="shared" si="5"/>
        <v>2.3286827553631539E-2</v>
      </c>
    </row>
    <row r="301" spans="1:7">
      <c r="A301" s="5">
        <v>358.06880000000001</v>
      </c>
      <c r="B301" s="5">
        <v>362.84660000000002</v>
      </c>
      <c r="C301" s="5">
        <v>357.38200000000001</v>
      </c>
      <c r="D301" s="5">
        <v>360.93549999999999</v>
      </c>
      <c r="E301" s="5">
        <v>820712</v>
      </c>
      <c r="F301" s="5" t="s">
        <v>986</v>
      </c>
      <c r="G301" s="9">
        <f t="shared" si="5"/>
        <v>-7.9424163042980389E-3</v>
      </c>
    </row>
    <row r="302" spans="1:7">
      <c r="A302" s="5">
        <v>359.64150000000001</v>
      </c>
      <c r="B302" s="5">
        <v>360.67669999999998</v>
      </c>
      <c r="C302" s="5">
        <v>354.49540000000002</v>
      </c>
      <c r="D302" s="5">
        <v>356.73500000000001</v>
      </c>
      <c r="E302" s="5">
        <v>795954</v>
      </c>
      <c r="F302" s="5" t="s">
        <v>985</v>
      </c>
      <c r="G302" s="9">
        <f t="shared" si="5"/>
        <v>8.1475044500820548E-3</v>
      </c>
    </row>
    <row r="303" spans="1:7">
      <c r="A303" s="5">
        <v>357.32220000000001</v>
      </c>
      <c r="B303" s="5">
        <v>363.33440000000002</v>
      </c>
      <c r="C303" s="5">
        <v>355.44099999999997</v>
      </c>
      <c r="D303" s="5">
        <v>357.3621</v>
      </c>
      <c r="E303" s="5">
        <v>975965</v>
      </c>
      <c r="F303" s="5" t="s">
        <v>984</v>
      </c>
      <c r="G303" s="9">
        <f t="shared" si="5"/>
        <v>-1.1165145940206234E-4</v>
      </c>
    </row>
    <row r="304" spans="1:7">
      <c r="A304" s="5">
        <v>358.0489</v>
      </c>
      <c r="B304" s="5">
        <v>359.24329999999998</v>
      </c>
      <c r="C304" s="5">
        <v>353.24119999999999</v>
      </c>
      <c r="D304" s="5">
        <v>354.90350000000001</v>
      </c>
      <c r="E304" s="5">
        <v>698625</v>
      </c>
      <c r="F304" s="5" t="s">
        <v>983</v>
      </c>
      <c r="G304" s="9">
        <f t="shared" si="5"/>
        <v>8.8626908441309382E-3</v>
      </c>
    </row>
    <row r="305" spans="1:7">
      <c r="A305" s="5">
        <v>353.9579</v>
      </c>
      <c r="B305" s="5">
        <v>357.21280000000002</v>
      </c>
      <c r="C305" s="5">
        <v>351.30020000000002</v>
      </c>
      <c r="D305" s="5">
        <v>353.36059999999998</v>
      </c>
      <c r="E305" s="5">
        <v>787931</v>
      </c>
      <c r="F305" s="5" t="s">
        <v>982</v>
      </c>
      <c r="G305" s="9">
        <f t="shared" si="5"/>
        <v>1.6903412547975005E-3</v>
      </c>
    </row>
    <row r="306" spans="1:7">
      <c r="A306" s="5">
        <v>351.73820000000001</v>
      </c>
      <c r="B306" s="5">
        <v>354.35599999999999</v>
      </c>
      <c r="C306" s="5">
        <v>350.16539999999998</v>
      </c>
      <c r="D306" s="5">
        <v>353.36059999999998</v>
      </c>
      <c r="E306" s="5">
        <v>740946</v>
      </c>
      <c r="F306" s="5" t="s">
        <v>981</v>
      </c>
      <c r="G306" s="9">
        <f t="shared" si="5"/>
        <v>-4.5913438000727558E-3</v>
      </c>
    </row>
    <row r="307" spans="1:7">
      <c r="A307" s="5">
        <v>352.3254</v>
      </c>
      <c r="B307" s="5">
        <v>352.85300000000001</v>
      </c>
      <c r="C307" s="5">
        <v>347.43810000000002</v>
      </c>
      <c r="D307" s="5">
        <v>349.05059999999997</v>
      </c>
      <c r="E307" s="5">
        <v>861434</v>
      </c>
      <c r="F307" s="5" t="s">
        <v>980</v>
      </c>
      <c r="G307" s="9">
        <f t="shared" si="5"/>
        <v>9.3820208302177743E-3</v>
      </c>
    </row>
    <row r="308" spans="1:7">
      <c r="A308" s="5">
        <v>349.17009999999999</v>
      </c>
      <c r="B308" s="5">
        <v>350.0908</v>
      </c>
      <c r="C308" s="5">
        <v>344.95960000000002</v>
      </c>
      <c r="D308" s="5">
        <v>346.2337</v>
      </c>
      <c r="E308" s="5">
        <v>923168</v>
      </c>
      <c r="F308" s="5" t="s">
        <v>979</v>
      </c>
      <c r="G308" s="9">
        <f t="shared" si="5"/>
        <v>8.4809768662033047E-3</v>
      </c>
    </row>
    <row r="309" spans="1:7">
      <c r="A309" s="5">
        <v>343.5462</v>
      </c>
      <c r="B309" s="5">
        <v>348.29410000000001</v>
      </c>
      <c r="C309" s="5">
        <v>342.36169999999998</v>
      </c>
      <c r="D309" s="5">
        <v>348.29410000000001</v>
      </c>
      <c r="E309" s="5">
        <v>1096180</v>
      </c>
      <c r="F309" s="5" t="s">
        <v>978</v>
      </c>
      <c r="G309" s="9">
        <f t="shared" si="5"/>
        <v>-1.3631870307306393E-2</v>
      </c>
    </row>
    <row r="310" spans="1:7">
      <c r="A310" s="5">
        <v>349.59809999999999</v>
      </c>
      <c r="B310" s="5">
        <v>352.79329999999999</v>
      </c>
      <c r="C310" s="5">
        <v>346.2038</v>
      </c>
      <c r="D310" s="5">
        <v>350.7627</v>
      </c>
      <c r="E310" s="5">
        <v>676931</v>
      </c>
      <c r="F310" s="5" t="s">
        <v>977</v>
      </c>
      <c r="G310" s="9">
        <f t="shared" si="5"/>
        <v>-3.3201933957059948E-3</v>
      </c>
    </row>
    <row r="311" spans="1:7">
      <c r="A311" s="5">
        <v>349.98630000000003</v>
      </c>
      <c r="B311" s="5">
        <v>353.64929999999998</v>
      </c>
      <c r="C311" s="5">
        <v>349.10039999999998</v>
      </c>
      <c r="D311" s="5">
        <v>353.29090000000002</v>
      </c>
      <c r="E311" s="5">
        <v>850802</v>
      </c>
      <c r="F311" s="5" t="s">
        <v>976</v>
      </c>
      <c r="G311" s="9">
        <f t="shared" si="5"/>
        <v>-9.3537648436458065E-3</v>
      </c>
    </row>
    <row r="312" spans="1:7">
      <c r="A312" s="5">
        <v>353.4701</v>
      </c>
      <c r="B312" s="5">
        <v>355.29169999999999</v>
      </c>
      <c r="C312" s="5">
        <v>349.67770000000002</v>
      </c>
      <c r="D312" s="5">
        <v>353.32080000000002</v>
      </c>
      <c r="E312" s="5">
        <v>830118</v>
      </c>
      <c r="F312" s="5" t="s">
        <v>975</v>
      </c>
      <c r="G312" s="9">
        <f t="shared" si="5"/>
        <v>4.2256215880853709E-4</v>
      </c>
    </row>
    <row r="313" spans="1:7">
      <c r="A313" s="5">
        <v>355.62009999999998</v>
      </c>
      <c r="B313" s="5">
        <v>360.32830000000001</v>
      </c>
      <c r="C313" s="5">
        <v>353.71899999999999</v>
      </c>
      <c r="D313" s="5">
        <v>360.0197</v>
      </c>
      <c r="E313" s="5">
        <v>738856</v>
      </c>
      <c r="F313" s="5" t="s">
        <v>974</v>
      </c>
      <c r="G313" s="9">
        <f t="shared" si="5"/>
        <v>-1.2220442381347563E-2</v>
      </c>
    </row>
    <row r="314" spans="1:7">
      <c r="A314" s="5">
        <v>359.5917</v>
      </c>
      <c r="B314" s="5">
        <v>359.88040000000001</v>
      </c>
      <c r="C314" s="5">
        <v>355.19209999999998</v>
      </c>
      <c r="D314" s="5">
        <v>357.07339999999999</v>
      </c>
      <c r="E314" s="5">
        <v>790673</v>
      </c>
      <c r="F314" s="5" t="s">
        <v>973</v>
      </c>
      <c r="G314" s="9">
        <f t="shared" si="5"/>
        <v>7.0526115919025134E-3</v>
      </c>
    </row>
    <row r="315" spans="1:7">
      <c r="A315" s="5">
        <v>357.81</v>
      </c>
      <c r="B315" s="5">
        <v>361.64359999999999</v>
      </c>
      <c r="C315" s="5">
        <v>357.3134</v>
      </c>
      <c r="D315" s="5">
        <v>360.51139999999998</v>
      </c>
      <c r="E315" s="5">
        <v>814377</v>
      </c>
      <c r="F315" s="5" t="s">
        <v>972</v>
      </c>
      <c r="G315" s="9">
        <f t="shared" si="5"/>
        <v>-7.4932443190423026E-3</v>
      </c>
    </row>
    <row r="316" spans="1:7">
      <c r="A316" s="5">
        <v>358.88260000000002</v>
      </c>
      <c r="B316" s="5">
        <v>361.0179</v>
      </c>
      <c r="C316" s="5">
        <v>355.86349999999999</v>
      </c>
      <c r="D316" s="5">
        <v>359.52820000000003</v>
      </c>
      <c r="E316" s="5">
        <v>1431782</v>
      </c>
      <c r="F316" s="5" t="s">
        <v>971</v>
      </c>
      <c r="G316" s="9">
        <f t="shared" si="5"/>
        <v>-1.7956866804884619E-3</v>
      </c>
    </row>
    <row r="317" spans="1:7">
      <c r="A317" s="5">
        <v>357.04520000000002</v>
      </c>
      <c r="B317" s="5">
        <v>361.32580000000002</v>
      </c>
      <c r="C317" s="5">
        <v>356.30040000000002</v>
      </c>
      <c r="D317" s="5">
        <v>360.77960000000002</v>
      </c>
      <c r="E317" s="5">
        <v>854946</v>
      </c>
      <c r="F317" s="5" t="s">
        <v>970</v>
      </c>
      <c r="G317" s="9">
        <f t="shared" si="5"/>
        <v>-1.0350917845687535E-2</v>
      </c>
    </row>
    <row r="318" spans="1:7">
      <c r="A318" s="5">
        <v>358.53500000000003</v>
      </c>
      <c r="B318" s="5">
        <v>363.07380000000001</v>
      </c>
      <c r="C318" s="5">
        <v>356.91120000000001</v>
      </c>
      <c r="D318" s="5">
        <v>363.07380000000001</v>
      </c>
      <c r="E318" s="5">
        <v>1273676</v>
      </c>
      <c r="F318" s="5" t="s">
        <v>969</v>
      </c>
      <c r="G318" s="9">
        <f t="shared" si="5"/>
        <v>-1.2501039733519681E-2</v>
      </c>
    </row>
    <row r="319" spans="1:7">
      <c r="A319" s="5">
        <v>364.02719999999999</v>
      </c>
      <c r="B319" s="5">
        <v>366.22199999999998</v>
      </c>
      <c r="C319" s="5">
        <v>363.06389999999999</v>
      </c>
      <c r="D319" s="5">
        <v>364.10669999999999</v>
      </c>
      <c r="E319" s="5">
        <v>723072</v>
      </c>
      <c r="F319" s="5" t="s">
        <v>968</v>
      </c>
      <c r="G319" s="9">
        <f t="shared" si="5"/>
        <v>-2.1834259023523206E-4</v>
      </c>
    </row>
    <row r="320" spans="1:7">
      <c r="A320" s="5">
        <v>362.31900000000002</v>
      </c>
      <c r="B320" s="5">
        <v>364.08679999999998</v>
      </c>
      <c r="C320" s="5">
        <v>360.1241</v>
      </c>
      <c r="D320" s="5">
        <v>362.32889999999998</v>
      </c>
      <c r="E320" s="5">
        <v>1751588</v>
      </c>
      <c r="F320" s="5" t="s">
        <v>967</v>
      </c>
      <c r="G320" s="9">
        <f t="shared" si="5"/>
        <v>-2.7323241397425591E-5</v>
      </c>
    </row>
    <row r="321" spans="1:7">
      <c r="A321" s="5">
        <v>362.5573</v>
      </c>
      <c r="B321" s="5">
        <v>364.1961</v>
      </c>
      <c r="C321" s="5">
        <v>360.14389999999997</v>
      </c>
      <c r="D321" s="5">
        <v>363.14330000000001</v>
      </c>
      <c r="E321" s="5">
        <v>993995</v>
      </c>
      <c r="F321" s="5" t="s">
        <v>966</v>
      </c>
      <c r="G321" s="9">
        <f t="shared" si="5"/>
        <v>-1.6136880399556519E-3</v>
      </c>
    </row>
    <row r="322" spans="1:7">
      <c r="A322" s="5">
        <v>358.89249999999998</v>
      </c>
      <c r="B322" s="5">
        <v>363.34190000000001</v>
      </c>
      <c r="C322" s="5">
        <v>357.20409999999998</v>
      </c>
      <c r="D322" s="5">
        <v>360.6703</v>
      </c>
      <c r="E322" s="5">
        <v>938932</v>
      </c>
      <c r="F322" s="5" t="s">
        <v>965</v>
      </c>
      <c r="G322" s="9">
        <f t="shared" si="5"/>
        <v>-4.9291555195978276E-3</v>
      </c>
    </row>
    <row r="323" spans="1:7">
      <c r="A323" s="5">
        <v>361.4649</v>
      </c>
      <c r="B323" s="5">
        <v>370.9298</v>
      </c>
      <c r="C323" s="5">
        <v>358.36619999999999</v>
      </c>
      <c r="D323" s="5">
        <v>368.65539999999999</v>
      </c>
      <c r="E323" s="5">
        <v>1399115</v>
      </c>
      <c r="F323" s="5" t="s">
        <v>964</v>
      </c>
      <c r="G323" s="9">
        <f t="shared" si="5"/>
        <v>-1.9504664789936621E-2</v>
      </c>
    </row>
    <row r="324" spans="1:7">
      <c r="A324" s="5">
        <v>369.42020000000002</v>
      </c>
      <c r="B324" s="5">
        <v>372.07190000000003</v>
      </c>
      <c r="C324" s="5">
        <v>367.48349999999999</v>
      </c>
      <c r="D324" s="5">
        <v>370.45310000000001</v>
      </c>
      <c r="E324" s="5">
        <v>910077</v>
      </c>
      <c r="F324" s="5" t="s">
        <v>963</v>
      </c>
      <c r="G324" s="9">
        <f t="shared" si="5"/>
        <v>-2.788207198158088E-3</v>
      </c>
    </row>
    <row r="325" spans="1:7">
      <c r="A325" s="5">
        <v>367.72179999999997</v>
      </c>
      <c r="B325" s="5">
        <v>371.68459999999999</v>
      </c>
      <c r="C325" s="5">
        <v>364.42450000000002</v>
      </c>
      <c r="D325" s="5">
        <v>364.42450000000002</v>
      </c>
      <c r="E325" s="5">
        <v>1114053</v>
      </c>
      <c r="F325" s="5" t="s">
        <v>962</v>
      </c>
      <c r="G325" s="9">
        <f t="shared" si="5"/>
        <v>9.0479646675785119E-3</v>
      </c>
    </row>
    <row r="326" spans="1:7">
      <c r="A326" s="5">
        <v>365.27859999999998</v>
      </c>
      <c r="B326" s="5">
        <v>366.36930000000001</v>
      </c>
      <c r="C326" s="5">
        <v>362.21469999999999</v>
      </c>
      <c r="D326" s="5">
        <v>363.6995</v>
      </c>
      <c r="E326" s="5">
        <v>1487355</v>
      </c>
      <c r="F326" s="5" t="s">
        <v>961</v>
      </c>
      <c r="G326" s="9">
        <f t="shared" si="5"/>
        <v>4.3417711599822439E-3</v>
      </c>
    </row>
    <row r="327" spans="1:7">
      <c r="A327" s="5">
        <v>363.8485</v>
      </c>
      <c r="B327" s="5">
        <v>364.18610000000001</v>
      </c>
      <c r="C327" s="5">
        <v>356.01240000000001</v>
      </c>
      <c r="D327" s="5">
        <v>361.92169999999999</v>
      </c>
      <c r="E327" s="5">
        <v>1143885</v>
      </c>
      <c r="F327" s="5" t="s">
        <v>960</v>
      </c>
      <c r="G327" s="9">
        <f t="shared" si="5"/>
        <v>5.3238034635669784E-3</v>
      </c>
    </row>
    <row r="328" spans="1:7">
      <c r="A328" s="5">
        <v>362.5573</v>
      </c>
      <c r="B328" s="5">
        <v>363.46109999999999</v>
      </c>
      <c r="C328" s="5">
        <v>360.30279999999999</v>
      </c>
      <c r="D328" s="5">
        <v>362.46800000000002</v>
      </c>
      <c r="E328" s="5">
        <v>921021</v>
      </c>
      <c r="F328" s="5" t="s">
        <v>959</v>
      </c>
      <c r="G328" s="9">
        <f t="shared" si="5"/>
        <v>2.4636657580812127E-4</v>
      </c>
    </row>
    <row r="329" spans="1:7">
      <c r="A329" s="5">
        <v>360.30279999999999</v>
      </c>
      <c r="B329" s="5">
        <v>363.11340000000001</v>
      </c>
      <c r="C329" s="5">
        <v>358.39600000000002</v>
      </c>
      <c r="D329" s="5">
        <v>358.75349999999997</v>
      </c>
      <c r="E329" s="5">
        <v>1439231</v>
      </c>
      <c r="F329" s="5" t="s">
        <v>958</v>
      </c>
      <c r="G329" s="9">
        <f t="shared" si="5"/>
        <v>4.3185641394440921E-3</v>
      </c>
    </row>
    <row r="330" spans="1:7">
      <c r="A330" s="5">
        <v>356.4692</v>
      </c>
      <c r="B330" s="5">
        <v>358.59460000000001</v>
      </c>
      <c r="C330" s="5">
        <v>353.29109999999997</v>
      </c>
      <c r="D330" s="5">
        <v>356.22089999999997</v>
      </c>
      <c r="E330" s="5">
        <v>1001435</v>
      </c>
      <c r="F330" s="5" t="s">
        <v>957</v>
      </c>
      <c r="G330" s="9">
        <f t="shared" si="5"/>
        <v>6.9703939325305164E-4</v>
      </c>
    </row>
    <row r="331" spans="1:7">
      <c r="A331" s="5">
        <v>355.55549999999999</v>
      </c>
      <c r="B331" s="5">
        <v>357.83980000000003</v>
      </c>
      <c r="C331" s="5">
        <v>351.76159999999999</v>
      </c>
      <c r="D331" s="5">
        <v>356.78699999999998</v>
      </c>
      <c r="E331" s="5">
        <v>1213820</v>
      </c>
      <c r="F331" s="5" t="s">
        <v>956</v>
      </c>
      <c r="G331" s="9">
        <f t="shared" si="5"/>
        <v>-3.451639213312041E-3</v>
      </c>
    </row>
    <row r="332" spans="1:7">
      <c r="A332" s="5">
        <v>357.83980000000003</v>
      </c>
      <c r="B332" s="5">
        <v>361.87209999999999</v>
      </c>
      <c r="C332" s="5">
        <v>354.35379999999998</v>
      </c>
      <c r="D332" s="5">
        <v>357.65109999999999</v>
      </c>
      <c r="E332" s="5">
        <v>806252</v>
      </c>
      <c r="F332" s="5" t="s">
        <v>955</v>
      </c>
      <c r="G332" s="9">
        <f t="shared" si="5"/>
        <v>5.276091699426555E-4</v>
      </c>
    </row>
    <row r="333" spans="1:7">
      <c r="A333" s="5">
        <v>357.1644</v>
      </c>
      <c r="B333" s="5">
        <v>359.7765</v>
      </c>
      <c r="C333" s="5">
        <v>355.34690000000001</v>
      </c>
      <c r="D333" s="5">
        <v>357.58159999999998</v>
      </c>
      <c r="E333" s="5">
        <v>860630</v>
      </c>
      <c r="F333" s="5" t="s">
        <v>954</v>
      </c>
      <c r="G333" s="9">
        <f t="shared" si="5"/>
        <v>-1.1667266995840642E-3</v>
      </c>
    </row>
    <row r="334" spans="1:7">
      <c r="A334" s="5">
        <v>357.959</v>
      </c>
      <c r="B334" s="5">
        <v>358.3562</v>
      </c>
      <c r="C334" s="5">
        <v>353.56909999999999</v>
      </c>
      <c r="D334" s="5">
        <v>356.70760000000001</v>
      </c>
      <c r="E334" s="5">
        <v>1307583</v>
      </c>
      <c r="F334" s="5" t="s">
        <v>953</v>
      </c>
      <c r="G334" s="9">
        <f t="shared" si="5"/>
        <v>3.5081955080296101E-3</v>
      </c>
    </row>
    <row r="335" spans="1:7">
      <c r="A335" s="5">
        <v>355.48599999999999</v>
      </c>
      <c r="B335" s="5">
        <v>356.8168</v>
      </c>
      <c r="C335" s="5">
        <v>353.46980000000002</v>
      </c>
      <c r="D335" s="5">
        <v>355.84350000000001</v>
      </c>
      <c r="E335" s="5">
        <v>1107810</v>
      </c>
      <c r="F335" s="5" t="s">
        <v>952</v>
      </c>
      <c r="G335" s="9">
        <f t="shared" si="5"/>
        <v>-1.0046551363169787E-3</v>
      </c>
    </row>
    <row r="336" spans="1:7">
      <c r="A336" s="5">
        <v>353.71809999999999</v>
      </c>
      <c r="B336" s="5">
        <v>356.64609999999999</v>
      </c>
      <c r="C336" s="5">
        <v>351.18549999999999</v>
      </c>
      <c r="D336" s="5">
        <v>356.62810000000002</v>
      </c>
      <c r="E336" s="5">
        <v>1504890</v>
      </c>
      <c r="F336" s="5" t="s">
        <v>951</v>
      </c>
      <c r="G336" s="9">
        <f t="shared" si="5"/>
        <v>-8.1597608264745158E-3</v>
      </c>
    </row>
    <row r="337" spans="1:7">
      <c r="A337" s="5">
        <v>356.06200000000001</v>
      </c>
      <c r="B337" s="5">
        <v>356.67779999999999</v>
      </c>
      <c r="C337" s="5">
        <v>351.851</v>
      </c>
      <c r="D337" s="5">
        <v>352.37729999999999</v>
      </c>
      <c r="E337" s="5">
        <v>1131383</v>
      </c>
      <c r="F337" s="5" t="s">
        <v>950</v>
      </c>
      <c r="G337" s="9">
        <f t="shared" si="5"/>
        <v>1.0456689463254287E-2</v>
      </c>
    </row>
    <row r="338" spans="1:7">
      <c r="A338" s="5">
        <v>351.88069999999999</v>
      </c>
      <c r="B338" s="5">
        <v>353.43009999999998</v>
      </c>
      <c r="C338" s="5">
        <v>350.51510000000002</v>
      </c>
      <c r="D338" s="5">
        <v>351.1259</v>
      </c>
      <c r="E338" s="5">
        <v>884876</v>
      </c>
      <c r="F338" s="5" t="s">
        <v>949</v>
      </c>
      <c r="G338" s="9">
        <f t="shared" si="5"/>
        <v>2.1496562913758677E-3</v>
      </c>
    </row>
    <row r="339" spans="1:7">
      <c r="A339" s="5">
        <v>350.87759999999997</v>
      </c>
      <c r="B339" s="5">
        <v>351.58280000000002</v>
      </c>
      <c r="C339" s="5">
        <v>347.74919999999997</v>
      </c>
      <c r="D339" s="5">
        <v>349.05020000000002</v>
      </c>
      <c r="E339" s="5">
        <v>966116</v>
      </c>
      <c r="F339" s="5" t="s">
        <v>948</v>
      </c>
      <c r="G339" s="9">
        <f t="shared" si="5"/>
        <v>5.2353501015038884E-3</v>
      </c>
    </row>
    <row r="340" spans="1:7">
      <c r="A340" s="5">
        <v>348.3252</v>
      </c>
      <c r="B340" s="5">
        <v>348.53379999999999</v>
      </c>
      <c r="C340" s="5">
        <v>343.19049999999999</v>
      </c>
      <c r="D340" s="5">
        <v>346.28919999999999</v>
      </c>
      <c r="E340" s="5">
        <v>1143502</v>
      </c>
      <c r="F340" s="5" t="s">
        <v>947</v>
      </c>
      <c r="G340" s="9">
        <f t="shared" si="5"/>
        <v>5.8794787709233187E-3</v>
      </c>
    </row>
    <row r="341" spans="1:7">
      <c r="A341" s="5">
        <v>342.96210000000002</v>
      </c>
      <c r="B341" s="5">
        <v>343.08120000000002</v>
      </c>
      <c r="C341" s="5">
        <v>340.20100000000002</v>
      </c>
      <c r="D341" s="5">
        <v>341.64109999999999</v>
      </c>
      <c r="E341" s="5">
        <v>666809</v>
      </c>
      <c r="F341" s="5" t="s">
        <v>946</v>
      </c>
      <c r="G341" s="9">
        <f t="shared" si="5"/>
        <v>3.8666308005683714E-3</v>
      </c>
    </row>
    <row r="342" spans="1:7">
      <c r="A342" s="5">
        <v>340.58839999999998</v>
      </c>
      <c r="B342" s="5">
        <v>341.67090000000002</v>
      </c>
      <c r="C342" s="5">
        <v>338.63470000000001</v>
      </c>
      <c r="D342" s="5">
        <v>340.22089999999997</v>
      </c>
      <c r="E342" s="5">
        <v>772068</v>
      </c>
      <c r="F342" s="5" t="s">
        <v>945</v>
      </c>
      <c r="G342" s="9">
        <f t="shared" si="5"/>
        <v>1.0801805532816289E-3</v>
      </c>
    </row>
    <row r="343" spans="1:7">
      <c r="A343" s="5">
        <v>338.7312</v>
      </c>
      <c r="B343" s="5">
        <v>339.64490000000001</v>
      </c>
      <c r="C343" s="5">
        <v>334.62939999999998</v>
      </c>
      <c r="D343" s="5">
        <v>334.62939999999998</v>
      </c>
      <c r="E343" s="5">
        <v>1062158</v>
      </c>
      <c r="F343" s="5" t="s">
        <v>944</v>
      </c>
      <c r="G343" s="9">
        <f t="shared" si="5"/>
        <v>1.2257739457441685E-2</v>
      </c>
    </row>
    <row r="344" spans="1:7">
      <c r="A344" s="5">
        <v>335.58280000000002</v>
      </c>
      <c r="B344" s="5">
        <v>336.01479999999998</v>
      </c>
      <c r="C344" s="5">
        <v>330.9794</v>
      </c>
      <c r="D344" s="5">
        <v>331.96769999999998</v>
      </c>
      <c r="E344" s="5">
        <v>838749</v>
      </c>
      <c r="F344" s="5" t="s">
        <v>943</v>
      </c>
      <c r="G344" s="9">
        <f t="shared" si="5"/>
        <v>1.0889914892322494E-2</v>
      </c>
    </row>
    <row r="345" spans="1:7">
      <c r="A345" s="5">
        <v>331.88819999999998</v>
      </c>
      <c r="B345" s="5">
        <v>335.14580000000001</v>
      </c>
      <c r="C345" s="5">
        <v>330.7063</v>
      </c>
      <c r="D345" s="5">
        <v>331.99740000000003</v>
      </c>
      <c r="E345" s="5">
        <v>1257823</v>
      </c>
      <c r="F345" s="5" t="s">
        <v>942</v>
      </c>
      <c r="G345" s="9">
        <f t="shared" si="5"/>
        <v>-3.289182385164402E-4</v>
      </c>
    </row>
    <row r="346" spans="1:7">
      <c r="A346" s="5">
        <v>330.40839999999997</v>
      </c>
      <c r="B346" s="5">
        <v>330.64670000000001</v>
      </c>
      <c r="C346" s="5">
        <v>325.99869999999999</v>
      </c>
      <c r="D346" s="5">
        <v>326.9323</v>
      </c>
      <c r="E346" s="5">
        <v>909806</v>
      </c>
      <c r="F346" s="5" t="s">
        <v>941</v>
      </c>
      <c r="G346" s="9">
        <f t="shared" si="5"/>
        <v>1.0632476509662592E-2</v>
      </c>
    </row>
    <row r="347" spans="1:7">
      <c r="A347" s="5">
        <v>326.74360000000001</v>
      </c>
      <c r="B347" s="5">
        <v>327.846</v>
      </c>
      <c r="C347" s="5">
        <v>323.14830000000001</v>
      </c>
      <c r="D347" s="5">
        <v>323.68459999999999</v>
      </c>
      <c r="E347" s="5">
        <v>913934</v>
      </c>
      <c r="F347" s="5" t="s">
        <v>940</v>
      </c>
      <c r="G347" s="9">
        <f t="shared" si="5"/>
        <v>9.4505577342882674E-3</v>
      </c>
    </row>
    <row r="348" spans="1:7">
      <c r="A348" s="5">
        <v>322.9794</v>
      </c>
      <c r="B348" s="5">
        <v>325.33330000000001</v>
      </c>
      <c r="C348" s="5">
        <v>321.5145</v>
      </c>
      <c r="D348" s="5">
        <v>324.8913</v>
      </c>
      <c r="E348" s="5">
        <v>774070</v>
      </c>
      <c r="F348" s="5" t="s">
        <v>939</v>
      </c>
      <c r="G348" s="9">
        <f t="shared" si="5"/>
        <v>-5.8847374491098892E-3</v>
      </c>
    </row>
    <row r="349" spans="1:7">
      <c r="A349" s="5">
        <v>325.5915</v>
      </c>
      <c r="B349" s="5">
        <v>326.24700000000001</v>
      </c>
      <c r="C349" s="5">
        <v>319.83109999999999</v>
      </c>
      <c r="D349" s="5">
        <v>323.15820000000002</v>
      </c>
      <c r="E349" s="5">
        <v>793813</v>
      </c>
      <c r="F349" s="5" t="s">
        <v>938</v>
      </c>
      <c r="G349" s="9">
        <f t="shared" si="5"/>
        <v>7.5297485875338577E-3</v>
      </c>
    </row>
    <row r="350" spans="1:7">
      <c r="A350" s="5">
        <v>323.76409999999998</v>
      </c>
      <c r="B350" s="5">
        <v>325.06509999999997</v>
      </c>
      <c r="C350" s="5">
        <v>318.58960000000002</v>
      </c>
      <c r="D350" s="5">
        <v>318.74849999999998</v>
      </c>
      <c r="E350" s="5">
        <v>1019290</v>
      </c>
      <c r="F350" s="5" t="s">
        <v>937</v>
      </c>
      <c r="G350" s="9">
        <f t="shared" si="5"/>
        <v>1.5735289734696734E-2</v>
      </c>
    </row>
    <row r="351" spans="1:7">
      <c r="A351" s="5">
        <v>317.41770000000002</v>
      </c>
      <c r="B351" s="5">
        <v>322.21969999999999</v>
      </c>
      <c r="C351" s="5">
        <v>316.8913</v>
      </c>
      <c r="D351" s="5">
        <v>321.3109</v>
      </c>
      <c r="E351" s="5">
        <v>1350572</v>
      </c>
      <c r="F351" s="5" t="s">
        <v>936</v>
      </c>
      <c r="G351" s="9">
        <f t="shared" si="5"/>
        <v>-1.2116613535363974E-2</v>
      </c>
    </row>
    <row r="352" spans="1:7">
      <c r="A352" s="5">
        <v>320.4667</v>
      </c>
      <c r="B352" s="5">
        <v>324.08190000000002</v>
      </c>
      <c r="C352" s="5">
        <v>313.85219999999998</v>
      </c>
      <c r="D352" s="5">
        <v>315.63990000000001</v>
      </c>
      <c r="E352" s="5">
        <v>2477818</v>
      </c>
      <c r="F352" s="5" t="s">
        <v>935</v>
      </c>
      <c r="G352" s="9">
        <f t="shared" si="5"/>
        <v>1.5292109774461382E-2</v>
      </c>
    </row>
    <row r="353" spans="1:7">
      <c r="A353" s="5">
        <v>313.78269999999998</v>
      </c>
      <c r="B353" s="5">
        <v>328.4717</v>
      </c>
      <c r="C353" s="5">
        <v>312.77960000000002</v>
      </c>
      <c r="D353" s="5">
        <v>328.4717</v>
      </c>
      <c r="E353" s="5">
        <v>2403422</v>
      </c>
      <c r="F353" s="5" t="s">
        <v>934</v>
      </c>
      <c r="G353" s="9">
        <f t="shared" si="5"/>
        <v>-4.4719225430988496E-2</v>
      </c>
    </row>
    <row r="354" spans="1:7">
      <c r="A354" s="5">
        <v>329.29599999999999</v>
      </c>
      <c r="B354" s="5">
        <v>331.30220000000003</v>
      </c>
      <c r="C354" s="5">
        <v>321.79759999999999</v>
      </c>
      <c r="D354" s="5">
        <v>330.72620000000001</v>
      </c>
      <c r="E354" s="5">
        <v>1738648</v>
      </c>
      <c r="F354" s="5" t="s">
        <v>933</v>
      </c>
      <c r="G354" s="9">
        <f t="shared" si="5"/>
        <v>-4.3244230423837848E-3</v>
      </c>
    </row>
    <row r="355" spans="1:7">
      <c r="A355" s="5">
        <v>330.89499999999998</v>
      </c>
      <c r="B355" s="5">
        <v>333.60640000000001</v>
      </c>
      <c r="C355" s="5">
        <v>321.87700000000001</v>
      </c>
      <c r="D355" s="5">
        <v>327.88569999999999</v>
      </c>
      <c r="E355" s="5">
        <v>1630542</v>
      </c>
      <c r="F355" s="5" t="s">
        <v>932</v>
      </c>
      <c r="G355" s="9">
        <f t="shared" si="5"/>
        <v>9.1778933939479224E-3</v>
      </c>
    </row>
    <row r="356" spans="1:7">
      <c r="A356" s="5">
        <v>325.21409999999997</v>
      </c>
      <c r="B356" s="5">
        <v>332.13650000000001</v>
      </c>
      <c r="C356" s="5">
        <v>317.815</v>
      </c>
      <c r="D356" s="5">
        <v>328.24329999999998</v>
      </c>
      <c r="E356" s="5">
        <v>3543201</v>
      </c>
      <c r="F356" s="5" t="s">
        <v>931</v>
      </c>
      <c r="G356" s="9">
        <f t="shared" si="5"/>
        <v>-9.2285204298153678E-3</v>
      </c>
    </row>
    <row r="357" spans="1:7">
      <c r="A357" s="5">
        <v>327.96519999999998</v>
      </c>
      <c r="B357" s="5">
        <v>333.78519999999997</v>
      </c>
      <c r="C357" s="5">
        <v>326.2371</v>
      </c>
      <c r="D357" s="5">
        <v>330.51760000000002</v>
      </c>
      <c r="E357" s="5">
        <v>2427267</v>
      </c>
      <c r="F357" s="5" t="s">
        <v>930</v>
      </c>
      <c r="G357" s="9">
        <f t="shared" si="5"/>
        <v>-7.7224329354927956E-3</v>
      </c>
    </row>
    <row r="358" spans="1:7">
      <c r="A358" s="5">
        <v>331.0043</v>
      </c>
      <c r="B358" s="5">
        <v>336.20850000000002</v>
      </c>
      <c r="C358" s="5">
        <v>327.8261</v>
      </c>
      <c r="D358" s="5">
        <v>329.99119999999999</v>
      </c>
      <c r="E358" s="5">
        <v>1719243</v>
      </c>
      <c r="F358" s="5" t="s">
        <v>929</v>
      </c>
      <c r="G358" s="9">
        <f t="shared" si="5"/>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78" r:id="rId1" xr:uid="{303B2CBD-C17A-43FE-A6E4-9A4921C41158}"/>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2025-05-12T08:03:12Z</dcterms:modified>
</cp:coreProperties>
</file>