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Communication Services\"/>
    </mc:Choice>
  </mc:AlternateContent>
  <xr:revisionPtr revIDLastSave="0" documentId="13_ncr:1_{72C13ECA-D12F-41C6-A05B-DA93BF93CD41}" xr6:coauthVersionLast="47" xr6:coauthVersionMax="47" xr10:uidLastSave="{00000000-0000-0000-0000-000000000000}"/>
  <bookViews>
    <workbookView xWindow="28680" yWindow="-120" windowWidth="29040" windowHeight="15720" activeTab="1" xr2:uid="{00000000-000D-0000-FFFF-FFFF00000000}"/>
  </bookViews>
  <sheets>
    <sheet name="Main" sheetId="1" r:id="rId1"/>
    <sheet name="Model" sheetId="2" r:id="rId2"/>
    <sheet name="Notes | Quant Analysis" sheetId="3" r:id="rId3"/>
    <sheet name="M&amp;A Scope" sheetId="7" r:id="rId4"/>
    <sheet name="Product Lines" sheetId="5" r:id="rId5"/>
    <sheet name="Management" sheetId="6" r:id="rId6"/>
    <sheet name="Table Formatting" sheetId="4"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X56" i="2" l="1"/>
  <c r="CZ78" i="2"/>
  <c r="CY56" i="2" l="1"/>
  <c r="CZ56" i="2" s="1"/>
  <c r="DA56" i="2" s="1"/>
  <c r="DB56" i="2" s="1"/>
  <c r="DC56" i="2" s="1"/>
  <c r="DD56" i="2" s="1"/>
  <c r="DE56" i="2" s="1"/>
  <c r="DF56" i="2" s="1"/>
  <c r="DG56" i="2" s="1"/>
  <c r="CZ85" i="2"/>
  <c r="CZ80"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CV66" i="2"/>
  <c r="CU66" i="2"/>
  <c r="CT66" i="2"/>
  <c r="CS66" i="2"/>
  <c r="CR66" i="2"/>
  <c r="CQ66" i="2"/>
  <c r="CP66" i="2"/>
  <c r="CO66" i="2"/>
  <c r="CN66" i="2"/>
  <c r="CM66" i="2"/>
  <c r="CL66" i="2"/>
  <c r="CK66" i="2"/>
  <c r="CJ66" i="2"/>
  <c r="CI66" i="2"/>
  <c r="CH66" i="2"/>
  <c r="CV65" i="2"/>
  <c r="CU65" i="2"/>
  <c r="CT65" i="2"/>
  <c r="CS65" i="2"/>
  <c r="CR65" i="2"/>
  <c r="CQ65" i="2"/>
  <c r="CP65" i="2"/>
  <c r="CO65" i="2"/>
  <c r="CN65" i="2"/>
  <c r="CM65" i="2"/>
  <c r="CL65" i="2"/>
  <c r="CK65" i="2"/>
  <c r="CJ65" i="2"/>
  <c r="CI65" i="2"/>
  <c r="CH65" i="2"/>
  <c r="CW66" i="2"/>
  <c r="CW65" i="2"/>
  <c r="AV50" i="2" l="1"/>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CQ64" i="2" l="1"/>
  <c r="CH60" i="2"/>
  <c r="CH58" i="2"/>
  <c r="CH56" i="2"/>
  <c r="CH53" i="2"/>
  <c r="CH51" i="2"/>
  <c r="CH64" i="2" s="1"/>
  <c r="CH50" i="2"/>
  <c r="CH49" i="2"/>
  <c r="CH48" i="2"/>
  <c r="CI60" i="2"/>
  <c r="CI58" i="2"/>
  <c r="CI56" i="2"/>
  <c r="CI53" i="2"/>
  <c r="CI51" i="2"/>
  <c r="CI64" i="2" s="1"/>
  <c r="CI50" i="2"/>
  <c r="CI49" i="2"/>
  <c r="CI48" i="2"/>
  <c r="CJ60" i="2"/>
  <c r="CJ58" i="2"/>
  <c r="CJ56" i="2"/>
  <c r="CJ53" i="2"/>
  <c r="CJ51" i="2"/>
  <c r="CJ64" i="2" s="1"/>
  <c r="CJ50" i="2"/>
  <c r="CJ63" i="2" s="1"/>
  <c r="CJ49" i="2"/>
  <c r="CJ48" i="2"/>
  <c r="CK60" i="2"/>
  <c r="CK58" i="2"/>
  <c r="CK56" i="2"/>
  <c r="CK53" i="2"/>
  <c r="CK51" i="2"/>
  <c r="CK64" i="2" s="1"/>
  <c r="CK50" i="2"/>
  <c r="CK63" i="2" s="1"/>
  <c r="CK49" i="2"/>
  <c r="CK48" i="2"/>
  <c r="CL60" i="2"/>
  <c r="CL58" i="2"/>
  <c r="CL56" i="2"/>
  <c r="CL53" i="2"/>
  <c r="CL51" i="2"/>
  <c r="CL50" i="2"/>
  <c r="CL49" i="2"/>
  <c r="CL48" i="2"/>
  <c r="CM60" i="2"/>
  <c r="CM58" i="2"/>
  <c r="CM56" i="2"/>
  <c r="CM53" i="2"/>
  <c r="CM51" i="2"/>
  <c r="CM64" i="2" s="1"/>
  <c r="CM50" i="2"/>
  <c r="CM49" i="2"/>
  <c r="CM48" i="2"/>
  <c r="CN60" i="2"/>
  <c r="CN58" i="2"/>
  <c r="CN56" i="2"/>
  <c r="CN53" i="2"/>
  <c r="CN51" i="2"/>
  <c r="CN64" i="2" s="1"/>
  <c r="CN50" i="2"/>
  <c r="CN63" i="2" s="1"/>
  <c r="CN49" i="2"/>
  <c r="CN48" i="2"/>
  <c r="CO60" i="2"/>
  <c r="CO58" i="2"/>
  <c r="CO56" i="2"/>
  <c r="CO53" i="2"/>
  <c r="CO51" i="2"/>
  <c r="CO64" i="2" s="1"/>
  <c r="CO50" i="2"/>
  <c r="CO49" i="2"/>
  <c r="CO48" i="2"/>
  <c r="CP60" i="2"/>
  <c r="CP58" i="2"/>
  <c r="CP56" i="2"/>
  <c r="CP53" i="2"/>
  <c r="CP51" i="2"/>
  <c r="CP64" i="2" s="1"/>
  <c r="CP50" i="2"/>
  <c r="CP49" i="2"/>
  <c r="CP48" i="2"/>
  <c r="CQ60" i="2"/>
  <c r="CQ58" i="2"/>
  <c r="CQ56" i="2"/>
  <c r="CQ53" i="2"/>
  <c r="CQ51" i="2"/>
  <c r="CQ50" i="2"/>
  <c r="CQ49" i="2"/>
  <c r="CQ48" i="2"/>
  <c r="CR60" i="2"/>
  <c r="CR58" i="2"/>
  <c r="CR56" i="2"/>
  <c r="CR53" i="2"/>
  <c r="CR51" i="2"/>
  <c r="CR64" i="2" s="1"/>
  <c r="CR50" i="2"/>
  <c r="CR63" i="2" s="1"/>
  <c r="CR49" i="2"/>
  <c r="CR48" i="2"/>
  <c r="CS101" i="2"/>
  <c r="CS99" i="2"/>
  <c r="CS98" i="2"/>
  <c r="CS97" i="2"/>
  <c r="CS96" i="2"/>
  <c r="CS95" i="2"/>
  <c r="CS94" i="2"/>
  <c r="CS93" i="2"/>
  <c r="CS92" i="2"/>
  <c r="CS91" i="2"/>
  <c r="CS90" i="2"/>
  <c r="CS89" i="2"/>
  <c r="CS88" i="2"/>
  <c r="CS85" i="2"/>
  <c r="CS84" i="2"/>
  <c r="CS83" i="2"/>
  <c r="CS82" i="2"/>
  <c r="CS81" i="2"/>
  <c r="CS80" i="2"/>
  <c r="CS79" i="2"/>
  <c r="CS78" i="2"/>
  <c r="CS77" i="2"/>
  <c r="CS76" i="2"/>
  <c r="CS75" i="2"/>
  <c r="CS74" i="2"/>
  <c r="CS73" i="2"/>
  <c r="CS114" i="2"/>
  <c r="CS113" i="2"/>
  <c r="CS60" i="2"/>
  <c r="CT114" i="2"/>
  <c r="CT113" i="2"/>
  <c r="CT101" i="2"/>
  <c r="CT99" i="2"/>
  <c r="CT98" i="2"/>
  <c r="CT97" i="2"/>
  <c r="CT96" i="2"/>
  <c r="CT95" i="2"/>
  <c r="CT94" i="2"/>
  <c r="CT93" i="2"/>
  <c r="CT92" i="2"/>
  <c r="CT91" i="2"/>
  <c r="CT90" i="2"/>
  <c r="CT89" i="2"/>
  <c r="CT88" i="2"/>
  <c r="CT85" i="2"/>
  <c r="CT84" i="2"/>
  <c r="CT83" i="2"/>
  <c r="CT82" i="2"/>
  <c r="CT81" i="2"/>
  <c r="CT80" i="2"/>
  <c r="CT79" i="2"/>
  <c r="CT78" i="2"/>
  <c r="CT77" i="2"/>
  <c r="CT76" i="2"/>
  <c r="CT75" i="2"/>
  <c r="CT74" i="2"/>
  <c r="CT73" i="2"/>
  <c r="CT60" i="2"/>
  <c r="CU114" i="2"/>
  <c r="CU113" i="2"/>
  <c r="CU101" i="2"/>
  <c r="CU99" i="2"/>
  <c r="CU98" i="2"/>
  <c r="CU97" i="2"/>
  <c r="CU96" i="2"/>
  <c r="CU95" i="2"/>
  <c r="CU94" i="2"/>
  <c r="CU93" i="2"/>
  <c r="CU92" i="2"/>
  <c r="CU91" i="2"/>
  <c r="CU90" i="2"/>
  <c r="CU89" i="2"/>
  <c r="CU88" i="2"/>
  <c r="CU85" i="2"/>
  <c r="CU84" i="2"/>
  <c r="CU83" i="2"/>
  <c r="CU82" i="2"/>
  <c r="CU81" i="2"/>
  <c r="CU80" i="2"/>
  <c r="CU79" i="2"/>
  <c r="CU78" i="2"/>
  <c r="CU77" i="2"/>
  <c r="CU76" i="2"/>
  <c r="CU75" i="2"/>
  <c r="CU74" i="2"/>
  <c r="CU73" i="2"/>
  <c r="CU60" i="2"/>
  <c r="CV114" i="2"/>
  <c r="CV113" i="2"/>
  <c r="CV101" i="2"/>
  <c r="CV99" i="2"/>
  <c r="CV98" i="2"/>
  <c r="CV97" i="2"/>
  <c r="CV96" i="2"/>
  <c r="CV95" i="2"/>
  <c r="CV94" i="2"/>
  <c r="CV93" i="2"/>
  <c r="CV92" i="2"/>
  <c r="CV91" i="2"/>
  <c r="CV90" i="2"/>
  <c r="CV89" i="2"/>
  <c r="CV88" i="2"/>
  <c r="CV85" i="2"/>
  <c r="CV84" i="2"/>
  <c r="CV83" i="2"/>
  <c r="CV82" i="2"/>
  <c r="CV81" i="2"/>
  <c r="CV80" i="2"/>
  <c r="CV79" i="2"/>
  <c r="CV78" i="2"/>
  <c r="CV77" i="2"/>
  <c r="CV76" i="2"/>
  <c r="CV75" i="2"/>
  <c r="CV74" i="2"/>
  <c r="CV73" i="2"/>
  <c r="CW60" i="2"/>
  <c r="CV60" i="2"/>
  <c r="CW114" i="2"/>
  <c r="CW113" i="2"/>
  <c r="CW101" i="2"/>
  <c r="CW99" i="2"/>
  <c r="CW98" i="2"/>
  <c r="CW97" i="2"/>
  <c r="CW96" i="2"/>
  <c r="CW95" i="2"/>
  <c r="CW94" i="2"/>
  <c r="CW93" i="2"/>
  <c r="CW92" i="2"/>
  <c r="CW91" i="2"/>
  <c r="CW90" i="2"/>
  <c r="CW89" i="2"/>
  <c r="CW88" i="2"/>
  <c r="CW85" i="2"/>
  <c r="CW84" i="2"/>
  <c r="CW83" i="2"/>
  <c r="CW82" i="2"/>
  <c r="CW81" i="2"/>
  <c r="CW80" i="2"/>
  <c r="CW79" i="2"/>
  <c r="CW78" i="2"/>
  <c r="CW77" i="2"/>
  <c r="CW76" i="2"/>
  <c r="CW75" i="2"/>
  <c r="CW74" i="2"/>
  <c r="CW73" i="2"/>
  <c r="CL64" i="2" l="1"/>
  <c r="CQ63" i="2"/>
  <c r="CM63" i="2"/>
  <c r="CI63" i="2"/>
  <c r="CP63" i="2"/>
  <c r="CL63" i="2"/>
  <c r="CH63" i="2"/>
  <c r="CO63" i="2"/>
  <c r="G1881" i="3" l="1"/>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K180" i="3" l="1"/>
  <c r="K181" i="3"/>
  <c r="K182" i="3"/>
  <c r="K183" i="3"/>
  <c r="K184" i="3"/>
  <c r="P205" i="3" l="1"/>
  <c r="P204" i="3"/>
  <c r="P202" i="3"/>
  <c r="P203" i="3"/>
  <c r="P201" i="3"/>
  <c r="P200" i="3"/>
  <c r="P199" i="3"/>
  <c r="P197" i="3"/>
  <c r="P196" i="3"/>
  <c r="P195" i="3"/>
  <c r="P194" i="3"/>
  <c r="P198" i="3"/>
  <c r="P193" i="3"/>
  <c r="P192" i="3"/>
  <c r="M234" i="3"/>
  <c r="M226" i="3"/>
  <c r="M218" i="3"/>
  <c r="M210" i="3"/>
  <c r="M202" i="3"/>
  <c r="M194" i="3"/>
  <c r="M233" i="3"/>
  <c r="M225" i="3"/>
  <c r="M217" i="3"/>
  <c r="M209" i="3"/>
  <c r="M201" i="3"/>
  <c r="M193" i="3"/>
  <c r="M200" i="3"/>
  <c r="M222" i="3"/>
  <c r="M232" i="3"/>
  <c r="M224" i="3"/>
  <c r="M216" i="3"/>
  <c r="M208" i="3"/>
  <c r="M192" i="3"/>
  <c r="M198" i="3"/>
  <c r="M231" i="3"/>
  <c r="M223" i="3"/>
  <c r="M215" i="3"/>
  <c r="M207" i="3"/>
  <c r="M199" i="3"/>
  <c r="M214" i="3"/>
  <c r="M230" i="3"/>
  <c r="M229" i="3"/>
  <c r="M221" i="3"/>
  <c r="M213" i="3"/>
  <c r="M205" i="3"/>
  <c r="M197" i="3"/>
  <c r="M228" i="3"/>
  <c r="M220" i="3"/>
  <c r="M212" i="3"/>
  <c r="M204" i="3"/>
  <c r="M196" i="3"/>
  <c r="M227" i="3"/>
  <c r="M219" i="3"/>
  <c r="M211" i="3"/>
  <c r="M203" i="3"/>
  <c r="M195" i="3"/>
  <c r="M206" i="3"/>
  <c r="AH67" i="2" l="1"/>
  <c r="AA67" i="2"/>
  <c r="Z67" i="2"/>
  <c r="K67" i="2"/>
  <c r="J67" i="2"/>
  <c r="C67"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Y64" i="2"/>
  <c r="AY63" i="2"/>
  <c r="BQ115" i="2"/>
  <c r="BP115" i="2"/>
  <c r="BO115" i="2"/>
  <c r="BN115" i="2"/>
  <c r="BM115" i="2"/>
  <c r="CW115" i="2" s="1"/>
  <c r="BL115" i="2"/>
  <c r="BK115" i="2"/>
  <c r="BJ115" i="2"/>
  <c r="BJ117" i="2" s="1"/>
  <c r="BI115" i="2"/>
  <c r="BH115" i="2"/>
  <c r="BG115" i="2"/>
  <c r="BF115" i="2"/>
  <c r="BE115" i="2"/>
  <c r="CU115" i="2" s="1"/>
  <c r="BD115" i="2"/>
  <c r="BD117" i="2" s="1"/>
  <c r="BC115" i="2"/>
  <c r="BB115" i="2"/>
  <c r="BA115" i="2"/>
  <c r="AZ115" i="2"/>
  <c r="AY115" i="2"/>
  <c r="AX115" i="2"/>
  <c r="AW115" i="2"/>
  <c r="CS115" i="2" s="1"/>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AW54" i="2"/>
  <c r="AZ58" i="2"/>
  <c r="CS58" i="2" s="1"/>
  <c r="AZ56" i="2"/>
  <c r="CS56" i="2" s="1"/>
  <c r="AZ53" i="2"/>
  <c r="CS53" i="2" s="1"/>
  <c r="AZ52" i="2"/>
  <c r="CS52" i="2" s="1"/>
  <c r="AZ51" i="2"/>
  <c r="CS51" i="2" s="1"/>
  <c r="AZ49" i="2"/>
  <c r="CS49" i="2" s="1"/>
  <c r="BG86" i="2"/>
  <c r="BD58" i="2"/>
  <c r="CT58" i="2" s="1"/>
  <c r="BD56" i="2"/>
  <c r="CT56" i="2" s="1"/>
  <c r="BD53" i="2"/>
  <c r="CT53" i="2" s="1"/>
  <c r="BD52" i="2"/>
  <c r="CT52" i="2" s="1"/>
  <c r="BD51" i="2"/>
  <c r="CT51" i="2" s="1"/>
  <c r="BD49" i="2"/>
  <c r="CT49" i="2" s="1"/>
  <c r="BH58" i="2"/>
  <c r="CU58" i="2" s="1"/>
  <c r="BO100" i="2"/>
  <c r="BO102" i="2" s="1"/>
  <c r="BO54" i="2"/>
  <c r="BH56" i="2"/>
  <c r="CU56" i="2" s="1"/>
  <c r="BH53" i="2"/>
  <c r="CU53" i="2" s="1"/>
  <c r="BH52" i="2"/>
  <c r="CU52" i="2" s="1"/>
  <c r="BH51" i="2"/>
  <c r="CU51" i="2" s="1"/>
  <c r="BH49" i="2"/>
  <c r="CU49" i="2" s="1"/>
  <c r="BL58" i="2"/>
  <c r="CV58" i="2" s="1"/>
  <c r="BL56" i="2"/>
  <c r="CV56" i="2" s="1"/>
  <c r="BL53" i="2"/>
  <c r="CV53" i="2" s="1"/>
  <c r="BL52" i="2"/>
  <c r="CV52" i="2" s="1"/>
  <c r="BL51" i="2"/>
  <c r="CV51" i="2" s="1"/>
  <c r="BL49" i="2"/>
  <c r="CV49" i="2" s="1"/>
  <c r="BP58" i="2"/>
  <c r="CW58" i="2" s="1"/>
  <c r="BP56" i="2"/>
  <c r="CW56" i="2" s="1"/>
  <c r="BP53" i="2"/>
  <c r="CW53" i="2" s="1"/>
  <c r="BP52" i="2"/>
  <c r="CW52" i="2" s="1"/>
  <c r="BP51" i="2"/>
  <c r="CW51" i="2" s="1"/>
  <c r="BP49" i="2"/>
  <c r="CW49" i="2" s="1"/>
  <c r="BQ86" i="2"/>
  <c r="BN54" i="2"/>
  <c r="BM54" i="2"/>
  <c r="BK54" i="2"/>
  <c r="BJ54" i="2"/>
  <c r="BI54" i="2"/>
  <c r="BG54" i="2"/>
  <c r="BF54" i="2"/>
  <c r="BE54" i="2"/>
  <c r="BC54" i="2"/>
  <c r="BB54" i="2"/>
  <c r="BA54" i="2"/>
  <c r="AY54" i="2"/>
  <c r="AY67" i="2" s="1"/>
  <c r="AX54" i="2"/>
  <c r="AX67" i="2" s="1"/>
  <c r="BQ54" i="2"/>
  <c r="BO39" i="2"/>
  <c r="BN39" i="2"/>
  <c r="BM39" i="2"/>
  <c r="BK39" i="2"/>
  <c r="BJ39" i="2"/>
  <c r="BI39" i="2"/>
  <c r="BG39" i="2"/>
  <c r="BF39" i="2"/>
  <c r="BE39" i="2"/>
  <c r="BC39" i="2"/>
  <c r="BB39" i="2"/>
  <c r="BA39" i="2"/>
  <c r="BO38" i="2"/>
  <c r="BN38" i="2"/>
  <c r="BM38" i="2"/>
  <c r="BK38" i="2"/>
  <c r="BJ38" i="2"/>
  <c r="BI38" i="2"/>
  <c r="BG38" i="2"/>
  <c r="BF38" i="2"/>
  <c r="BE38" i="2"/>
  <c r="BC38" i="2"/>
  <c r="BB38" i="2"/>
  <c r="BA38" i="2"/>
  <c r="BO37" i="2"/>
  <c r="BN37" i="2"/>
  <c r="BM37" i="2"/>
  <c r="BK37" i="2"/>
  <c r="BJ37" i="2"/>
  <c r="BI37" i="2"/>
  <c r="BG37" i="2"/>
  <c r="BF37" i="2"/>
  <c r="BE37" i="2"/>
  <c r="BC37" i="2"/>
  <c r="BB37" i="2"/>
  <c r="BA37" i="2"/>
  <c r="BO36" i="2"/>
  <c r="BN36" i="2"/>
  <c r="BM36" i="2"/>
  <c r="BK36" i="2"/>
  <c r="BJ36" i="2"/>
  <c r="BI36" i="2"/>
  <c r="BG36" i="2"/>
  <c r="BF36" i="2"/>
  <c r="BE36" i="2"/>
  <c r="BC36" i="2"/>
  <c r="BB36" i="2"/>
  <c r="BA36" i="2"/>
  <c r="BQ39" i="2"/>
  <c r="BQ38" i="2"/>
  <c r="BQ37" i="2"/>
  <c r="BQ36" i="2"/>
  <c r="AZ33" i="2"/>
  <c r="CS33" i="2" s="1"/>
  <c r="AZ32" i="2"/>
  <c r="CS32" i="2" s="1"/>
  <c r="AZ31" i="2"/>
  <c r="CS31" i="2" s="1"/>
  <c r="AZ30" i="2"/>
  <c r="CS30" i="2" s="1"/>
  <c r="AZ29" i="2"/>
  <c r="CS29" i="2" s="1"/>
  <c r="BD33" i="2"/>
  <c r="CT33" i="2" s="1"/>
  <c r="BD32" i="2"/>
  <c r="CT32" i="2" s="1"/>
  <c r="BD31" i="2"/>
  <c r="CT31" i="2" s="1"/>
  <c r="BD30" i="2"/>
  <c r="CT30" i="2" s="1"/>
  <c r="BD29" i="2"/>
  <c r="CT29" i="2" s="1"/>
  <c r="BH33" i="2"/>
  <c r="CU33" i="2" s="1"/>
  <c r="BH32" i="2"/>
  <c r="CU32" i="2" s="1"/>
  <c r="BH31" i="2"/>
  <c r="CU31" i="2" s="1"/>
  <c r="BH30" i="2"/>
  <c r="CU30" i="2" s="1"/>
  <c r="BH29" i="2"/>
  <c r="CU29" i="2" s="1"/>
  <c r="BL33" i="2"/>
  <c r="CV33" i="2" s="1"/>
  <c r="BL32" i="2"/>
  <c r="CV32" i="2" s="1"/>
  <c r="BL31" i="2"/>
  <c r="CV31" i="2" s="1"/>
  <c r="BL30" i="2"/>
  <c r="CV30" i="2" s="1"/>
  <c r="BL29" i="2"/>
  <c r="CV29" i="2" s="1"/>
  <c r="BP33" i="2"/>
  <c r="CW33" i="2" s="1"/>
  <c r="BP32" i="2"/>
  <c r="CW32" i="2" s="1"/>
  <c r="BP31" i="2"/>
  <c r="CW31" i="2" s="1"/>
  <c r="BP30" i="2"/>
  <c r="CW30" i="2" s="1"/>
  <c r="BP29" i="2"/>
  <c r="CW29" i="2" s="1"/>
  <c r="BO34" i="2"/>
  <c r="BN34" i="2"/>
  <c r="BN45" i="2" s="1"/>
  <c r="BM34" i="2"/>
  <c r="BK34" i="2"/>
  <c r="BK45" i="2" s="1"/>
  <c r="BJ34" i="2"/>
  <c r="BI34" i="2"/>
  <c r="BG34" i="2"/>
  <c r="BF34" i="2"/>
  <c r="BE34" i="2"/>
  <c r="BC34" i="2"/>
  <c r="BC42" i="2" s="1"/>
  <c r="BB34" i="2"/>
  <c r="BB45" i="2" s="1"/>
  <c r="BA34" i="2"/>
  <c r="AY34" i="2"/>
  <c r="AY46" i="2" s="1"/>
  <c r="AX34" i="2"/>
  <c r="AW34" i="2"/>
  <c r="BQ34" i="2"/>
  <c r="AV52" i="2"/>
  <c r="AV54" i="2" s="1"/>
  <c r="AV67" i="2" s="1"/>
  <c r="AU52" i="2"/>
  <c r="AU54" i="2" s="1"/>
  <c r="AU67" i="2" s="1"/>
  <c r="AT52" i="2"/>
  <c r="AT54" i="2" s="1"/>
  <c r="AT67" i="2" s="1"/>
  <c r="AS52" i="2"/>
  <c r="AR52" i="2"/>
  <c r="AR54" i="2" s="1"/>
  <c r="AR67" i="2" s="1"/>
  <c r="AQ52" i="2"/>
  <c r="AQ54" i="2" s="1"/>
  <c r="AQ67" i="2" s="1"/>
  <c r="AP52" i="2"/>
  <c r="AP54" i="2" s="1"/>
  <c r="AP67" i="2" s="1"/>
  <c r="AO52" i="2"/>
  <c r="AN52" i="2"/>
  <c r="AN54" i="2" s="1"/>
  <c r="AN67" i="2" s="1"/>
  <c r="AM52" i="2"/>
  <c r="AM54" i="2" s="1"/>
  <c r="AM67" i="2" s="1"/>
  <c r="AL52" i="2"/>
  <c r="AL54" i="2" s="1"/>
  <c r="AL67" i="2" s="1"/>
  <c r="AK52" i="2"/>
  <c r="AJ52" i="2"/>
  <c r="AJ54" i="2" s="1"/>
  <c r="AJ67" i="2" s="1"/>
  <c r="AI52" i="2"/>
  <c r="AI54" i="2" s="1"/>
  <c r="AI67" i="2" s="1"/>
  <c r="AH52" i="2"/>
  <c r="AH54" i="2" s="1"/>
  <c r="AG52" i="2"/>
  <c r="AF52" i="2"/>
  <c r="AF54" i="2" s="1"/>
  <c r="AF67" i="2" s="1"/>
  <c r="AE52" i="2"/>
  <c r="AE54" i="2" s="1"/>
  <c r="AE67" i="2" s="1"/>
  <c r="AD52" i="2"/>
  <c r="AD54" i="2" s="1"/>
  <c r="AD67" i="2" s="1"/>
  <c r="AC52" i="2"/>
  <c r="AB52" i="2"/>
  <c r="AB54" i="2" s="1"/>
  <c r="AB67" i="2" s="1"/>
  <c r="AA52" i="2"/>
  <c r="AA54" i="2" s="1"/>
  <c r="Z52" i="2"/>
  <c r="Z54" i="2" s="1"/>
  <c r="Y52" i="2"/>
  <c r="X52" i="2"/>
  <c r="X54" i="2" s="1"/>
  <c r="X67" i="2" s="1"/>
  <c r="W52" i="2"/>
  <c r="W54" i="2" s="1"/>
  <c r="W67" i="2" s="1"/>
  <c r="V52" i="2"/>
  <c r="V54" i="2" s="1"/>
  <c r="V67" i="2" s="1"/>
  <c r="U52" i="2"/>
  <c r="T52" i="2"/>
  <c r="T54" i="2" s="1"/>
  <c r="T67" i="2" s="1"/>
  <c r="S52" i="2"/>
  <c r="S54" i="2" s="1"/>
  <c r="S67" i="2" s="1"/>
  <c r="R52" i="2"/>
  <c r="R54" i="2" s="1"/>
  <c r="R67" i="2" s="1"/>
  <c r="Q52" i="2"/>
  <c r="P52" i="2"/>
  <c r="P54" i="2" s="1"/>
  <c r="P67" i="2" s="1"/>
  <c r="O52" i="2"/>
  <c r="O54" i="2" s="1"/>
  <c r="O67" i="2" s="1"/>
  <c r="N52" i="2"/>
  <c r="N54" i="2" s="1"/>
  <c r="N67" i="2" s="1"/>
  <c r="M52" i="2"/>
  <c r="L52" i="2"/>
  <c r="L54" i="2" s="1"/>
  <c r="L67" i="2" s="1"/>
  <c r="K52" i="2"/>
  <c r="K54" i="2" s="1"/>
  <c r="J52" i="2"/>
  <c r="J54" i="2" s="1"/>
  <c r="I52" i="2"/>
  <c r="H52" i="2"/>
  <c r="H54" i="2" s="1"/>
  <c r="H67" i="2" s="1"/>
  <c r="G52" i="2"/>
  <c r="G54" i="2" s="1"/>
  <c r="G67" i="2" s="1"/>
  <c r="F52" i="2"/>
  <c r="F54" i="2" s="1"/>
  <c r="F67" i="2" s="1"/>
  <c r="E52" i="2"/>
  <c r="D52" i="2"/>
  <c r="D54" i="2" s="1"/>
  <c r="D67" i="2" s="1"/>
  <c r="C52" i="2"/>
  <c r="C54" i="2" s="1"/>
  <c r="BO20" i="2"/>
  <c r="BN20" i="2"/>
  <c r="BM20" i="2"/>
  <c r="BK20" i="2"/>
  <c r="BJ20" i="2"/>
  <c r="BI20" i="2"/>
  <c r="BG20" i="2"/>
  <c r="BF20" i="2"/>
  <c r="BE20" i="2"/>
  <c r="BC20" i="2"/>
  <c r="BB20" i="2"/>
  <c r="BA20" i="2"/>
  <c r="BO19" i="2"/>
  <c r="BN19" i="2"/>
  <c r="BM19" i="2"/>
  <c r="BK19" i="2"/>
  <c r="BJ19" i="2"/>
  <c r="BI19" i="2"/>
  <c r="BG19" i="2"/>
  <c r="BF19" i="2"/>
  <c r="BE19" i="2"/>
  <c r="BC19" i="2"/>
  <c r="BB19" i="2"/>
  <c r="BA19" i="2"/>
  <c r="BO18" i="2"/>
  <c r="BN18" i="2"/>
  <c r="BM18" i="2"/>
  <c r="BK18" i="2"/>
  <c r="BJ18" i="2"/>
  <c r="BI18" i="2"/>
  <c r="BG18" i="2"/>
  <c r="BF18" i="2"/>
  <c r="BE18" i="2"/>
  <c r="BC18" i="2"/>
  <c r="BB18" i="2"/>
  <c r="BA18" i="2"/>
  <c r="BO16" i="2"/>
  <c r="BN16" i="2"/>
  <c r="BM16" i="2"/>
  <c r="BK16" i="2"/>
  <c r="BJ16" i="2"/>
  <c r="BI16" i="2"/>
  <c r="BG16" i="2"/>
  <c r="BF16" i="2"/>
  <c r="BE16" i="2"/>
  <c r="BC16" i="2"/>
  <c r="BB16" i="2"/>
  <c r="BA16" i="2"/>
  <c r="BO15" i="2"/>
  <c r="BN15" i="2"/>
  <c r="BM15" i="2"/>
  <c r="BK15" i="2"/>
  <c r="BJ15" i="2"/>
  <c r="BI15" i="2"/>
  <c r="BG15" i="2"/>
  <c r="BF15" i="2"/>
  <c r="BE15" i="2"/>
  <c r="BC15" i="2"/>
  <c r="BB15" i="2"/>
  <c r="BA15" i="2"/>
  <c r="BO14" i="2"/>
  <c r="BN14" i="2"/>
  <c r="BM14" i="2"/>
  <c r="BK14" i="2"/>
  <c r="BJ14" i="2"/>
  <c r="BI14" i="2"/>
  <c r="BG14" i="2"/>
  <c r="BF14" i="2"/>
  <c r="BE14" i="2"/>
  <c r="BC14" i="2"/>
  <c r="BB14" i="2"/>
  <c r="BA14" i="2"/>
  <c r="BQ20" i="2"/>
  <c r="BQ19" i="2"/>
  <c r="BQ18" i="2"/>
  <c r="BQ16" i="2"/>
  <c r="BQ15" i="2"/>
  <c r="BQ14" i="2"/>
  <c r="AZ11" i="2"/>
  <c r="CS11" i="2" s="1"/>
  <c r="AZ10" i="2"/>
  <c r="CS10" i="2" s="1"/>
  <c r="AZ9" i="2"/>
  <c r="CS9" i="2" s="1"/>
  <c r="AZ8" i="2"/>
  <c r="CS8" i="2" s="1"/>
  <c r="AZ6" i="2"/>
  <c r="CS6" i="2" s="1"/>
  <c r="AZ5" i="2"/>
  <c r="CS5" i="2" s="1"/>
  <c r="AZ4" i="2"/>
  <c r="CS4" i="2" s="1"/>
  <c r="BD11" i="2"/>
  <c r="CT11" i="2" s="1"/>
  <c r="BD10" i="2"/>
  <c r="CT10" i="2" s="1"/>
  <c r="BD9" i="2"/>
  <c r="CT9" i="2" s="1"/>
  <c r="BD8" i="2"/>
  <c r="CT8" i="2" s="1"/>
  <c r="BD6" i="2"/>
  <c r="CT6" i="2" s="1"/>
  <c r="BD5" i="2"/>
  <c r="CT5" i="2" s="1"/>
  <c r="BD4" i="2"/>
  <c r="CT4" i="2" s="1"/>
  <c r="BH11" i="2"/>
  <c r="CU11" i="2" s="1"/>
  <c r="BH10" i="2"/>
  <c r="CU10" i="2" s="1"/>
  <c r="BH9" i="2"/>
  <c r="CU9" i="2" s="1"/>
  <c r="BH8" i="2"/>
  <c r="CU8" i="2" s="1"/>
  <c r="BH6" i="2"/>
  <c r="CU6" i="2" s="1"/>
  <c r="BH5" i="2"/>
  <c r="CU5" i="2" s="1"/>
  <c r="BH4" i="2"/>
  <c r="CU4" i="2" s="1"/>
  <c r="BL11" i="2"/>
  <c r="CV11" i="2" s="1"/>
  <c r="BL10" i="2"/>
  <c r="CV10" i="2" s="1"/>
  <c r="BL9" i="2"/>
  <c r="CV9" i="2" s="1"/>
  <c r="BL8" i="2"/>
  <c r="CV8" i="2" s="1"/>
  <c r="BL6" i="2"/>
  <c r="CV6" i="2" s="1"/>
  <c r="BL5" i="2"/>
  <c r="CV5" i="2" s="1"/>
  <c r="BL4" i="2"/>
  <c r="CV4" i="2" s="1"/>
  <c r="BP11" i="2"/>
  <c r="BP10" i="2"/>
  <c r="BP9" i="2"/>
  <c r="BP8" i="2"/>
  <c r="BP6" i="2"/>
  <c r="CW6" i="2" s="1"/>
  <c r="BP5" i="2"/>
  <c r="CW5" i="2" s="1"/>
  <c r="BP4" i="2"/>
  <c r="BQ7" i="2"/>
  <c r="BO7" i="2"/>
  <c r="BO12" i="2" s="1"/>
  <c r="BN7" i="2"/>
  <c r="BN12" i="2" s="1"/>
  <c r="BK7" i="2"/>
  <c r="BK12" i="2" s="1"/>
  <c r="BJ7" i="2"/>
  <c r="BJ12" i="2" s="1"/>
  <c r="BI7" i="2"/>
  <c r="BG7" i="2"/>
  <c r="BG12" i="2" s="1"/>
  <c r="BF7" i="2"/>
  <c r="BF12" i="2" s="1"/>
  <c r="BE7" i="2"/>
  <c r="BC7" i="2"/>
  <c r="BC12" i="2" s="1"/>
  <c r="BC48" i="2" s="1"/>
  <c r="BC50" i="2" s="1"/>
  <c r="BC63" i="2" s="1"/>
  <c r="BB7" i="2"/>
  <c r="BB12" i="2" s="1"/>
  <c r="BA7" i="2"/>
  <c r="AY7" i="2"/>
  <c r="AY12" i="2" s="1"/>
  <c r="AY48" i="2" s="1"/>
  <c r="AY50" i="2" s="1"/>
  <c r="AX7" i="2"/>
  <c r="AX12" i="2" s="1"/>
  <c r="AX48" i="2" s="1"/>
  <c r="AX50" i="2" s="1"/>
  <c r="AX63" i="2" s="1"/>
  <c r="AW7" i="2"/>
  <c r="BM7" i="2"/>
  <c r="BQ116" i="2"/>
  <c r="BP116" i="2"/>
  <c r="BP117" i="2" s="1"/>
  <c r="BO116" i="2"/>
  <c r="BN116" i="2"/>
  <c r="BM116" i="2"/>
  <c r="BL116" i="2"/>
  <c r="BK116" i="2"/>
  <c r="BK117" i="2" s="1"/>
  <c r="BJ116" i="2"/>
  <c r="BI116" i="2"/>
  <c r="CV116" i="2" s="1"/>
  <c r="BH116" i="2"/>
  <c r="BH117" i="2" s="1"/>
  <c r="BG116" i="2"/>
  <c r="BG117" i="2" s="1"/>
  <c r="BF116" i="2"/>
  <c r="BE116" i="2"/>
  <c r="BD116" i="2"/>
  <c r="BC116" i="2"/>
  <c r="BC117" i="2" s="1"/>
  <c r="BB116" i="2"/>
  <c r="BB117" i="2" s="1"/>
  <c r="BA116" i="2"/>
  <c r="CT116" i="2" s="1"/>
  <c r="AZ116" i="2"/>
  <c r="AZ117" i="2" s="1"/>
  <c r="AY116" i="2"/>
  <c r="AY117" i="2" s="1"/>
  <c r="AX116" i="2"/>
  <c r="AW116" i="2"/>
  <c r="BP86" i="2"/>
  <c r="CW86" i="2" s="1"/>
  <c r="BO86" i="2"/>
  <c r="BN86" i="2"/>
  <c r="BM86" i="2"/>
  <c r="BL86" i="2"/>
  <c r="CV86" i="2" s="1"/>
  <c r="BK86" i="2"/>
  <c r="BJ86" i="2"/>
  <c r="BI86" i="2"/>
  <c r="BH86" i="2"/>
  <c r="CU86" i="2" s="1"/>
  <c r="BF86" i="2"/>
  <c r="BE86" i="2"/>
  <c r="BD86" i="2"/>
  <c r="CT86" i="2" s="1"/>
  <c r="BC86" i="2"/>
  <c r="BB86" i="2"/>
  <c r="BA86" i="2"/>
  <c r="AZ86" i="2"/>
  <c r="CS86" i="2" s="1"/>
  <c r="AY86" i="2"/>
  <c r="AX86" i="2"/>
  <c r="AW86" i="2"/>
  <c r="BQ100" i="2"/>
  <c r="BQ102" i="2" s="1"/>
  <c r="BP100" i="2"/>
  <c r="BN100" i="2"/>
  <c r="BN102" i="2" s="1"/>
  <c r="BM100" i="2"/>
  <c r="BM102" i="2" s="1"/>
  <c r="BL100" i="2"/>
  <c r="BK100" i="2"/>
  <c r="BK102" i="2" s="1"/>
  <c r="BJ100" i="2"/>
  <c r="BJ102" i="2" s="1"/>
  <c r="BI100" i="2"/>
  <c r="BI102" i="2" s="1"/>
  <c r="BH100" i="2"/>
  <c r="BG100" i="2"/>
  <c r="BG102" i="2" s="1"/>
  <c r="BF100" i="2"/>
  <c r="BF102" i="2" s="1"/>
  <c r="BE100" i="2"/>
  <c r="BE102" i="2" s="1"/>
  <c r="BD100" i="2"/>
  <c r="BC100" i="2"/>
  <c r="BC102" i="2" s="1"/>
  <c r="BB100" i="2"/>
  <c r="BB102" i="2" s="1"/>
  <c r="BA100" i="2"/>
  <c r="BA102" i="2" s="1"/>
  <c r="AZ100" i="2"/>
  <c r="AY100" i="2"/>
  <c r="AY102" i="2" s="1"/>
  <c r="AX100" i="2"/>
  <c r="AX102" i="2" s="1"/>
  <c r="AW100" i="2"/>
  <c r="AW102" i="2" s="1"/>
  <c r="BN117" i="2" l="1"/>
  <c r="AX117" i="2"/>
  <c r="BC64" i="2"/>
  <c r="BO117" i="2"/>
  <c r="CT19" i="2"/>
  <c r="BC67" i="2"/>
  <c r="BQ117" i="2"/>
  <c r="CT14" i="2"/>
  <c r="BF117" i="2"/>
  <c r="BI117" i="2"/>
  <c r="CV14" i="2"/>
  <c r="BN23" i="2"/>
  <c r="CT27" i="2"/>
  <c r="CT25" i="2"/>
  <c r="CT23" i="2"/>
  <c r="CT26" i="2"/>
  <c r="CT24" i="2"/>
  <c r="CW10" i="2"/>
  <c r="CT15" i="2"/>
  <c r="CV38" i="2"/>
  <c r="CU16" i="2"/>
  <c r="AW46" i="2"/>
  <c r="CW37" i="2"/>
  <c r="CT38" i="2"/>
  <c r="AX64" i="2"/>
  <c r="Q54" i="2"/>
  <c r="CK52" i="2"/>
  <c r="AO54" i="2"/>
  <c r="CQ52" i="2"/>
  <c r="CV34" i="2"/>
  <c r="CW38" i="2"/>
  <c r="CT39" i="2"/>
  <c r="CT115" i="2"/>
  <c r="CV115" i="2"/>
  <c r="CV37" i="2"/>
  <c r="BP102" i="2"/>
  <c r="CW102" i="2" s="1"/>
  <c r="CW100" i="2"/>
  <c r="CU26" i="2"/>
  <c r="CU24" i="2"/>
  <c r="CU27" i="2"/>
  <c r="CU25" i="2"/>
  <c r="CU23" i="2"/>
  <c r="CW11" i="2"/>
  <c r="CX11" i="2" s="1"/>
  <c r="CY11" i="2" s="1"/>
  <c r="CZ11" i="2" s="1"/>
  <c r="DA11" i="2" s="1"/>
  <c r="DB11" i="2" s="1"/>
  <c r="DC11" i="2" s="1"/>
  <c r="DD11" i="2" s="1"/>
  <c r="DE11" i="2" s="1"/>
  <c r="DF11" i="2" s="1"/>
  <c r="DG11" i="2" s="1"/>
  <c r="CT36" i="2"/>
  <c r="AZ102" i="2"/>
  <c r="CS102" i="2" s="1"/>
  <c r="CS100" i="2"/>
  <c r="BE12" i="2"/>
  <c r="CT16" i="2"/>
  <c r="I54" i="2"/>
  <c r="CI52" i="2"/>
  <c r="AG54" i="2"/>
  <c r="CO52" i="2"/>
  <c r="CW36" i="2"/>
  <c r="CT37" i="2"/>
  <c r="CV15" i="2"/>
  <c r="CX5" i="2"/>
  <c r="CY5" i="2" s="1"/>
  <c r="CZ5" i="2" s="1"/>
  <c r="DA5" i="2" s="1"/>
  <c r="DB5" i="2" s="1"/>
  <c r="DC5" i="2" s="1"/>
  <c r="DD5" i="2" s="1"/>
  <c r="DE5" i="2" s="1"/>
  <c r="DF5" i="2" s="1"/>
  <c r="DG5" i="2" s="1"/>
  <c r="CW15" i="2"/>
  <c r="CU36" i="2"/>
  <c r="BL117" i="2"/>
  <c r="CV117" i="2" s="1"/>
  <c r="CX6" i="2"/>
  <c r="CY6" i="2" s="1"/>
  <c r="CZ6" i="2" s="1"/>
  <c r="DA6" i="2" s="1"/>
  <c r="DB6" i="2" s="1"/>
  <c r="DC6" i="2" s="1"/>
  <c r="DD6" i="2" s="1"/>
  <c r="DE6" i="2" s="1"/>
  <c r="DF6" i="2" s="1"/>
  <c r="DG6" i="2" s="1"/>
  <c r="CW16" i="2"/>
  <c r="CT20" i="2"/>
  <c r="AW117" i="2"/>
  <c r="CS117" i="2" s="1"/>
  <c r="BE117" i="2"/>
  <c r="CU117" i="2" s="1"/>
  <c r="CU14" i="2"/>
  <c r="BH102" i="2"/>
  <c r="CU102" i="2" s="1"/>
  <c r="CU100" i="2"/>
  <c r="CU15" i="2"/>
  <c r="Y54" i="2"/>
  <c r="CM52" i="2"/>
  <c r="CV39" i="2"/>
  <c r="BA117" i="2"/>
  <c r="CT117" i="2" s="1"/>
  <c r="CW4" i="2"/>
  <c r="CT18" i="2"/>
  <c r="AW12" i="2"/>
  <c r="AW25" i="2" s="1"/>
  <c r="CV16" i="2"/>
  <c r="CU18" i="2"/>
  <c r="BM117" i="2"/>
  <c r="BI12" i="2"/>
  <c r="BI25" i="2" s="1"/>
  <c r="CV18" i="2"/>
  <c r="CU19" i="2"/>
  <c r="CW39" i="2"/>
  <c r="CU37" i="2"/>
  <c r="BD102" i="2"/>
  <c r="CT102" i="2" s="1"/>
  <c r="CT100" i="2"/>
  <c r="BL102" i="2"/>
  <c r="CV102" i="2" s="1"/>
  <c r="CV100" i="2"/>
  <c r="CS116" i="2"/>
  <c r="CU116" i="2"/>
  <c r="CW116" i="2"/>
  <c r="CW8" i="2"/>
  <c r="CV19" i="2"/>
  <c r="CU20" i="2"/>
  <c r="E54" i="2"/>
  <c r="CH52" i="2"/>
  <c r="M54" i="2"/>
  <c r="CJ52" i="2"/>
  <c r="U54" i="2"/>
  <c r="CL52" i="2"/>
  <c r="AC54" i="2"/>
  <c r="CN52" i="2"/>
  <c r="AK54" i="2"/>
  <c r="CP52" i="2"/>
  <c r="AS54" i="2"/>
  <c r="CR52" i="2"/>
  <c r="BA45" i="2"/>
  <c r="CU38" i="2"/>
  <c r="BA12" i="2"/>
  <c r="CW9" i="2"/>
  <c r="CV20" i="2"/>
  <c r="BM43" i="2"/>
  <c r="CV36" i="2"/>
  <c r="CU39" i="2"/>
  <c r="BH54" i="2"/>
  <c r="CU54" i="2" s="1"/>
  <c r="AY55" i="2"/>
  <c r="AX55" i="2"/>
  <c r="BC55" i="2"/>
  <c r="BG40" i="2"/>
  <c r="BP37" i="2"/>
  <c r="BD38" i="2"/>
  <c r="BI40" i="2"/>
  <c r="BP38" i="2"/>
  <c r="BH36" i="2"/>
  <c r="BD39" i="2"/>
  <c r="BM17" i="2"/>
  <c r="AZ54" i="2"/>
  <c r="BD54" i="2"/>
  <c r="BL54" i="2"/>
  <c r="BP54" i="2"/>
  <c r="BO21" i="2"/>
  <c r="BI42" i="2"/>
  <c r="BK42" i="2"/>
  <c r="BE40" i="2"/>
  <c r="BO40" i="2"/>
  <c r="BL38" i="2"/>
  <c r="BD36" i="2"/>
  <c r="BK44" i="2"/>
  <c r="BQ40" i="2"/>
  <c r="BF40" i="2"/>
  <c r="BP36" i="2"/>
  <c r="BL39" i="2"/>
  <c r="BD37" i="2"/>
  <c r="BE45" i="2"/>
  <c r="BJ40" i="2"/>
  <c r="BP39" i="2"/>
  <c r="BH37" i="2"/>
  <c r="BE43" i="2"/>
  <c r="BM45" i="2"/>
  <c r="BO45" i="2"/>
  <c r="BM40" i="2"/>
  <c r="BL36" i="2"/>
  <c r="BH39" i="2"/>
  <c r="BQ43" i="2"/>
  <c r="BO43" i="2"/>
  <c r="BA46" i="2"/>
  <c r="BQ45" i="2"/>
  <c r="BA44" i="2"/>
  <c r="BC46" i="2"/>
  <c r="BA42" i="2"/>
  <c r="BC44" i="2"/>
  <c r="BI46" i="2"/>
  <c r="BI44" i="2"/>
  <c r="BK46" i="2"/>
  <c r="AW45" i="2"/>
  <c r="AW43" i="2"/>
  <c r="BB40" i="2"/>
  <c r="BQ44" i="2"/>
  <c r="BB42" i="2"/>
  <c r="BJ42" i="2"/>
  <c r="AX43" i="2"/>
  <c r="BF43" i="2"/>
  <c r="BN43" i="2"/>
  <c r="BB44" i="2"/>
  <c r="BJ44" i="2"/>
  <c r="AX45" i="2"/>
  <c r="BF45" i="2"/>
  <c r="BB46" i="2"/>
  <c r="BJ46" i="2"/>
  <c r="AY43" i="2"/>
  <c r="BH38" i="2"/>
  <c r="BQ46" i="2"/>
  <c r="BG43" i="2"/>
  <c r="BA40" i="2"/>
  <c r="AW42" i="2"/>
  <c r="BE42" i="2"/>
  <c r="BM42" i="2"/>
  <c r="BA43" i="2"/>
  <c r="BI43" i="2"/>
  <c r="AW44" i="2"/>
  <c r="BE44" i="2"/>
  <c r="BM44" i="2"/>
  <c r="BI45" i="2"/>
  <c r="BE46" i="2"/>
  <c r="BM46" i="2"/>
  <c r="BC40" i="2"/>
  <c r="BN40" i="2"/>
  <c r="BL37" i="2"/>
  <c r="AX42" i="2"/>
  <c r="BF42" i="2"/>
  <c r="BN42" i="2"/>
  <c r="BB43" i="2"/>
  <c r="BJ43" i="2"/>
  <c r="AX44" i="2"/>
  <c r="BF44" i="2"/>
  <c r="BN44" i="2"/>
  <c r="BJ45" i="2"/>
  <c r="AX46" i="2"/>
  <c r="BF46" i="2"/>
  <c r="BN46" i="2"/>
  <c r="AY45" i="2"/>
  <c r="BK40" i="2"/>
  <c r="AY42" i="2"/>
  <c r="BG42" i="2"/>
  <c r="BO42" i="2"/>
  <c r="BC43" i="2"/>
  <c r="BK43" i="2"/>
  <c r="AY44" i="2"/>
  <c r="BG44" i="2"/>
  <c r="BO44" i="2"/>
  <c r="BC45" i="2"/>
  <c r="BG46" i="2"/>
  <c r="BO46" i="2"/>
  <c r="BG45" i="2"/>
  <c r="BQ42" i="2"/>
  <c r="BP15" i="2"/>
  <c r="BL16" i="2"/>
  <c r="BP18" i="2"/>
  <c r="BL19" i="2"/>
  <c r="BH20" i="2"/>
  <c r="BB21" i="2"/>
  <c r="BP20" i="2"/>
  <c r="BD14" i="2"/>
  <c r="AZ34" i="2"/>
  <c r="AZ46" i="2" s="1"/>
  <c r="BD34" i="2"/>
  <c r="CT34" i="2" s="1"/>
  <c r="BH34" i="2"/>
  <c r="BH45" i="2" s="1"/>
  <c r="BL34" i="2"/>
  <c r="BP34" i="2"/>
  <c r="BP44" i="2" s="1"/>
  <c r="BG21" i="2"/>
  <c r="BH18" i="2"/>
  <c r="BD19" i="2"/>
  <c r="BI23" i="2"/>
  <c r="AX25" i="2"/>
  <c r="BJ21" i="2"/>
  <c r="BB24" i="2"/>
  <c r="BE26" i="2"/>
  <c r="BF21" i="2"/>
  <c r="BP14" i="2"/>
  <c r="BL15" i="2"/>
  <c r="BH16" i="2"/>
  <c r="BD18" i="2"/>
  <c r="BE24" i="2"/>
  <c r="AX27" i="2"/>
  <c r="AX23" i="2"/>
  <c r="BF27" i="2"/>
  <c r="BA23" i="2"/>
  <c r="BF25" i="2"/>
  <c r="BI27" i="2"/>
  <c r="BF23" i="2"/>
  <c r="BN27" i="2"/>
  <c r="BI17" i="2"/>
  <c r="BN25" i="2"/>
  <c r="BB48" i="2"/>
  <c r="BH14" i="2"/>
  <c r="BD15" i="2"/>
  <c r="BB26" i="2"/>
  <c r="BJ48" i="2"/>
  <c r="BK21" i="2"/>
  <c r="BP19" i="2"/>
  <c r="BL20" i="2"/>
  <c r="AY23" i="2"/>
  <c r="BG23" i="2"/>
  <c r="BO23" i="2"/>
  <c r="BC24" i="2"/>
  <c r="BK24" i="2"/>
  <c r="AY25" i="2"/>
  <c r="BG25" i="2"/>
  <c r="BO25" i="2"/>
  <c r="BC26" i="2"/>
  <c r="BK26" i="2"/>
  <c r="AY27" i="2"/>
  <c r="BG27" i="2"/>
  <c r="BO27" i="2"/>
  <c r="BK48" i="2"/>
  <c r="BJ24" i="2"/>
  <c r="BJ26" i="2"/>
  <c r="BN21" i="2"/>
  <c r="BA17" i="2"/>
  <c r="BQ17" i="2"/>
  <c r="BL14" i="2"/>
  <c r="BH15" i="2"/>
  <c r="BD16" i="2"/>
  <c r="BB23" i="2"/>
  <c r="BJ23" i="2"/>
  <c r="AX24" i="2"/>
  <c r="BF24" i="2"/>
  <c r="BN24" i="2"/>
  <c r="BB25" i="2"/>
  <c r="BJ25" i="2"/>
  <c r="AX26" i="2"/>
  <c r="BF26" i="2"/>
  <c r="BN26" i="2"/>
  <c r="BB27" i="2"/>
  <c r="BJ27" i="2"/>
  <c r="BF48" i="2"/>
  <c r="BF67" i="2" s="1"/>
  <c r="BN48" i="2"/>
  <c r="BC21" i="2"/>
  <c r="BC23" i="2"/>
  <c r="BK23" i="2"/>
  <c r="AY24" i="2"/>
  <c r="BG24" i="2"/>
  <c r="BO24" i="2"/>
  <c r="BC25" i="2"/>
  <c r="BK25" i="2"/>
  <c r="AY26" i="2"/>
  <c r="BG26" i="2"/>
  <c r="BO26" i="2"/>
  <c r="BC27" i="2"/>
  <c r="BK27" i="2"/>
  <c r="BG48" i="2"/>
  <c r="BO48" i="2"/>
  <c r="BP16" i="2"/>
  <c r="BL18" i="2"/>
  <c r="BH19" i="2"/>
  <c r="BD20" i="2"/>
  <c r="BE23" i="2"/>
  <c r="BI24" i="2"/>
  <c r="BE25" i="2"/>
  <c r="BI26" i="2"/>
  <c r="BE27" i="2"/>
  <c r="BB17" i="2"/>
  <c r="BJ17" i="2"/>
  <c r="BC17" i="2"/>
  <c r="BK17" i="2"/>
  <c r="BQ12" i="2"/>
  <c r="BM12" i="2"/>
  <c r="BE17" i="2"/>
  <c r="BF17" i="2"/>
  <c r="BN17" i="2"/>
  <c r="BG17" i="2"/>
  <c r="BO17" i="2"/>
  <c r="AZ7" i="2"/>
  <c r="AZ12" i="2" s="1"/>
  <c r="AZ27" i="2" s="1"/>
  <c r="BD7" i="2"/>
  <c r="CT7" i="2" s="1"/>
  <c r="BH7" i="2"/>
  <c r="CU7" i="2" s="1"/>
  <c r="BL7" i="2"/>
  <c r="CV7" i="2" s="1"/>
  <c r="BP7" i="2"/>
  <c r="CW7" i="2" s="1"/>
  <c r="BI21" i="2" l="1"/>
  <c r="AW23" i="2"/>
  <c r="CV40" i="2"/>
  <c r="CU34" i="2"/>
  <c r="CW117" i="2"/>
  <c r="CV17" i="2"/>
  <c r="AW24" i="2"/>
  <c r="CT46" i="2"/>
  <c r="CT45" i="2"/>
  <c r="CT42" i="2"/>
  <c r="CT44" i="2"/>
  <c r="CT43" i="2"/>
  <c r="CI54" i="2"/>
  <c r="CI67" i="2" s="1"/>
  <c r="I67" i="2"/>
  <c r="BB50" i="2"/>
  <c r="BB64" i="2"/>
  <c r="BA48" i="2"/>
  <c r="BA24" i="2"/>
  <c r="CV42" i="2"/>
  <c r="CU17" i="2"/>
  <c r="CU40" i="2"/>
  <c r="CQ54" i="2"/>
  <c r="CQ67" i="2" s="1"/>
  <c r="AO67" i="2"/>
  <c r="CX10" i="2"/>
  <c r="CY10" i="2" s="1"/>
  <c r="CZ10" i="2" s="1"/>
  <c r="DA10" i="2" s="1"/>
  <c r="DB10" i="2" s="1"/>
  <c r="DC10" i="2" s="1"/>
  <c r="DD10" i="2" s="1"/>
  <c r="DE10" i="2" s="1"/>
  <c r="DF10" i="2" s="1"/>
  <c r="DG10" i="2" s="1"/>
  <c r="CW20" i="2"/>
  <c r="BF50" i="2"/>
  <c r="BF64" i="2"/>
  <c r="BK50" i="2"/>
  <c r="BK64" i="2"/>
  <c r="BA25" i="2"/>
  <c r="CW34" i="2"/>
  <c r="CU44" i="2"/>
  <c r="CP54" i="2"/>
  <c r="CP67" i="2" s="1"/>
  <c r="AK67" i="2"/>
  <c r="CH54" i="2"/>
  <c r="CH67" i="2" s="1"/>
  <c r="E67" i="2"/>
  <c r="CS7" i="2"/>
  <c r="CT54" i="2"/>
  <c r="CU42" i="2"/>
  <c r="BE48" i="2"/>
  <c r="BN50" i="2"/>
  <c r="BN64" i="2"/>
  <c r="CK54" i="2"/>
  <c r="CK67" i="2" s="1"/>
  <c r="Q67" i="2"/>
  <c r="CV44" i="2"/>
  <c r="BN67" i="2"/>
  <c r="CM54" i="2"/>
  <c r="CM67" i="2" s="1"/>
  <c r="Y67" i="2"/>
  <c r="CR54" i="2"/>
  <c r="CR67" i="2" s="1"/>
  <c r="AS67" i="2"/>
  <c r="CW54" i="2"/>
  <c r="AW27" i="2"/>
  <c r="CS12" i="2"/>
  <c r="CV46" i="2"/>
  <c r="AW26" i="2"/>
  <c r="BJ50" i="2"/>
  <c r="BJ64" i="2"/>
  <c r="CN54" i="2"/>
  <c r="CN67" i="2" s="1"/>
  <c r="AC67" i="2"/>
  <c r="CV45" i="2"/>
  <c r="BB67" i="2"/>
  <c r="AX57" i="2"/>
  <c r="AX68" i="2"/>
  <c r="CW17" i="2"/>
  <c r="BE21" i="2"/>
  <c r="CS27" i="2"/>
  <c r="CS25" i="2"/>
  <c r="CS23" i="2"/>
  <c r="CS26" i="2"/>
  <c r="CS24" i="2"/>
  <c r="CW12" i="2"/>
  <c r="CW21" i="2" s="1"/>
  <c r="BA26" i="2"/>
  <c r="BA27" i="2"/>
  <c r="CO54" i="2"/>
  <c r="CO67" i="2" s="1"/>
  <c r="AG67" i="2"/>
  <c r="BK67" i="2"/>
  <c r="CT17" i="2"/>
  <c r="BO50" i="2"/>
  <c r="BO64" i="2"/>
  <c r="BO67" i="2"/>
  <c r="AY57" i="2"/>
  <c r="AY68" i="2"/>
  <c r="CJ54" i="2"/>
  <c r="CJ67" i="2" s="1"/>
  <c r="M67" i="2"/>
  <c r="BG50" i="2"/>
  <c r="BG64" i="2"/>
  <c r="BG67" i="2"/>
  <c r="BA21" i="2"/>
  <c r="CV43" i="2"/>
  <c r="AW48" i="2"/>
  <c r="BC57" i="2"/>
  <c r="BC68" i="2"/>
  <c r="CU45" i="2"/>
  <c r="CX9" i="2"/>
  <c r="CY9" i="2" s="1"/>
  <c r="CZ9" i="2" s="1"/>
  <c r="DA9" i="2" s="1"/>
  <c r="DB9" i="2" s="1"/>
  <c r="DC9" i="2" s="1"/>
  <c r="DD9" i="2" s="1"/>
  <c r="DE9" i="2" s="1"/>
  <c r="DF9" i="2" s="1"/>
  <c r="DG9" i="2" s="1"/>
  <c r="CW19" i="2"/>
  <c r="CL54" i="2"/>
  <c r="CL67" i="2" s="1"/>
  <c r="U67" i="2"/>
  <c r="CX8" i="2"/>
  <c r="CW18" i="2"/>
  <c r="BI48" i="2"/>
  <c r="CV12" i="2"/>
  <c r="CX4" i="2"/>
  <c r="CW14" i="2"/>
  <c r="CS54" i="2"/>
  <c r="CS34" i="2"/>
  <c r="CV54" i="2"/>
  <c r="BJ67" i="2"/>
  <c r="BD40" i="2"/>
  <c r="BL40" i="2"/>
  <c r="BH42" i="2"/>
  <c r="AZ45" i="2"/>
  <c r="BH46" i="2"/>
  <c r="BL45" i="2"/>
  <c r="BP43" i="2"/>
  <c r="BP42" i="2"/>
  <c r="BH43" i="2"/>
  <c r="BH44" i="2"/>
  <c r="BL42" i="2"/>
  <c r="AZ44" i="2"/>
  <c r="BD45" i="2"/>
  <c r="AZ43" i="2"/>
  <c r="BD44" i="2"/>
  <c r="BD42" i="2"/>
  <c r="AZ42" i="2"/>
  <c r="BP40" i="2"/>
  <c r="BP45" i="2"/>
  <c r="BP46" i="2"/>
  <c r="BL43" i="2"/>
  <c r="BL46" i="2"/>
  <c r="BH40" i="2"/>
  <c r="BD43" i="2"/>
  <c r="BL44" i="2"/>
  <c r="BD46" i="2"/>
  <c r="AZ23" i="2"/>
  <c r="BM21" i="2"/>
  <c r="BM27" i="2"/>
  <c r="BM25" i="2"/>
  <c r="BM23" i="2"/>
  <c r="BM48" i="2"/>
  <c r="BM24" i="2"/>
  <c r="BM26" i="2"/>
  <c r="BQ48" i="2"/>
  <c r="CW27" i="2"/>
  <c r="CW26" i="2"/>
  <c r="CW25" i="2"/>
  <c r="CW24" i="2"/>
  <c r="CW23" i="2"/>
  <c r="AZ48" i="2"/>
  <c r="AZ24" i="2"/>
  <c r="AZ26" i="2"/>
  <c r="AZ25" i="2"/>
  <c r="BQ21" i="2"/>
  <c r="BL12" i="2"/>
  <c r="BL17" i="2"/>
  <c r="BP12" i="2"/>
  <c r="BP17" i="2"/>
  <c r="BH12" i="2"/>
  <c r="CU12" i="2" s="1"/>
  <c r="BH17" i="2"/>
  <c r="BD12" i="2"/>
  <c r="CT12" i="2" s="1"/>
  <c r="CT21" i="2" s="1"/>
  <c r="BD17" i="2"/>
  <c r="CU43" i="2" l="1"/>
  <c r="CU46" i="2"/>
  <c r="CU21" i="2"/>
  <c r="CV21" i="2"/>
  <c r="BM50" i="2"/>
  <c r="CW48" i="2"/>
  <c r="CW64" i="2" s="1"/>
  <c r="BM64" i="2"/>
  <c r="BM67" i="2"/>
  <c r="BC59" i="2"/>
  <c r="BC69" i="2"/>
  <c r="BE50" i="2"/>
  <c r="BE64" i="2"/>
  <c r="BE67" i="2"/>
  <c r="BK55" i="2"/>
  <c r="BK63" i="2"/>
  <c r="AZ50" i="2"/>
  <c r="AZ64" i="2"/>
  <c r="BG55" i="2"/>
  <c r="BG63" i="2"/>
  <c r="BF55" i="2"/>
  <c r="BF63" i="2"/>
  <c r="CY8" i="2"/>
  <c r="CS48" i="2"/>
  <c r="CS64" i="2" s="1"/>
  <c r="AW50" i="2"/>
  <c r="AW64" i="2"/>
  <c r="AW67" i="2"/>
  <c r="CW40" i="2"/>
  <c r="CW44" i="2"/>
  <c r="CW43" i="2"/>
  <c r="CW46" i="2"/>
  <c r="CW42" i="2"/>
  <c r="CW45" i="2"/>
  <c r="BA50" i="2"/>
  <c r="BA64" i="2"/>
  <c r="BA67" i="2"/>
  <c r="BN55" i="2"/>
  <c r="BN63" i="2"/>
  <c r="CV23" i="2"/>
  <c r="CV24" i="2"/>
  <c r="CV25" i="2"/>
  <c r="CV27" i="2"/>
  <c r="CV26" i="2"/>
  <c r="CS46" i="2"/>
  <c r="CS44" i="2"/>
  <c r="CS43" i="2"/>
  <c r="CS45" i="2"/>
  <c r="CS42" i="2"/>
  <c r="AX59" i="2"/>
  <c r="AX69" i="2"/>
  <c r="AY59" i="2"/>
  <c r="AY69" i="2"/>
  <c r="AZ67" i="2"/>
  <c r="BB55" i="2"/>
  <c r="BB63" i="2"/>
  <c r="CT40" i="2"/>
  <c r="CY4" i="2"/>
  <c r="CX7" i="2"/>
  <c r="CX17" i="2" s="1"/>
  <c r="BO55" i="2"/>
  <c r="BO63" i="2"/>
  <c r="BI50" i="2"/>
  <c r="CV48" i="2"/>
  <c r="CV64" i="2" s="1"/>
  <c r="BI64" i="2"/>
  <c r="BI67" i="2"/>
  <c r="BQ50" i="2"/>
  <c r="BQ67" i="2"/>
  <c r="BQ64" i="2"/>
  <c r="BJ55" i="2"/>
  <c r="BJ63" i="2"/>
  <c r="BH48" i="2"/>
  <c r="BH25" i="2"/>
  <c r="BH23" i="2"/>
  <c r="BH27" i="2"/>
  <c r="BH26" i="2"/>
  <c r="BH24" i="2"/>
  <c r="BP21" i="2"/>
  <c r="BP48" i="2"/>
  <c r="BP26" i="2"/>
  <c r="BP27" i="2"/>
  <c r="BP23" i="2"/>
  <c r="BP24" i="2"/>
  <c r="BP25" i="2"/>
  <c r="BL27" i="2"/>
  <c r="BL23" i="2"/>
  <c r="BL48" i="2"/>
  <c r="BL24" i="2"/>
  <c r="BL25" i="2"/>
  <c r="BL26" i="2"/>
  <c r="BD21" i="2"/>
  <c r="BD23" i="2"/>
  <c r="BD48" i="2"/>
  <c r="BD27" i="2"/>
  <c r="BD24" i="2"/>
  <c r="BD25" i="2"/>
  <c r="BD26" i="2"/>
  <c r="BH21" i="2"/>
  <c r="BL21" i="2"/>
  <c r="CS67" i="2" l="1"/>
  <c r="BD50" i="2"/>
  <c r="BD64" i="2"/>
  <c r="BD67" i="2"/>
  <c r="BN57" i="2"/>
  <c r="BN68" i="2"/>
  <c r="BC70" i="2"/>
  <c r="BC61" i="2"/>
  <c r="BC71" i="2" s="1"/>
  <c r="BC112" i="2"/>
  <c r="CX12" i="2"/>
  <c r="CX48" i="2" s="1"/>
  <c r="AX61" i="2"/>
  <c r="AX70" i="2"/>
  <c r="AX112" i="2"/>
  <c r="CT48" i="2"/>
  <c r="CW67" i="2"/>
  <c r="CV67" i="2"/>
  <c r="BK57" i="2"/>
  <c r="BK68" i="2"/>
  <c r="AY112" i="2"/>
  <c r="AY70" i="2"/>
  <c r="AY61" i="2"/>
  <c r="BB68" i="2"/>
  <c r="BB57" i="2"/>
  <c r="BF57" i="2"/>
  <c r="BF68" i="2"/>
  <c r="BM55" i="2"/>
  <c r="BM63" i="2"/>
  <c r="BO57" i="2"/>
  <c r="BO68" i="2"/>
  <c r="CZ8" i="2"/>
  <c r="CZ4" i="2"/>
  <c r="CY7" i="2"/>
  <c r="CY17" i="2" s="1"/>
  <c r="BH50" i="2"/>
  <c r="BH64" i="2"/>
  <c r="BH67" i="2"/>
  <c r="BP50" i="2"/>
  <c r="BP64" i="2"/>
  <c r="BP67" i="2"/>
  <c r="CS50" i="2"/>
  <c r="CS63" i="2" s="1"/>
  <c r="AW63" i="2"/>
  <c r="AW55" i="2"/>
  <c r="CU48" i="2"/>
  <c r="AZ55" i="2"/>
  <c r="AZ63" i="2"/>
  <c r="BQ55" i="2"/>
  <c r="BQ63" i="2"/>
  <c r="CT50" i="2"/>
  <c r="CT63" i="2" s="1"/>
  <c r="BA63" i="2"/>
  <c r="BA55" i="2"/>
  <c r="BL50" i="2"/>
  <c r="BL64" i="2"/>
  <c r="BL67" i="2"/>
  <c r="CV50" i="2"/>
  <c r="CV63" i="2" s="1"/>
  <c r="BI63" i="2"/>
  <c r="BI55" i="2"/>
  <c r="BJ68" i="2"/>
  <c r="BJ57" i="2"/>
  <c r="BG57" i="2"/>
  <c r="BG68" i="2"/>
  <c r="CU50" i="2"/>
  <c r="CU63" i="2" s="1"/>
  <c r="BE63" i="2"/>
  <c r="BE55" i="2"/>
  <c r="C4" i="1"/>
  <c r="CH3" i="2"/>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K185" i="3"/>
  <c r="C5" i="1" l="1"/>
  <c r="C8" i="1" s="1"/>
  <c r="CZ83" i="2"/>
  <c r="CY12" i="2"/>
  <c r="CY48" i="2" s="1"/>
  <c r="CX49" i="2"/>
  <c r="CX50" i="2" s="1"/>
  <c r="CX53" i="2"/>
  <c r="CX52" i="2"/>
  <c r="CX51" i="2"/>
  <c r="BI57" i="2"/>
  <c r="BI68" i="2"/>
  <c r="DA4" i="2"/>
  <c r="CZ7" i="2"/>
  <c r="CZ17" i="2" s="1"/>
  <c r="BQ57" i="2"/>
  <c r="BQ68" i="2"/>
  <c r="BB59" i="2"/>
  <c r="BB69" i="2"/>
  <c r="BP55" i="2"/>
  <c r="BP63" i="2"/>
  <c r="CT64" i="2"/>
  <c r="CT67" i="2"/>
  <c r="BG59" i="2"/>
  <c r="BG69" i="2"/>
  <c r="BL55" i="2"/>
  <c r="CV55" i="2" s="1"/>
  <c r="CV68" i="2" s="1"/>
  <c r="BL63" i="2"/>
  <c r="CU64" i="2"/>
  <c r="CU67" i="2"/>
  <c r="BF59" i="2"/>
  <c r="BF69" i="2"/>
  <c r="AZ57" i="2"/>
  <c r="AZ68" i="2"/>
  <c r="BO59" i="2"/>
  <c r="BO69" i="2"/>
  <c r="CS55" i="2"/>
  <c r="CS68" i="2" s="1"/>
  <c r="AW68" i="2"/>
  <c r="AW57" i="2"/>
  <c r="BK59" i="2"/>
  <c r="BK69" i="2"/>
  <c r="BE57" i="2"/>
  <c r="CU55" i="2"/>
  <c r="CU68" i="2" s="1"/>
  <c r="BE68" i="2"/>
  <c r="DA8" i="2"/>
  <c r="BN59" i="2"/>
  <c r="BN69" i="2"/>
  <c r="BJ59" i="2"/>
  <c r="BJ69" i="2"/>
  <c r="BA57" i="2"/>
  <c r="BA68" i="2"/>
  <c r="BH55" i="2"/>
  <c r="BH63" i="2"/>
  <c r="CW50" i="2"/>
  <c r="CW63" i="2" s="1"/>
  <c r="BM68" i="2"/>
  <c r="BM57" i="2"/>
  <c r="BD55" i="2"/>
  <c r="BD63" i="2"/>
  <c r="CY21" i="2" l="1"/>
  <c r="CZ12" i="2"/>
  <c r="CZ21" i="2" s="1"/>
  <c r="CX54" i="2"/>
  <c r="CX55" i="2"/>
  <c r="CY52" i="2"/>
  <c r="CY51" i="2"/>
  <c r="CY49" i="2"/>
  <c r="CY50" i="2" s="1"/>
  <c r="CY53" i="2"/>
  <c r="BP57" i="2"/>
  <c r="BP68" i="2"/>
  <c r="BO112" i="2"/>
  <c r="BO70" i="2"/>
  <c r="BO61" i="2"/>
  <c r="BO71" i="2" s="1"/>
  <c r="BB70" i="2"/>
  <c r="BB112" i="2"/>
  <c r="BB61" i="2"/>
  <c r="BB71" i="2" s="1"/>
  <c r="BG61" i="2"/>
  <c r="BG71" i="2" s="1"/>
  <c r="BG70" i="2"/>
  <c r="BG112" i="2"/>
  <c r="DA7" i="2"/>
  <c r="DA17" i="2" s="1"/>
  <c r="DB4" i="2"/>
  <c r="BM59" i="2"/>
  <c r="CW57" i="2"/>
  <c r="CW69" i="2" s="1"/>
  <c r="BM69" i="2"/>
  <c r="BA59" i="2"/>
  <c r="BA69" i="2"/>
  <c r="BI59" i="2"/>
  <c r="CV57" i="2"/>
  <c r="CV69" i="2" s="1"/>
  <c r="BI69" i="2"/>
  <c r="CW55" i="2"/>
  <c r="CW68" i="2" s="1"/>
  <c r="BJ70" i="2"/>
  <c r="BJ112" i="2"/>
  <c r="BJ61" i="2"/>
  <c r="BL57" i="2"/>
  <c r="BL68" i="2"/>
  <c r="BE59" i="2"/>
  <c r="BE69" i="2"/>
  <c r="BN61" i="2"/>
  <c r="BN70" i="2"/>
  <c r="BN112" i="2"/>
  <c r="AZ59" i="2"/>
  <c r="AZ69" i="2"/>
  <c r="BQ59" i="2"/>
  <c r="BQ69" i="2"/>
  <c r="BH57" i="2"/>
  <c r="BH68" i="2"/>
  <c r="BK70" i="2"/>
  <c r="BK61" i="2"/>
  <c r="BK112" i="2"/>
  <c r="DB8" i="2"/>
  <c r="AW59" i="2"/>
  <c r="CS57" i="2"/>
  <c r="CS69" i="2" s="1"/>
  <c r="AW69" i="2"/>
  <c r="BF61" i="2"/>
  <c r="BF70" i="2"/>
  <c r="BF112" i="2"/>
  <c r="BD57" i="2"/>
  <c r="BD68" i="2"/>
  <c r="CT55" i="2"/>
  <c r="CT68" i="2" s="1"/>
  <c r="C55" i="2"/>
  <c r="E55" i="2"/>
  <c r="D55" i="2"/>
  <c r="Q55" i="2"/>
  <c r="AK55" i="2"/>
  <c r="J55" i="2"/>
  <c r="AE55" i="2"/>
  <c r="W55" i="2"/>
  <c r="AU55" i="2"/>
  <c r="O55" i="2"/>
  <c r="K55" i="2"/>
  <c r="P55" i="2"/>
  <c r="S55" i="2"/>
  <c r="H55" i="2"/>
  <c r="Y55" i="2"/>
  <c r="AO55" i="2"/>
  <c r="AL55" i="2"/>
  <c r="AN55" i="2"/>
  <c r="AB55" i="2"/>
  <c r="U55" i="2"/>
  <c r="AA55" i="2"/>
  <c r="AD55" i="2"/>
  <c r="L55" i="2"/>
  <c r="AT55" i="2"/>
  <c r="AR55" i="2"/>
  <c r="I55" i="2"/>
  <c r="AF55" i="2"/>
  <c r="V55" i="2"/>
  <c r="AG55" i="2"/>
  <c r="M55" i="2"/>
  <c r="AQ55" i="2"/>
  <c r="AP55" i="2"/>
  <c r="AH55" i="2"/>
  <c r="F55" i="2"/>
  <c r="AM55" i="2"/>
  <c r="AJ55" i="2"/>
  <c r="AS55" i="2"/>
  <c r="T55" i="2"/>
  <c r="G55" i="2"/>
  <c r="X55" i="2"/>
  <c r="N55" i="2"/>
  <c r="R55" i="2"/>
  <c r="Z55" i="2"/>
  <c r="AC55" i="2"/>
  <c r="AV55" i="2"/>
  <c r="AI55" i="2"/>
  <c r="CZ48" i="2" l="1"/>
  <c r="CY55" i="2"/>
  <c r="CY68" i="2" s="1"/>
  <c r="CZ52" i="2"/>
  <c r="CZ51" i="2"/>
  <c r="CZ49" i="2"/>
  <c r="CZ50" i="2" s="1"/>
  <c r="CZ53" i="2"/>
  <c r="CY54" i="2"/>
  <c r="CX68" i="2"/>
  <c r="CX57" i="2"/>
  <c r="CX58" i="2" s="1"/>
  <c r="CX59" i="2" s="1"/>
  <c r="CX73" i="2" s="1"/>
  <c r="DA12" i="2"/>
  <c r="DA21" i="2" s="1"/>
  <c r="DB7" i="2"/>
  <c r="DB17" i="2" s="1"/>
  <c r="DC4" i="2"/>
  <c r="BD59" i="2"/>
  <c r="CT59" i="2" s="1"/>
  <c r="CT70" i="2" s="1"/>
  <c r="BD69" i="2"/>
  <c r="BI112" i="2"/>
  <c r="BI70" i="2"/>
  <c r="BI61" i="2"/>
  <c r="BQ70" i="2"/>
  <c r="BQ61" i="2"/>
  <c r="BQ112" i="2"/>
  <c r="BE70" i="2"/>
  <c r="BE112" i="2"/>
  <c r="BE61" i="2"/>
  <c r="DC8" i="2"/>
  <c r="AZ112" i="2"/>
  <c r="AZ70" i="2"/>
  <c r="AZ61" i="2"/>
  <c r="BL59" i="2"/>
  <c r="CV59" i="2" s="1"/>
  <c r="CV70" i="2" s="1"/>
  <c r="BL69" i="2"/>
  <c r="BK71" i="2"/>
  <c r="BJ71" i="2"/>
  <c r="CT57" i="2"/>
  <c r="CT69" i="2" s="1"/>
  <c r="BH59" i="2"/>
  <c r="CU59" i="2" s="1"/>
  <c r="CU70" i="2" s="1"/>
  <c r="BH69" i="2"/>
  <c r="BP59" i="2"/>
  <c r="CW59" i="2" s="1"/>
  <c r="CW70" i="2" s="1"/>
  <c r="BP69" i="2"/>
  <c r="AW112" i="2"/>
  <c r="CS112" i="2" s="1"/>
  <c r="CS59" i="2"/>
  <c r="CS70" i="2" s="1"/>
  <c r="AW70" i="2"/>
  <c r="AW61" i="2"/>
  <c r="CU57" i="2"/>
  <c r="CU69" i="2" s="1"/>
  <c r="BM70" i="2"/>
  <c r="BM61" i="2"/>
  <c r="BM112" i="2"/>
  <c r="BF71" i="2"/>
  <c r="BA112" i="2"/>
  <c r="BA70" i="2"/>
  <c r="BA61" i="2"/>
  <c r="BN71" i="2"/>
  <c r="X57" i="2"/>
  <c r="X68" i="2"/>
  <c r="AI57" i="2"/>
  <c r="AI68" i="2"/>
  <c r="AE57" i="2"/>
  <c r="AE68" i="2"/>
  <c r="AS57" i="2"/>
  <c r="CR55" i="2"/>
  <c r="CR68" i="2" s="1"/>
  <c r="AS68" i="2"/>
  <c r="AK57" i="2"/>
  <c r="CP55" i="2"/>
  <c r="CP68" i="2" s="1"/>
  <c r="AK68" i="2"/>
  <c r="AT57" i="2"/>
  <c r="AT68" i="2"/>
  <c r="G57" i="2"/>
  <c r="G68" i="2"/>
  <c r="T57" i="2"/>
  <c r="T68" i="2"/>
  <c r="J57" i="2"/>
  <c r="J68" i="2"/>
  <c r="AC57" i="2"/>
  <c r="CN55" i="2"/>
  <c r="CN68" i="2" s="1"/>
  <c r="AC68" i="2"/>
  <c r="P57" i="2"/>
  <c r="P68" i="2"/>
  <c r="Q57" i="2"/>
  <c r="CK55" i="2"/>
  <c r="CK68" i="2" s="1"/>
  <c r="Q68" i="2"/>
  <c r="W57" i="2"/>
  <c r="W68" i="2"/>
  <c r="Y57" i="2"/>
  <c r="CM55" i="2"/>
  <c r="CM68" i="2" s="1"/>
  <c r="Y68" i="2"/>
  <c r="M57" i="2"/>
  <c r="CJ55" i="2"/>
  <c r="CJ68" i="2" s="1"/>
  <c r="M68" i="2"/>
  <c r="AV57" i="2"/>
  <c r="AV68" i="2"/>
  <c r="AA57" i="2"/>
  <c r="AA68" i="2"/>
  <c r="U57" i="2"/>
  <c r="CL55" i="2"/>
  <c r="CL68" i="2" s="1"/>
  <c r="U68" i="2"/>
  <c r="AM57" i="2"/>
  <c r="AM68" i="2"/>
  <c r="AF57" i="2"/>
  <c r="AF68" i="2"/>
  <c r="AB57" i="2"/>
  <c r="AB68" i="2"/>
  <c r="K57" i="2"/>
  <c r="K68" i="2"/>
  <c r="D57" i="2"/>
  <c r="D68" i="2"/>
  <c r="AP57" i="2"/>
  <c r="AP68" i="2"/>
  <c r="AQ57" i="2"/>
  <c r="AQ68" i="2"/>
  <c r="H57" i="2"/>
  <c r="H68" i="2"/>
  <c r="AG57" i="2"/>
  <c r="CO55" i="2"/>
  <c r="CO68" i="2" s="1"/>
  <c r="AG68" i="2"/>
  <c r="AJ57" i="2"/>
  <c r="AJ68" i="2"/>
  <c r="Z57" i="2"/>
  <c r="Z68" i="2"/>
  <c r="R57" i="2"/>
  <c r="R68" i="2"/>
  <c r="F57" i="2"/>
  <c r="F68" i="2"/>
  <c r="I57" i="2"/>
  <c r="CI55" i="2"/>
  <c r="CI68" i="2" s="1"/>
  <c r="I68" i="2"/>
  <c r="AN57" i="2"/>
  <c r="AN68" i="2"/>
  <c r="O57" i="2"/>
  <c r="O68" i="2"/>
  <c r="E57" i="2"/>
  <c r="CH55" i="2"/>
  <c r="CH68" i="2" s="1"/>
  <c r="E68" i="2"/>
  <c r="AO57" i="2"/>
  <c r="CQ55" i="2"/>
  <c r="CQ68" i="2" s="1"/>
  <c r="AO68" i="2"/>
  <c r="L57" i="2"/>
  <c r="L68" i="2"/>
  <c r="AD57" i="2"/>
  <c r="AD68" i="2"/>
  <c r="S57" i="2"/>
  <c r="S68" i="2"/>
  <c r="V57" i="2"/>
  <c r="V68" i="2"/>
  <c r="N57" i="2"/>
  <c r="N68" i="2"/>
  <c r="AH57" i="2"/>
  <c r="AH68" i="2"/>
  <c r="AR57" i="2"/>
  <c r="AR68" i="2"/>
  <c r="AL57" i="2"/>
  <c r="AL68" i="2"/>
  <c r="AU57" i="2"/>
  <c r="AU68" i="2"/>
  <c r="C57" i="2"/>
  <c r="C68" i="2"/>
  <c r="CY57" i="2" l="1"/>
  <c r="CY58" i="2" s="1"/>
  <c r="CY59" i="2" s="1"/>
  <c r="CY73" i="2" s="1"/>
  <c r="CZ54" i="2"/>
  <c r="DA48" i="2"/>
  <c r="DA51" i="2" s="1"/>
  <c r="CZ55" i="2"/>
  <c r="DA53" i="2"/>
  <c r="CX61" i="2"/>
  <c r="CX71" i="2" s="1"/>
  <c r="CX70" i="2"/>
  <c r="CY70" i="2"/>
  <c r="BM71" i="2"/>
  <c r="BL70" i="2"/>
  <c r="BL112" i="2"/>
  <c r="BL61" i="2"/>
  <c r="CT61" i="2"/>
  <c r="CT71" i="2" s="1"/>
  <c r="BA71" i="2"/>
  <c r="BD70" i="2"/>
  <c r="BD61" i="2"/>
  <c r="BD71" i="2" s="1"/>
  <c r="BD112" i="2"/>
  <c r="BH70" i="2"/>
  <c r="BH61" i="2"/>
  <c r="BH71" i="2" s="1"/>
  <c r="BH112" i="2"/>
  <c r="CU112" i="2" s="1"/>
  <c r="BQ71" i="2"/>
  <c r="DD4" i="2"/>
  <c r="DC7" i="2"/>
  <c r="DC17" i="2" s="1"/>
  <c r="BP70" i="2"/>
  <c r="BP61" i="2"/>
  <c r="BP112" i="2"/>
  <c r="DB12" i="2"/>
  <c r="CV112" i="2"/>
  <c r="CT112" i="2"/>
  <c r="DD8" i="2"/>
  <c r="BI71" i="2"/>
  <c r="CW112" i="2"/>
  <c r="CS61" i="2"/>
  <c r="BE71" i="2"/>
  <c r="CU61" i="2"/>
  <c r="CU71" i="2" s="1"/>
  <c r="I59" i="2"/>
  <c r="CI57" i="2"/>
  <c r="CI69" i="2" s="1"/>
  <c r="I69" i="2"/>
  <c r="AJ59" i="2"/>
  <c r="AJ69" i="2"/>
  <c r="AA59" i="2"/>
  <c r="AA69" i="2"/>
  <c r="Y59" i="2"/>
  <c r="CM57" i="2"/>
  <c r="CM69" i="2" s="1"/>
  <c r="Y69" i="2"/>
  <c r="G59" i="2"/>
  <c r="G69" i="2"/>
  <c r="AS59" i="2"/>
  <c r="CR57" i="2"/>
  <c r="CR69" i="2" s="1"/>
  <c r="AS69" i="2"/>
  <c r="C59" i="2"/>
  <c r="C69" i="2"/>
  <c r="AH59" i="2"/>
  <c r="AH69" i="2"/>
  <c r="AD59" i="2"/>
  <c r="AD69" i="2"/>
  <c r="E59" i="2"/>
  <c r="CH57" i="2"/>
  <c r="CH69" i="2" s="1"/>
  <c r="E69" i="2"/>
  <c r="AP59" i="2"/>
  <c r="AP69" i="2"/>
  <c r="AF59" i="2"/>
  <c r="AF69" i="2"/>
  <c r="AB59" i="2"/>
  <c r="AB69" i="2"/>
  <c r="F59" i="2"/>
  <c r="F69" i="2"/>
  <c r="AV59" i="2"/>
  <c r="AV69" i="2"/>
  <c r="W59" i="2"/>
  <c r="W69" i="2"/>
  <c r="AC59" i="2"/>
  <c r="CN57" i="2"/>
  <c r="CN69" i="2" s="1"/>
  <c r="AC69" i="2"/>
  <c r="AT59" i="2"/>
  <c r="AT69" i="2"/>
  <c r="AE59" i="2"/>
  <c r="AE69" i="2"/>
  <c r="AR59" i="2"/>
  <c r="AR69" i="2"/>
  <c r="AU59" i="2"/>
  <c r="AU69" i="2"/>
  <c r="N59" i="2"/>
  <c r="N69" i="2"/>
  <c r="L59" i="2"/>
  <c r="L69" i="2"/>
  <c r="O59" i="2"/>
  <c r="O69" i="2"/>
  <c r="AG59" i="2"/>
  <c r="CO57" i="2"/>
  <c r="CO69" i="2" s="1"/>
  <c r="AG69" i="2"/>
  <c r="D59" i="2"/>
  <c r="D69" i="2"/>
  <c r="AM59" i="2"/>
  <c r="AM69" i="2"/>
  <c r="AQ59" i="2"/>
  <c r="AQ69" i="2"/>
  <c r="R59" i="2"/>
  <c r="R69" i="2"/>
  <c r="J59" i="2"/>
  <c r="J69" i="2"/>
  <c r="AI59" i="2"/>
  <c r="AI69" i="2"/>
  <c r="S59" i="2"/>
  <c r="S69" i="2"/>
  <c r="P59" i="2"/>
  <c r="P69" i="2"/>
  <c r="AL59" i="2"/>
  <c r="AL69" i="2"/>
  <c r="V59" i="2"/>
  <c r="V69" i="2"/>
  <c r="AN59" i="2"/>
  <c r="AN69" i="2"/>
  <c r="H59" i="2"/>
  <c r="H69" i="2"/>
  <c r="K59" i="2"/>
  <c r="K69" i="2"/>
  <c r="M59" i="2"/>
  <c r="CJ57" i="2"/>
  <c r="CJ69" i="2" s="1"/>
  <c r="M69" i="2"/>
  <c r="Q59" i="2"/>
  <c r="CK57" i="2"/>
  <c r="CK69" i="2" s="1"/>
  <c r="Q69" i="2"/>
  <c r="AK59" i="2"/>
  <c r="CP57" i="2"/>
  <c r="CP69" i="2" s="1"/>
  <c r="AK69" i="2"/>
  <c r="AO59" i="2"/>
  <c r="CQ57" i="2"/>
  <c r="CQ69" i="2" s="1"/>
  <c r="AO69" i="2"/>
  <c r="Z59" i="2"/>
  <c r="Z69" i="2"/>
  <c r="U59" i="2"/>
  <c r="CL57" i="2"/>
  <c r="CL69" i="2" s="1"/>
  <c r="U69" i="2"/>
  <c r="T59" i="2"/>
  <c r="T69" i="2"/>
  <c r="X59" i="2"/>
  <c r="X69" i="2"/>
  <c r="CY61" i="2" l="1"/>
  <c r="DA52" i="2"/>
  <c r="DA54" i="2" s="1"/>
  <c r="DA49" i="2"/>
  <c r="DA50" i="2" s="1"/>
  <c r="CY71" i="2"/>
  <c r="CZ57" i="2"/>
  <c r="CZ58" i="2" s="1"/>
  <c r="CZ59" i="2" s="1"/>
  <c r="CZ73" i="2" s="1"/>
  <c r="CZ68" i="2"/>
  <c r="BL71" i="2"/>
  <c r="CV61" i="2"/>
  <c r="BP71" i="2"/>
  <c r="DC12" i="2"/>
  <c r="DC21" i="2" s="1"/>
  <c r="DE8" i="2"/>
  <c r="DD7" i="2"/>
  <c r="DD17" i="2" s="1"/>
  <c r="DE4" i="2"/>
  <c r="DB21" i="2"/>
  <c r="DB48" i="2"/>
  <c r="DC48" i="2"/>
  <c r="CV71" i="2"/>
  <c r="CW61" i="2"/>
  <c r="CW71" i="2" s="1"/>
  <c r="N61" i="2"/>
  <c r="N70" i="2"/>
  <c r="N112" i="2"/>
  <c r="F61" i="2"/>
  <c r="F70" i="2"/>
  <c r="F112" i="2"/>
  <c r="C70" i="2"/>
  <c r="C112" i="2"/>
  <c r="E61" i="2"/>
  <c r="CH59" i="2"/>
  <c r="CH70" i="2" s="1"/>
  <c r="E70" i="2"/>
  <c r="E112" i="2"/>
  <c r="AA61" i="2"/>
  <c r="AA70" i="2"/>
  <c r="AA112" i="2"/>
  <c r="P61" i="2"/>
  <c r="P70" i="2"/>
  <c r="P112" i="2"/>
  <c r="AN61" i="2"/>
  <c r="AN70" i="2"/>
  <c r="AN112" i="2"/>
  <c r="S61" i="2"/>
  <c r="S71" i="2" s="1"/>
  <c r="S70" i="2"/>
  <c r="S112" i="2"/>
  <c r="AQ61" i="2"/>
  <c r="AQ70" i="2"/>
  <c r="AQ112" i="2"/>
  <c r="AC61" i="2"/>
  <c r="CN59" i="2"/>
  <c r="CN70" i="2" s="1"/>
  <c r="AC70" i="2"/>
  <c r="AC112" i="2"/>
  <c r="AB61" i="2"/>
  <c r="AB70" i="2"/>
  <c r="AB112" i="2"/>
  <c r="AS61" i="2"/>
  <c r="CR59" i="2"/>
  <c r="CR70" i="2" s="1"/>
  <c r="AS70" i="2"/>
  <c r="AS112" i="2"/>
  <c r="H61" i="2"/>
  <c r="H70" i="2"/>
  <c r="H112" i="2"/>
  <c r="T61" i="2"/>
  <c r="T70" i="2"/>
  <c r="T112" i="2"/>
  <c r="O61" i="2"/>
  <c r="O70" i="2"/>
  <c r="O112" i="2"/>
  <c r="AR61" i="2"/>
  <c r="AR70" i="2"/>
  <c r="AR112" i="2"/>
  <c r="AD61" i="2"/>
  <c r="AD70" i="2"/>
  <c r="AD112" i="2"/>
  <c r="AJ61" i="2"/>
  <c r="AJ70" i="2"/>
  <c r="AJ112" i="2"/>
  <c r="AT61" i="2"/>
  <c r="AT70" i="2"/>
  <c r="AT112" i="2"/>
  <c r="R61" i="2"/>
  <c r="R112" i="2"/>
  <c r="R70" i="2"/>
  <c r="AU61" i="2"/>
  <c r="AU70" i="2"/>
  <c r="AU112" i="2"/>
  <c r="M61" i="2"/>
  <c r="CJ59" i="2"/>
  <c r="CJ70" i="2" s="1"/>
  <c r="M70" i="2"/>
  <c r="M112" i="2"/>
  <c r="V61" i="2"/>
  <c r="V71" i="2" s="1"/>
  <c r="V70" i="2"/>
  <c r="V112" i="2"/>
  <c r="AI61" i="2"/>
  <c r="AI70" i="2"/>
  <c r="AI112" i="2"/>
  <c r="AM61" i="2"/>
  <c r="AM70" i="2"/>
  <c r="AM112" i="2"/>
  <c r="W61" i="2"/>
  <c r="W70" i="2"/>
  <c r="W112" i="2"/>
  <c r="AF61" i="2"/>
  <c r="AF70" i="2"/>
  <c r="AF112" i="2"/>
  <c r="G61" i="2"/>
  <c r="G70" i="2"/>
  <c r="G112" i="2"/>
  <c r="Z61" i="2"/>
  <c r="Z112" i="2"/>
  <c r="Z70" i="2"/>
  <c r="Q61" i="2"/>
  <c r="CK59" i="2"/>
  <c r="CK70" i="2" s="1"/>
  <c r="Q112" i="2"/>
  <c r="Q70" i="2"/>
  <c r="L61" i="2"/>
  <c r="L71" i="2" s="1"/>
  <c r="L70" i="2"/>
  <c r="L112" i="2"/>
  <c r="AE61" i="2"/>
  <c r="AE70" i="2"/>
  <c r="AE112" i="2"/>
  <c r="AH61" i="2"/>
  <c r="AH112" i="2"/>
  <c r="AH70" i="2"/>
  <c r="Y61" i="2"/>
  <c r="CM59" i="2"/>
  <c r="CM70" i="2" s="1"/>
  <c r="Y112" i="2"/>
  <c r="Y70" i="2"/>
  <c r="X61" i="2"/>
  <c r="X70" i="2"/>
  <c r="X112" i="2"/>
  <c r="AG61" i="2"/>
  <c r="CO59" i="2"/>
  <c r="CO70" i="2" s="1"/>
  <c r="AG112" i="2"/>
  <c r="AG70" i="2"/>
  <c r="AO61" i="2"/>
  <c r="CQ59" i="2"/>
  <c r="CQ70" i="2" s="1"/>
  <c r="AO112" i="2"/>
  <c r="AO70" i="2"/>
  <c r="U61" i="2"/>
  <c r="CL59" i="2"/>
  <c r="CL70" i="2" s="1"/>
  <c r="U70" i="2"/>
  <c r="U112" i="2"/>
  <c r="AK61" i="2"/>
  <c r="CP59" i="2"/>
  <c r="CP70" i="2" s="1"/>
  <c r="AK70" i="2"/>
  <c r="AK112" i="2"/>
  <c r="K61" i="2"/>
  <c r="K70" i="2"/>
  <c r="K112" i="2"/>
  <c r="AL61" i="2"/>
  <c r="AL70" i="2"/>
  <c r="AL112" i="2"/>
  <c r="J61" i="2"/>
  <c r="J71" i="2" s="1"/>
  <c r="J70" i="2"/>
  <c r="J112" i="2"/>
  <c r="D70" i="2"/>
  <c r="D112" i="2"/>
  <c r="AV61" i="2"/>
  <c r="AV70" i="2"/>
  <c r="AV112" i="2"/>
  <c r="AP61" i="2"/>
  <c r="AP112" i="2"/>
  <c r="AP70" i="2"/>
  <c r="I61" i="2"/>
  <c r="CI59" i="2"/>
  <c r="CI70" i="2" s="1"/>
  <c r="I112" i="2"/>
  <c r="I70" i="2"/>
  <c r="DA55" i="2" l="1"/>
  <c r="CZ61" i="2"/>
  <c r="CZ71" i="2" s="1"/>
  <c r="CZ70" i="2"/>
  <c r="DB51" i="2"/>
  <c r="DB52" i="2"/>
  <c r="DB53" i="2"/>
  <c r="DB49" i="2"/>
  <c r="DB50" i="2" s="1"/>
  <c r="DA57" i="2"/>
  <c r="DA58" i="2" s="1"/>
  <c r="DA59" i="2" s="1"/>
  <c r="DA73" i="2" s="1"/>
  <c r="DA68" i="2"/>
  <c r="DC53" i="2"/>
  <c r="DC49" i="2"/>
  <c r="DC50" i="2" s="1"/>
  <c r="DC52" i="2"/>
  <c r="DC51" i="2"/>
  <c r="AR71" i="2"/>
  <c r="P71" i="2"/>
  <c r="AJ71" i="2"/>
  <c r="AP71" i="2"/>
  <c r="AH71" i="2"/>
  <c r="X71" i="2"/>
  <c r="AM71" i="2"/>
  <c r="R71" i="2"/>
  <c r="AE71" i="2"/>
  <c r="DF4" i="2"/>
  <c r="DE7" i="2"/>
  <c r="DE17" i="2" s="1"/>
  <c r="Z71" i="2"/>
  <c r="AB71" i="2"/>
  <c r="DD12" i="2"/>
  <c r="K71" i="2"/>
  <c r="DF8" i="2"/>
  <c r="CM61" i="2"/>
  <c r="Y71" i="2"/>
  <c r="U71" i="2"/>
  <c r="CL61" i="2"/>
  <c r="AG71" i="2"/>
  <c r="CO61" i="2"/>
  <c r="W71" i="2"/>
  <c r="AY71" i="2"/>
  <c r="AU71" i="2"/>
  <c r="CI61" i="2"/>
  <c r="I71" i="2"/>
  <c r="O71" i="2"/>
  <c r="AA71" i="2"/>
  <c r="AC71" i="2"/>
  <c r="CN61" i="2"/>
  <c r="CN71" i="2" s="1"/>
  <c r="AK71" i="2"/>
  <c r="CP61" i="2"/>
  <c r="CQ61" i="2"/>
  <c r="CQ71" i="2" s="1"/>
  <c r="AO71" i="2"/>
  <c r="Q71" i="2"/>
  <c r="CK61" i="2"/>
  <c r="AD71" i="2"/>
  <c r="AS71" i="2"/>
  <c r="CR61" i="2"/>
  <c r="AW71" i="2"/>
  <c r="AN71" i="2"/>
  <c r="AZ71" i="2"/>
  <c r="AV71" i="2"/>
  <c r="AL71" i="2"/>
  <c r="AF71" i="2"/>
  <c r="M71" i="2"/>
  <c r="CJ61" i="2"/>
  <c r="T71" i="2"/>
  <c r="AI71" i="2"/>
  <c r="AT71" i="2"/>
  <c r="AX71" i="2"/>
  <c r="AQ71" i="2"/>
  <c r="CH61" i="2"/>
  <c r="N71" i="2"/>
  <c r="DC54" i="2" l="1"/>
  <c r="DC55" i="2"/>
  <c r="DC68" i="2" s="1"/>
  <c r="DB55" i="2"/>
  <c r="DA61" i="2"/>
  <c r="DA71" i="2" s="1"/>
  <c r="DA70" i="2"/>
  <c r="DB54" i="2"/>
  <c r="DG8" i="2"/>
  <c r="DD21" i="2"/>
  <c r="DD48" i="2"/>
  <c r="DG4" i="2"/>
  <c r="DG7" i="2" s="1"/>
  <c r="DF7" i="2"/>
  <c r="DF17" i="2" s="1"/>
  <c r="CJ71" i="2"/>
  <c r="DE12" i="2"/>
  <c r="CO71" i="2"/>
  <c r="CS71" i="2"/>
  <c r="CR71" i="2"/>
  <c r="CK71" i="2"/>
  <c r="CL71" i="2"/>
  <c r="CI71" i="2"/>
  <c r="CP71" i="2"/>
  <c r="CM71" i="2"/>
  <c r="CX21" i="2"/>
  <c r="DB57" i="2" l="1"/>
  <c r="DB58" i="2" s="1"/>
  <c r="DB59" i="2" s="1"/>
  <c r="DB73" i="2" s="1"/>
  <c r="DB68" i="2"/>
  <c r="DD53" i="2"/>
  <c r="DD49" i="2"/>
  <c r="DD50" i="2" s="1"/>
  <c r="DD52" i="2"/>
  <c r="DD54" i="2" s="1"/>
  <c r="DD51" i="2"/>
  <c r="DE21" i="2"/>
  <c r="DE48" i="2"/>
  <c r="DG17" i="2"/>
  <c r="DF12" i="2"/>
  <c r="DG12" i="2"/>
  <c r="DC57" i="2" l="1"/>
  <c r="DC58" i="2" s="1"/>
  <c r="DC59" i="2" s="1"/>
  <c r="DD55" i="2"/>
  <c r="DD68" i="2" s="1"/>
  <c r="DE53" i="2"/>
  <c r="DE49" i="2"/>
  <c r="DE50" i="2" s="1"/>
  <c r="DE52" i="2"/>
  <c r="DE54" i="2" s="1"/>
  <c r="DE51" i="2"/>
  <c r="DB61" i="2"/>
  <c r="DB71" i="2" s="1"/>
  <c r="DB70" i="2"/>
  <c r="DG48" i="2"/>
  <c r="DG21" i="2"/>
  <c r="DF21" i="2"/>
  <c r="DF48" i="2"/>
  <c r="DC61" i="2" l="1"/>
  <c r="DC71" i="2" s="1"/>
  <c r="DC73" i="2"/>
  <c r="DC70" i="2"/>
  <c r="DE55" i="2"/>
  <c r="DD57" i="2"/>
  <c r="DD58" i="2" s="1"/>
  <c r="DD59" i="2" s="1"/>
  <c r="DF53" i="2"/>
  <c r="DF49" i="2"/>
  <c r="DF50" i="2" s="1"/>
  <c r="DF52" i="2"/>
  <c r="DF51" i="2"/>
  <c r="DG52" i="2"/>
  <c r="DG53" i="2"/>
  <c r="DG49" i="2"/>
  <c r="DG50" i="2" s="1"/>
  <c r="DG51" i="2"/>
  <c r="DD73" i="2" l="1"/>
  <c r="DE57" i="2"/>
  <c r="DE58" i="2" s="1"/>
  <c r="DE59" i="2" s="1"/>
  <c r="DE61" i="2" s="1"/>
  <c r="DF54" i="2"/>
  <c r="DD61" i="2"/>
  <c r="DD71" i="2" s="1"/>
  <c r="DF55" i="2"/>
  <c r="DF68" i="2" s="1"/>
  <c r="DE68" i="2"/>
  <c r="DD70" i="2"/>
  <c r="DG54" i="2"/>
  <c r="DG55" i="2"/>
  <c r="DE73" i="2" l="1"/>
  <c r="DE70" i="2"/>
  <c r="DE71" i="2"/>
  <c r="DF57" i="2"/>
  <c r="DF58" i="2" s="1"/>
  <c r="DF59" i="2" s="1"/>
  <c r="DG68" i="2"/>
  <c r="DF73" i="2" l="1"/>
  <c r="DG57" i="2" s="1"/>
  <c r="DG58" i="2" s="1"/>
  <c r="DG59" i="2" s="1"/>
  <c r="DF70" i="2"/>
  <c r="DF61" i="2"/>
  <c r="DF71" i="2" s="1"/>
  <c r="DG73" i="2" l="1"/>
  <c r="DH59" i="2"/>
  <c r="DI59" i="2" s="1"/>
  <c r="DJ59" i="2" s="1"/>
  <c r="DK59" i="2" s="1"/>
  <c r="DL59" i="2" s="1"/>
  <c r="DM59" i="2" s="1"/>
  <c r="DN59" i="2" s="1"/>
  <c r="DO59" i="2" s="1"/>
  <c r="DP59" i="2" s="1"/>
  <c r="DQ59" i="2" s="1"/>
  <c r="DR59" i="2" s="1"/>
  <c r="DS59" i="2" s="1"/>
  <c r="DT59" i="2" s="1"/>
  <c r="DU59" i="2" s="1"/>
  <c r="DV59" i="2" s="1"/>
  <c r="DW59" i="2" s="1"/>
  <c r="DX59" i="2" s="1"/>
  <c r="DY59" i="2" s="1"/>
  <c r="DZ59" i="2" s="1"/>
  <c r="EA59" i="2" s="1"/>
  <c r="EB59" i="2" s="1"/>
  <c r="EC59" i="2" s="1"/>
  <c r="ED59" i="2" s="1"/>
  <c r="EE59" i="2" s="1"/>
  <c r="EF59" i="2" s="1"/>
  <c r="EG59" i="2" s="1"/>
  <c r="EH59" i="2" s="1"/>
  <c r="EI59" i="2" s="1"/>
  <c r="EJ59" i="2" s="1"/>
  <c r="EK59" i="2" s="1"/>
  <c r="EL59" i="2" s="1"/>
  <c r="EM59" i="2" s="1"/>
  <c r="EN59" i="2" s="1"/>
  <c r="EO59" i="2" s="1"/>
  <c r="EP59" i="2" s="1"/>
  <c r="EQ59" i="2" s="1"/>
  <c r="ER59" i="2" s="1"/>
  <c r="ES59" i="2" s="1"/>
  <c r="ET59" i="2" s="1"/>
  <c r="EU59" i="2" s="1"/>
  <c r="EV59" i="2" s="1"/>
  <c r="EW59" i="2" s="1"/>
  <c r="EX59" i="2" s="1"/>
  <c r="EY59" i="2" s="1"/>
  <c r="EZ59" i="2" s="1"/>
  <c r="FA59" i="2" s="1"/>
  <c r="FB59" i="2" s="1"/>
  <c r="FC59" i="2" s="1"/>
  <c r="FD59" i="2" s="1"/>
  <c r="FE59" i="2" s="1"/>
  <c r="DG70" i="2"/>
  <c r="DG61" i="2"/>
  <c r="DG71" i="2" s="1"/>
  <c r="CZ82" i="2" l="1"/>
  <c r="CZ84" i="2" s="1"/>
  <c r="CZ86" i="2" s="1"/>
  <c r="DA86" i="2" s="1"/>
</calcChain>
</file>

<file path=xl/sharedStrings.xml><?xml version="1.0" encoding="utf-8"?>
<sst xmlns="http://schemas.openxmlformats.org/spreadsheetml/2006/main" count="3545" uniqueCount="2937">
  <si>
    <t xml:space="preserve">Price </t>
  </si>
  <si>
    <t>SO</t>
  </si>
  <si>
    <t>MC</t>
  </si>
  <si>
    <t>Cash</t>
  </si>
  <si>
    <t>Debt</t>
  </si>
  <si>
    <t>EV</t>
  </si>
  <si>
    <t>Investor Relations Contact:</t>
  </si>
  <si>
    <t>SEC filings</t>
  </si>
  <si>
    <t>Godel Terminal</t>
  </si>
  <si>
    <t>[Bold Title]</t>
  </si>
  <si>
    <t>Line Titles</t>
  </si>
  <si>
    <t>&lt;-- General</t>
  </si>
  <si>
    <t>&lt;-- Info</t>
  </si>
  <si>
    <t>Institutional Ownership Snapshot (4/14/2025)</t>
  </si>
  <si>
    <t>Notes:</t>
  </si>
  <si>
    <t>[X]</t>
  </si>
  <si>
    <t>[Y]</t>
  </si>
  <si>
    <t>[Z]</t>
  </si>
  <si>
    <t>Total Revenues, Net Income, FCF</t>
  </si>
  <si>
    <t>Close</t>
  </si>
  <si>
    <t>High</t>
  </si>
  <si>
    <t>Low</t>
  </si>
  <si>
    <t>Open</t>
  </si>
  <si>
    <t>Volume</t>
  </si>
  <si>
    <t>UTC Date</t>
  </si>
  <si>
    <t>Change</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</si>
  <si>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</si>
  <si>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</si>
  <si>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</si>
  <si>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</si>
  <si>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</si>
  <si>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</si>
  <si>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</si>
  <si>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</si>
  <si>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</si>
  <si>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</si>
  <si>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</si>
  <si>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</si>
  <si>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</si>
  <si>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</si>
  <si>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</si>
  <si>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</si>
  <si>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</si>
  <si>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</si>
  <si>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Q3 2008</t>
  </si>
  <si>
    <t>Q1 2020</t>
  </si>
  <si>
    <t>Q1 2021</t>
  </si>
  <si>
    <t>Q1 2022</t>
  </si>
  <si>
    <t>Q1 2023</t>
  </si>
  <si>
    <t>Q1 2024</t>
  </si>
  <si>
    <t>Q1 2025</t>
  </si>
  <si>
    <t>[Use for Graphing]</t>
  </si>
  <si>
    <t>Quarterly</t>
  </si>
  <si>
    <t>Revenues</t>
  </si>
  <si>
    <t>Ttl Revenues</t>
  </si>
  <si>
    <t>Q4 2008</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</si>
  <si>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</si>
  <si>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</si>
  <si>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</si>
  <si>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</si>
  <si>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</si>
  <si>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</si>
  <si>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</si>
  <si>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</si>
  <si>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</si>
  <si>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</si>
  <si>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</si>
  <si>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</si>
  <si>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</si>
  <si>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</si>
  <si>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</si>
  <si>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</si>
  <si>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</si>
  <si>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</si>
  <si>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</si>
  <si>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</si>
  <si>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</si>
  <si>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</si>
  <si>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FCF</t>
  </si>
  <si>
    <t>SC</t>
  </si>
  <si>
    <t>FCF per Share</t>
  </si>
  <si>
    <t>General Notes/Observations (Updated Q1'25)</t>
  </si>
  <si>
    <t>Financial Stmts. Notes/Observations (Updated Q1'25)</t>
  </si>
  <si>
    <t>Revenues:</t>
  </si>
  <si>
    <t>Balance Sheet Scope:</t>
  </si>
  <si>
    <t>[Equity Preformance Compared to Peers]</t>
  </si>
  <si>
    <t>Mean</t>
  </si>
  <si>
    <t>-3σ</t>
  </si>
  <si>
    <t>-2σ</t>
  </si>
  <si>
    <t>-1σ</t>
  </si>
  <si>
    <t>1σ</t>
  </si>
  <si>
    <t>2σ</t>
  </si>
  <si>
    <t>3σ</t>
  </si>
  <si>
    <t xml:space="preserve">Email: </t>
  </si>
  <si>
    <t>EPS Growth</t>
  </si>
  <si>
    <t>&lt;- Sharpe Ratio (Risk Adjusted Return)</t>
  </si>
  <si>
    <t>5/18/25</t>
  </si>
  <si>
    <t>Q1'25</t>
  </si>
  <si>
    <t>Resources:</t>
  </si>
  <si>
    <t>Earnings Calls</t>
  </si>
  <si>
    <t>Equity Analysis</t>
  </si>
  <si>
    <t>Alphabet IR Page</t>
  </si>
  <si>
    <t>https://abc.xyz/investor/</t>
  </si>
  <si>
    <t>https://seekingalpha.com/symbol/GOOGL/earnings/transcripts</t>
  </si>
  <si>
    <t>https://stockanalysis.com/stocks/googl/</t>
  </si>
  <si>
    <t>https://app.godelterminal.com/</t>
  </si>
  <si>
    <t>Registered Exchange: NASDAQ</t>
  </si>
  <si>
    <t>Founded: 1998</t>
  </si>
  <si>
    <t>investor-relations@abc.xyz</t>
  </si>
  <si>
    <t>Address: 1600 Amphitheatre PKWY, Mountain View, CA, 94043</t>
  </si>
  <si>
    <t>Current CEO: Sundar Pichai</t>
  </si>
  <si>
    <t>[The other bets segments obviously operates more projects than stated in The Company's provided description … Research further</t>
  </si>
  <si>
    <t>DeepMind:</t>
  </si>
  <si>
    <t>Waymo:</t>
  </si>
  <si>
    <t>Verily:</t>
  </si>
  <si>
    <t>X Labs:</t>
  </si>
  <si>
    <t>Google Ventures:</t>
  </si>
  <si>
    <t>Calico</t>
  </si>
  <si>
    <t xml:space="preserve">Willow Project: </t>
  </si>
  <si>
    <t>Industry: Internet Content &amp; Information</t>
  </si>
  <si>
    <t>Sector: Communication Services</t>
  </si>
  <si>
    <t>https://www.macrotrends.net/stocks/charts/GOOGL/alphabet/financial-statements</t>
  </si>
  <si>
    <t>MacroTrends</t>
  </si>
  <si>
    <t>Chronicle:</t>
  </si>
  <si>
    <t>Google is working to acquire Wiz, a global cloud security firm for $32B … May be held up by regulators, but if the acquisition goes through it'll greatly expands The Company's cybersecurity offering</t>
  </si>
  <si>
    <t>DeepMind’s work spans the sciences, generative and applied AI, and interdisciplinary innovation</t>
  </si>
  <si>
    <t>AI / ML Research - DeepMind has become renowned for pioneering breakthroughs in deep reinforcement learning, neural networks, and general-purpose AI systems</t>
  </si>
  <si>
    <t xml:space="preserve">Founded as Google’s self-driving car project in 2009, Waymo has since evolved into a pioneer in the development and commercialization of fully autonomous vehicles </t>
  </si>
  <si>
    <t>Life Sciences/Healthcare Technology - Verily develops tools and platforms for health data analytics, disease detection, clinical research, and precision medicine</t>
  </si>
  <si>
    <t>Verily develops advanced health data analytics platforms, precision health tools, and medical devices aimed at improving patient outcomes and enabling more personalized, proactive care</t>
  </si>
  <si>
    <t>Its portfolio includes projects in chronic disease management, diagnostics, population health, and clinical trial technology</t>
  </si>
  <si>
    <t>Palantir of healthcare???? Further research is required…</t>
  </si>
  <si>
    <t xml:space="preserve">Quantum Computing - Google’s Willow quantum chip, unveiled in December 2024, represents a major leap forward in quantum computing </t>
  </si>
  <si>
    <t>This was really the spark to bubble up the other publicly traded "quantum players" ; some of which are incredibly low quality, if not fraudulent products/businesses</t>
  </si>
  <si>
    <r>
      <t xml:space="preserve">Do further research into "real" quantum players… Off the top of my head: GOOG: Willow, IBM: Heron, Honeywell: Model H, Microsoft: Majorana 1 … </t>
    </r>
    <r>
      <rPr>
        <b/>
        <sz val="11"/>
        <color theme="1"/>
        <rFont val="Calibre"/>
      </rPr>
      <t>[research others]</t>
    </r>
  </si>
  <si>
    <t xml:space="preserve">Commit to further research … but the true break through from the initial demonstration seemed to be the error correction software, which may allow for easier qubit scaling in future chip iterations </t>
  </si>
  <si>
    <t>Greater &gt; amts. of qubits to run any interesting algos (like Shor's to break RSA) … and a high gate fidelity is required for the calculations to actually produce a useful output beyond the capabilities of a tradition computer</t>
  </si>
  <si>
    <t>The Willow chip was developed at Google’s dedicated fabrication facility</t>
  </si>
  <si>
    <t>Willow sets new standards for quantum hardware with improved error rates, coherence times, and energy efficiency, positioning it as a leading platform for building large-scale, fault-tolerant quantum computers</t>
  </si>
  <si>
    <t>Its innovations move quantum computing significantly closer to practical, real-world applications in fields such as drug discovery, materials science, optimization, and artificial intelligence</t>
  </si>
  <si>
    <t>While challenges remain-particularly in further reducing error rates and scaling to thousands of qubits-Willow marks a pivotal step toward commercially viable quantum machines</t>
  </si>
  <si>
    <t>Moonshot R&amp;D Lab - X is Alphabet’s innovation lab for breakthrough technologies. Projects spun out of X include:</t>
  </si>
  <si>
    <t xml:space="preserve">Intrinsic: </t>
  </si>
  <si>
    <t xml:space="preserve">Wing: </t>
  </si>
  <si>
    <t>Drone-based delivery services, with pilot programs in Australia and the U.S.</t>
  </si>
  <si>
    <t>Industrial robotics software; focusing on software to make industrial robots easier to use and more flexible</t>
  </si>
  <si>
    <t>Cybersecurity tool, later integrated into Cloud Services - Chronicle develops cybersecurity tools and platforms to help organizations detect and prevent cyber threats</t>
  </si>
  <si>
    <t>Developed smart contact lenses for glucose monitoring, now part of Verily.</t>
  </si>
  <si>
    <t>Google Contact Lens:</t>
  </si>
  <si>
    <t>Pioneered deep learning research, now integrated into Google DeepMind.</t>
  </si>
  <si>
    <t>Google Brain:</t>
  </si>
  <si>
    <t>Develops underwater robotics and vision systems for sustainable aquaculture.</t>
  </si>
  <si>
    <t>TidalX:</t>
  </si>
  <si>
    <t>Applies artificial intelligence to improve crop yields and agricultural resilience.</t>
  </si>
  <si>
    <t>Heritable Agriculture:</t>
  </si>
  <si>
    <t>Delivers high-speed internet using free-space optical (light beam) communications.</t>
  </si>
  <si>
    <t>Taara:</t>
  </si>
  <si>
    <t>Provides real-time supply chain monitoring and analytics using sensors and AI.</t>
  </si>
  <si>
    <t>Chorus:</t>
  </si>
  <si>
    <t>Uses sensors and AI to support sustainable agriculture and crop monitoring.</t>
  </si>
  <si>
    <t>Mineral:</t>
  </si>
  <si>
    <t>Willow features 105 superconducting qubits and achieves two landmark breakthroughs</t>
  </si>
  <si>
    <r>
      <t>(</t>
    </r>
    <r>
      <rPr>
        <i/>
        <sz val="11"/>
        <color theme="1"/>
        <rFont val="Calibre"/>
      </rPr>
      <t>ii</t>
    </r>
    <r>
      <rPr>
        <sz val="11"/>
        <color theme="1"/>
        <rFont val="Calibre"/>
      </rPr>
      <t>) Completes benchmark computations in under five minutes that would take the world’s fastest classical supercomputers an estimated 10 septillion years</t>
    </r>
  </si>
  <si>
    <t>Longevity and Aging Research - Calico Life Sciences conducts research into aging and age-related diseases, aiming to extend human lifespan and healthspan</t>
  </si>
  <si>
    <t>Google's operating VC firm</t>
  </si>
  <si>
    <t>Other Bets</t>
  </si>
  <si>
    <t>Ad Services:</t>
  </si>
  <si>
    <t>Google Search:</t>
  </si>
  <si>
    <t>YouTube:</t>
  </si>
  <si>
    <t>Android Mobile Software:</t>
  </si>
  <si>
    <t>Chrome Browser:</t>
  </si>
  <si>
    <t>Google Devices  [Hardware]:</t>
  </si>
  <si>
    <t>Gmail Services:</t>
  </si>
  <si>
    <t>Google Drive Services:</t>
  </si>
  <si>
    <t>Google Maps App:</t>
  </si>
  <si>
    <t>Google Photos App:</t>
  </si>
  <si>
    <t>Google Play Online Marketplace:</t>
  </si>
  <si>
    <r>
      <rPr>
        <b/>
        <sz val="11"/>
        <color theme="1"/>
        <rFont val="Calibre"/>
      </rPr>
      <t>Google’s ad services</t>
    </r>
    <r>
      <rPr>
        <sz val="11"/>
        <color theme="1"/>
        <rFont val="Calibre"/>
      </rPr>
      <t xml:space="preserve"> are the </t>
    </r>
    <r>
      <rPr>
        <b/>
        <sz val="11"/>
        <color theme="1"/>
        <rFont val="Calibre"/>
      </rPr>
      <t>company’s primary revenue driver</t>
    </r>
    <r>
      <rPr>
        <sz val="11"/>
        <color theme="1"/>
        <rFont val="Calibre"/>
      </rPr>
      <t xml:space="preserve">, encompassing platforms like </t>
    </r>
    <r>
      <rPr>
        <b/>
        <sz val="11"/>
        <color theme="1"/>
        <rFont val="Calibre"/>
      </rPr>
      <t>Google Ads</t>
    </r>
    <r>
      <rPr>
        <sz val="11"/>
        <color theme="1"/>
        <rFont val="Calibre"/>
      </rPr>
      <t xml:space="preserve"> (formerly AdWords), </t>
    </r>
    <r>
      <rPr>
        <b/>
        <sz val="11"/>
        <color theme="1"/>
        <rFont val="Calibre"/>
      </rPr>
      <t>AdSense</t>
    </r>
    <r>
      <rPr>
        <sz val="11"/>
        <color theme="1"/>
        <rFont val="Calibre"/>
      </rPr>
      <t xml:space="preserve">, and </t>
    </r>
    <r>
      <rPr>
        <b/>
        <sz val="11"/>
        <color theme="1"/>
        <rFont val="Calibre"/>
      </rPr>
      <t>DoubleClick</t>
    </r>
  </si>
  <si>
    <t>These services facilitate digital advertising across Google’s own products (Search, YouTube, etc.) and third-party websites, leveraging user data for targeted advertising</t>
  </si>
  <si>
    <t>Pioneered ad marketplace based on target demographics and demand … Investigate further</t>
  </si>
  <si>
    <t>Continual innovation includes AI-powered features and integration with other Google services</t>
  </si>
  <si>
    <t>Gemini has been incorporated into Search, but I personally do not enjoy the summarization tool as it stands</t>
  </si>
  <si>
    <r>
      <rPr>
        <b/>
        <sz val="11"/>
        <color theme="1"/>
        <rFont val="Calibre"/>
      </rPr>
      <t>Search</t>
    </r>
    <r>
      <rPr>
        <sz val="11"/>
        <color theme="1"/>
        <rFont val="Calibre"/>
      </rPr>
      <t xml:space="preserve"> remains the </t>
    </r>
    <r>
      <rPr>
        <b/>
        <sz val="11"/>
        <color theme="1"/>
        <rFont val="Calibre"/>
      </rPr>
      <t>most visited website globally</t>
    </r>
    <r>
      <rPr>
        <sz val="11"/>
        <color theme="1"/>
        <rFont val="Calibre"/>
      </rPr>
      <t xml:space="preserve"> and is the </t>
    </r>
    <r>
      <rPr>
        <b/>
        <sz val="11"/>
        <color theme="1"/>
        <rFont val="Calibre"/>
      </rPr>
      <t>foundation for Google’s</t>
    </r>
    <r>
      <rPr>
        <sz val="11"/>
        <color theme="1"/>
        <rFont val="Calibre"/>
      </rPr>
      <t xml:space="preserve"> data-driven </t>
    </r>
    <r>
      <rPr>
        <b/>
        <sz val="11"/>
        <color theme="1"/>
        <rFont val="Calibre"/>
      </rPr>
      <t>advertising model</t>
    </r>
    <r>
      <rPr>
        <sz val="11"/>
        <color theme="1"/>
        <rFont val="Calibre"/>
      </rPr>
      <t xml:space="preserve"> --  </t>
    </r>
    <r>
      <rPr>
        <b/>
        <sz val="11"/>
        <color theme="1"/>
        <rFont val="Calibre"/>
      </rPr>
      <t>5 trillion queries reported in 2024</t>
    </r>
  </si>
  <si>
    <t>Operates semi-independently within Google, with a distinct brand and user community</t>
  </si>
  <si>
    <r>
      <t xml:space="preserve">Acquired in 2006 for $1.65 billion, YouTube has been developed into the world’s largest online video-sharing platform -- </t>
    </r>
    <r>
      <rPr>
        <b/>
        <sz val="11"/>
        <color theme="1"/>
        <rFont val="Calibre"/>
      </rPr>
      <t>2.5+ billion MAO (Monthly Active Users)</t>
    </r>
  </si>
  <si>
    <t>!!!Massive network effect!!!</t>
  </si>
  <si>
    <t>Android powers billions of devices globally, including smartphones, tablets, wearables, and TVs</t>
  </si>
  <si>
    <t>Key to Google’s ecosystem, driving search, Play Store, and services adoption on mobile devices</t>
  </si>
  <si>
    <r>
      <t>Acquired in 2005 for an estimated $50 million, Android is now the world’s most widely used mobile operating system with</t>
    </r>
    <r>
      <rPr>
        <b/>
        <sz val="11"/>
        <color theme="1"/>
        <rFont val="Calibre"/>
      </rPr>
      <t xml:space="preserve"> over 3 billion MAO (Monthly Active Users)</t>
    </r>
    <r>
      <rPr>
        <sz val="11"/>
        <color theme="1"/>
        <rFont val="Calibre"/>
      </rPr>
      <t xml:space="preserve"> -- </t>
    </r>
    <r>
      <rPr>
        <b/>
        <sz val="11"/>
        <color theme="1"/>
        <rFont val="Calibre"/>
      </rPr>
      <t>Open Source</t>
    </r>
    <r>
      <rPr>
        <sz val="11"/>
        <color theme="1"/>
        <rFont val="Calibre"/>
      </rPr>
      <t xml:space="preserve"> </t>
    </r>
  </si>
  <si>
    <t>Google Play is the official app store for Android devices, launched in 2012 (merging Android Market, Google Music, and Google eBookstore)</t>
  </si>
  <si>
    <t>Revenue streams include app sales, in-app purchases (recognized on a net basis), and digital content subscriptions</t>
  </si>
  <si>
    <t>Essential for Android’s ecosystem, supporting developers and content creators</t>
  </si>
  <si>
    <t xml:space="preserve">!!! Epic Games just won a landmark lawsuit that removes certain distribution rights away from the app store, removing the requirement for all sales to be funneled through the playstore!!! </t>
  </si>
  <si>
    <r>
      <t xml:space="preserve">Launched in 2008, Chrome is now the dominant web browser worldwide -- </t>
    </r>
    <r>
      <rPr>
        <b/>
        <sz val="11"/>
        <color theme="1"/>
        <rFont val="Calibre"/>
      </rPr>
      <t>3.45 billion MAO (Monthly Active Users)</t>
    </r>
  </si>
  <si>
    <t>Chrome serves as a gateway to Google’s web services, integrates with Google accounts, and supports web standards and security</t>
  </si>
  <si>
    <t>U.S. DOJ ruled Google to be a monopoly and ordered for the company to divest from its chrome web browser … remedy hearings taking place in 2025 onward … lets see how Trump Admin plays</t>
  </si>
  <si>
    <t>The browser is central to Google’s strategy of maintaining user engagement across platforms</t>
  </si>
  <si>
    <r>
      <t xml:space="preserve">Includes hardware such as the </t>
    </r>
    <r>
      <rPr>
        <b/>
        <sz val="11"/>
        <color theme="1"/>
        <rFont val="Calibre"/>
      </rPr>
      <t>Pixel phone family</t>
    </r>
    <r>
      <rPr>
        <sz val="11"/>
        <color theme="1"/>
        <rFont val="Calibre"/>
      </rPr>
      <t xml:space="preserve">, </t>
    </r>
    <r>
      <rPr>
        <b/>
        <sz val="11"/>
        <color theme="1"/>
        <rFont val="Calibre"/>
      </rPr>
      <t>Nest smart home products</t>
    </r>
    <r>
      <rPr>
        <sz val="11"/>
        <color theme="1"/>
        <rFont val="Calibre"/>
      </rPr>
      <t xml:space="preserve"> (acquired 2014 for $3.2 billion), </t>
    </r>
    <r>
      <rPr>
        <b/>
        <sz val="11"/>
        <color theme="1"/>
        <rFont val="Calibre"/>
      </rPr>
      <t>Chromecast</t>
    </r>
    <r>
      <rPr>
        <sz val="11"/>
        <color theme="1"/>
        <rFont val="Calibre"/>
      </rPr>
      <t xml:space="preserve">, and </t>
    </r>
    <r>
      <rPr>
        <b/>
        <sz val="11"/>
        <color theme="1"/>
        <rFont val="Calibre"/>
      </rPr>
      <t>Google Home</t>
    </r>
  </si>
  <si>
    <t>Device sales are a smaller revenue stream but strategically important for ecosystem integration and data collection … in-network devices generating organic, high quality data sets</t>
  </si>
  <si>
    <t>Acquisition of Motorola Mobility in 2012 for $12.5 billion (later sold to Lenovo in 2014), which briefly expanded Google’s hardware footprint</t>
  </si>
  <si>
    <t>Gmail is one of the most popular email services globally, launched in 2004</t>
  </si>
  <si>
    <t>It is integrated with Google Workspace and offers free and paid (business) versions</t>
  </si>
  <si>
    <t>Gmail is a key driver for user engagement and data for Google’s ad targeting</t>
  </si>
  <si>
    <t>Google Drive provides cloud storage and file synchronization, launched in 2012</t>
  </si>
  <si>
    <t>Integrated with Google Workspace (Docs, Sheets, Slides), it supports both consumer and enterprise users</t>
  </si>
  <si>
    <t>Revenue is generated through premium storage subscriptions (Google One)</t>
  </si>
  <si>
    <t>The reason Gmail &amp; Google Drive services really dominated goes back to their original release and offering … unlike other firms who began charging for data storage after the first 100mb, Google extended an offer of free storage up to 5GB</t>
  </si>
  <si>
    <t>This network effect, paired with high switching costs gave Google a foothold to expand in the early 2000's</t>
  </si>
  <si>
    <t>Launched in 2005, Google Maps is a leading mapping and navigation service</t>
  </si>
  <si>
    <t>Really cool math behind quickest route optimization problems</t>
  </si>
  <si>
    <t>Enhanced by acquisitions such as Where2, ZipDash, and Waze (2013, $1.3 billion)</t>
  </si>
  <si>
    <t>Tons of app M&amp;A + internal development in the early 2000's and mid 2010's</t>
  </si>
  <si>
    <t>Generates revenue through advertising (local business listings), API access for developers, and integration with other Google services</t>
  </si>
  <si>
    <t>Great conglomerate offering, similar to Windows office but on the consumer side</t>
  </si>
  <si>
    <t>Launched in 2015, Google Photos offers cloud-based photo storage and management</t>
  </si>
  <si>
    <t>Fits into consumer drive / hardware ecosystem</t>
  </si>
  <si>
    <t>Features include AI-powered search, editing, and sharing</t>
  </si>
  <si>
    <t>Monetization comes from paid storage plans under Google One -- similar business segment to Apple's ICloud consumer storage</t>
  </si>
  <si>
    <t>AI Infrastructure:</t>
  </si>
  <si>
    <t>Google Workspaces:</t>
  </si>
  <si>
    <t>Data &amp; Analytics:</t>
  </si>
  <si>
    <t>Cybersecurity:</t>
  </si>
  <si>
    <t>Vertex AI Platform:</t>
  </si>
  <si>
    <t>Other Enterprise Cloud Services:</t>
  </si>
  <si>
    <t>Provides scalable computing, storage, and networking resources tailored for artificial intelligence workloads. Enables enterprises to build, train, and deploy AI models efficiently</t>
  </si>
  <si>
    <t>Google’s unified machine learning platform for developing, training, and deploying ML models at scale. Integrates with other Google Cloud services to streamline AI operations for businesses</t>
  </si>
  <si>
    <t>Offers a suite of security solutions to protect enterprise data, applications, and cloud infrastructure. Services include threat detection, identity management, and compliance tools</t>
  </si>
  <si>
    <t>Delivers cloud-based tools for data storage, management, analysis, and visualization. Supports big data workloads and advanced analytics, helping organizations derive insights from large datasets</t>
  </si>
  <si>
    <t>A comprehensive suite of cloud-based productivity and collaboration tools, including Calendar, Gmail, Docs, Drive, and Meet. Designed for enterprise communication, document management, and workflow automation</t>
  </si>
  <si>
    <t>Includes a range of additional services for enterprise customers, such as cloud migration, app modernization, and industry-specific solutions. Supports digital transformation and operational efficiency</t>
  </si>
  <si>
    <t>Search Ads</t>
  </si>
  <si>
    <t>Youtube Ads</t>
  </si>
  <si>
    <t>Network Ads</t>
  </si>
  <si>
    <t>Ttl Google Ad Revenue</t>
  </si>
  <si>
    <t>Google Cloud</t>
  </si>
  <si>
    <t>Hedging Gains (losses)</t>
  </si>
  <si>
    <t>Search Revenue Growth Y/y</t>
  </si>
  <si>
    <t>Youtube Revenue Growth Y/y</t>
  </si>
  <si>
    <t>Network Growth Y/y</t>
  </si>
  <si>
    <t>Ad Revenue Growth Y/y</t>
  </si>
  <si>
    <t>Subscription, Platform, &amp; Device Growth Y/y</t>
  </si>
  <si>
    <t>Subscriptions, Platforms, &amp; Devices</t>
  </si>
  <si>
    <t>Cloud Growth Y/y</t>
  </si>
  <si>
    <t>Other Bets Growth Y/y</t>
  </si>
  <si>
    <t>Ttl Revenue Growth Y/y</t>
  </si>
  <si>
    <t>Ad revenues % of Ttl Revenues</t>
  </si>
  <si>
    <t>Subs, Platform &amp; Device % of Ttl Revenues</t>
  </si>
  <si>
    <t>Cloud % of Ttl Revenues</t>
  </si>
  <si>
    <t>Other Bets % of Ttl Revenues</t>
  </si>
  <si>
    <t>Hedging % of Ttl Revenues</t>
  </si>
  <si>
    <t>EMEA Revenues</t>
  </si>
  <si>
    <t>APAC Revenues</t>
  </si>
  <si>
    <t>Other Americas Revenues</t>
  </si>
  <si>
    <t>EMEA Revenue Growth Y/y</t>
  </si>
  <si>
    <t>APAC Revenue Growth Y/y</t>
  </si>
  <si>
    <t>Other Americas Revenue Growth Y/y</t>
  </si>
  <si>
    <t>EMEA % of Revenues</t>
  </si>
  <si>
    <t>APAC % of Revenues</t>
  </si>
  <si>
    <t>Other Americas % of Revenues</t>
  </si>
  <si>
    <t>Hedging % of Revenues</t>
  </si>
  <si>
    <t>Google Employee Snapshot (Q4'24)</t>
  </si>
  <si>
    <r>
      <t xml:space="preserve">The </t>
    </r>
    <r>
      <rPr>
        <b/>
        <sz val="11"/>
        <color theme="1"/>
        <rFont val="Calibre"/>
      </rPr>
      <t>Google Services</t>
    </r>
    <r>
      <rPr>
        <sz val="11"/>
        <color theme="1"/>
        <rFont val="Calibre"/>
      </rPr>
      <t xml:space="preserve"> segment provides products and services, </t>
    </r>
    <r>
      <rPr>
        <b/>
        <sz val="11"/>
        <color theme="1"/>
        <rFont val="Calibre"/>
      </rPr>
      <t>including ads, Android, Chrome, devices, Gmail, Google Drive, Google Maps, Google Photos, Google Play, Search, and YouTube</t>
    </r>
  </si>
  <si>
    <r>
      <t>It is also involved in the</t>
    </r>
    <r>
      <rPr>
        <b/>
        <sz val="11"/>
        <color theme="1"/>
        <rFont val="Calibre"/>
      </rPr>
      <t xml:space="preserve"> sale of apps and in-app purchases and digital content in the Google Play and YouTube</t>
    </r>
    <r>
      <rPr>
        <sz val="11"/>
        <color theme="1"/>
        <rFont val="Calibre"/>
      </rPr>
      <t xml:space="preserve">; and </t>
    </r>
    <r>
      <rPr>
        <b/>
        <sz val="11"/>
        <color theme="1"/>
        <rFont val="Calibre"/>
      </rPr>
      <t>devices</t>
    </r>
    <r>
      <rPr>
        <sz val="11"/>
        <color theme="1"/>
        <rFont val="Calibre"/>
      </rPr>
      <t xml:space="preserve">, as well as in the provision of </t>
    </r>
    <r>
      <rPr>
        <b/>
        <sz val="11"/>
        <color theme="1"/>
        <rFont val="Calibre"/>
      </rPr>
      <t>YouTube consumer subscription services</t>
    </r>
  </si>
  <si>
    <r>
      <t xml:space="preserve">The </t>
    </r>
    <r>
      <rPr>
        <b/>
        <sz val="11"/>
        <color theme="1"/>
        <rFont val="Calibre"/>
      </rPr>
      <t>Google Cloud</t>
    </r>
    <r>
      <rPr>
        <sz val="11"/>
        <color theme="1"/>
        <rFont val="Calibre"/>
      </rPr>
      <t xml:space="preserve"> segment offers </t>
    </r>
    <r>
      <rPr>
        <b/>
        <sz val="11"/>
        <color theme="1"/>
        <rFont val="Calibre"/>
      </rPr>
      <t>AI infrastructure, Vertex AI platform, cybersecurity, data and analytics, and other services</t>
    </r>
    <r>
      <rPr>
        <sz val="11"/>
        <color theme="1"/>
        <rFont val="Calibre"/>
      </rPr>
      <t xml:space="preserve">; </t>
    </r>
    <r>
      <rPr>
        <b/>
        <sz val="11"/>
        <color theme="1"/>
        <rFont val="Calibre"/>
      </rPr>
      <t xml:space="preserve">Google Workspace </t>
    </r>
    <r>
      <rPr>
        <sz val="11"/>
        <color theme="1"/>
        <rFont val="Calibre"/>
      </rPr>
      <t xml:space="preserve">that include </t>
    </r>
    <r>
      <rPr>
        <b/>
        <sz val="11"/>
        <color theme="1"/>
        <rFont val="Calibre"/>
      </rPr>
      <t>cloud-based communication and collaboration tools for enterprises</t>
    </r>
    <r>
      <rPr>
        <sz val="11"/>
        <color theme="1"/>
        <rFont val="Calibre"/>
      </rPr>
      <t xml:space="preserve">, such as </t>
    </r>
    <r>
      <rPr>
        <b/>
        <sz val="11"/>
        <color theme="1"/>
        <rFont val="Calibre"/>
      </rPr>
      <t>Calendar, Gmail, Docs, Drive</t>
    </r>
    <r>
      <rPr>
        <sz val="11"/>
        <color theme="1"/>
        <rFont val="Calibre"/>
      </rPr>
      <t xml:space="preserve">, and </t>
    </r>
    <r>
      <rPr>
        <b/>
        <sz val="11"/>
        <color theme="1"/>
        <rFont val="Calibre"/>
      </rPr>
      <t>Meet</t>
    </r>
    <r>
      <rPr>
        <sz val="11"/>
        <color theme="1"/>
        <rFont val="Calibre"/>
      </rPr>
      <t xml:space="preserve">; and </t>
    </r>
    <r>
      <rPr>
        <b/>
        <sz val="11"/>
        <color theme="1"/>
        <rFont val="Calibre"/>
      </rPr>
      <t>other services for enterprise customers</t>
    </r>
  </si>
  <si>
    <r>
      <t xml:space="preserve">The </t>
    </r>
    <r>
      <rPr>
        <b/>
        <sz val="11"/>
        <color theme="1"/>
        <rFont val="Calibre"/>
      </rPr>
      <t xml:space="preserve">Other Bets </t>
    </r>
    <r>
      <rPr>
        <sz val="11"/>
        <color theme="1"/>
        <rFont val="Calibre"/>
      </rPr>
      <t xml:space="preserve">segment sells </t>
    </r>
    <r>
      <rPr>
        <b/>
        <sz val="11"/>
        <color theme="1"/>
        <rFont val="Calibre"/>
      </rPr>
      <t>healthcare-related</t>
    </r>
    <r>
      <rPr>
        <sz val="11"/>
        <color theme="1"/>
        <rFont val="Calibre"/>
      </rPr>
      <t xml:space="preserve"> and </t>
    </r>
    <r>
      <rPr>
        <b/>
        <sz val="11"/>
        <color theme="1"/>
        <rFont val="Calibre"/>
      </rPr>
      <t>internet services</t>
    </r>
    <r>
      <rPr>
        <sz val="11"/>
        <color theme="1"/>
        <rFont val="Calibre"/>
      </rPr>
      <t xml:space="preserve">. </t>
    </r>
  </si>
  <si>
    <t>The Company was incorporated in 1998 and is headquartered in Mountain View, California</t>
  </si>
  <si>
    <t>Headquartered: Mountain View, California</t>
  </si>
  <si>
    <r>
      <t>Google Cloud Services</t>
    </r>
    <r>
      <rPr>
        <sz val="11"/>
        <color theme="1"/>
        <rFont val="Calibre"/>
      </rPr>
      <t xml:space="preserve"> [can be understood as The Company's enterprise oriented segments]</t>
    </r>
  </si>
  <si>
    <r>
      <t xml:space="preserve">Google Services </t>
    </r>
    <r>
      <rPr>
        <sz val="11"/>
        <color theme="1"/>
        <rFont val="Calibre"/>
      </rPr>
      <t>[can be understood as The Company's consumer oriented segments]</t>
    </r>
  </si>
  <si>
    <t>R&amp;D</t>
  </si>
  <si>
    <t>Sales and Marketing</t>
  </si>
  <si>
    <t>General and Admin</t>
  </si>
  <si>
    <t>Ttl SG&amp;A</t>
  </si>
  <si>
    <t>Operating Income</t>
  </si>
  <si>
    <t>Other Income (expenses), net</t>
  </si>
  <si>
    <t>Pretax Income</t>
  </si>
  <si>
    <t>Taxes</t>
  </si>
  <si>
    <t>NI</t>
  </si>
  <si>
    <t>EPS</t>
  </si>
  <si>
    <t>GOOG, GOOGL</t>
  </si>
  <si>
    <t>Alphabet Inc. (GOOG, GOOGL)</t>
  </si>
  <si>
    <t>https://www.sec.gov/edgar/browse/?CIK=1652044&amp;owner=exclude</t>
  </si>
  <si>
    <t>A/R</t>
  </si>
  <si>
    <t>Other Current Assets</t>
  </si>
  <si>
    <t>LT Investments</t>
  </si>
  <si>
    <t>Deffered Incmoe Tax Assets</t>
  </si>
  <si>
    <t>PP&amp;E</t>
  </si>
  <si>
    <t>Operating Lease Assets</t>
  </si>
  <si>
    <t>Goodwill</t>
  </si>
  <si>
    <t>Other LT Assets</t>
  </si>
  <si>
    <t>Ttl Assets</t>
  </si>
  <si>
    <t>A/P</t>
  </si>
  <si>
    <t>Accrued Compensation</t>
  </si>
  <si>
    <t>Other Current Liabilities</t>
  </si>
  <si>
    <t>Deferred Revenues</t>
  </si>
  <si>
    <t>LT Debt</t>
  </si>
  <si>
    <t>Accrued Revenue Share to Partners</t>
  </si>
  <si>
    <t>LT Operating Lease Liabilities</t>
  </si>
  <si>
    <t>Other LT Liabilities</t>
  </si>
  <si>
    <t>Ttl Liabilities</t>
  </si>
  <si>
    <t>SE</t>
  </si>
  <si>
    <t>Ttl L + SE</t>
  </si>
  <si>
    <t>CapEx</t>
  </si>
  <si>
    <t xml:space="preserve">SC </t>
  </si>
  <si>
    <t>Employees: 183,323 (Q4'24)</t>
  </si>
  <si>
    <t>Q4'26</t>
  </si>
  <si>
    <t>Q3'26</t>
  </si>
  <si>
    <t>Q2'26</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</si>
  <si>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</si>
  <si>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</si>
  <si>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</si>
  <si>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</si>
  <si>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</si>
  <si>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</si>
  <si>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</si>
  <si>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</si>
  <si>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</si>
  <si>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</si>
  <si>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</si>
  <si>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</si>
  <si>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</si>
  <si>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</si>
  <si>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</si>
  <si>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</si>
  <si>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</si>
  <si>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</si>
  <si>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</si>
  <si>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</si>
  <si>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</si>
  <si>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</si>
  <si>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</si>
  <si>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</si>
  <si>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</si>
  <si>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</si>
  <si>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</si>
  <si>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</si>
  <si>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</si>
  <si>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</si>
  <si>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</si>
  <si>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</si>
  <si>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</si>
  <si>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</si>
  <si>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</si>
  <si>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</si>
  <si>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</si>
  <si>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</si>
  <si>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</si>
  <si>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</si>
  <si>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</si>
  <si>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</si>
  <si>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</si>
  <si>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</si>
  <si>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</si>
  <si>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</si>
  <si>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</si>
  <si>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</si>
  <si>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</si>
  <si>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</si>
  <si>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</si>
  <si>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</si>
  <si>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</si>
  <si>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</si>
  <si>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</si>
  <si>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</si>
  <si>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</si>
  <si>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</si>
  <si>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</si>
  <si>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</si>
  <si>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</si>
  <si>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</si>
  <si>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</si>
  <si>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</si>
  <si>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Q2'25</t>
  </si>
  <si>
    <t>Q3'25</t>
  </si>
  <si>
    <t>Q4'25</t>
  </si>
  <si>
    <t>LT Defered Revenues</t>
  </si>
  <si>
    <t>LT Income Taxes Payable</t>
  </si>
  <si>
    <t>LT Income Tax Liability</t>
  </si>
  <si>
    <t>Inventories</t>
  </si>
  <si>
    <t>Intangibles</t>
  </si>
  <si>
    <t>Income Taxes Recievable</t>
  </si>
  <si>
    <t>ST Income Taxes Payable</t>
  </si>
  <si>
    <t>Google's data center investment, particularly for AI, has seen a significant increase in recent years, especially around 2023 and into 2025</t>
  </si>
  <si>
    <t>Massive CapEx spend into these data centers has really cut into FCF in recent quarters … Investment CapEx turns into future earnings … Is that earnings growth already priced in though?</t>
  </si>
  <si>
    <t>[Create AI/ data center CapEx scope to track capital investment, quarterly + projected future investment demands]</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</si>
  <si>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</si>
  <si>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</si>
  <si>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</si>
  <si>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</si>
  <si>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</si>
  <si>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</si>
  <si>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</si>
  <si>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</si>
  <si>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</si>
  <si>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</si>
  <si>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</si>
  <si>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</si>
  <si>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</si>
  <si>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</si>
  <si>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</si>
  <si>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</si>
  <si>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</si>
  <si>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</si>
  <si>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</si>
  <si>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</si>
  <si>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</si>
  <si>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</si>
  <si>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</si>
  <si>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</si>
  <si>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</si>
  <si>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</si>
  <si>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</si>
  <si>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</si>
  <si>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</si>
  <si>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</si>
  <si>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</si>
  <si>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</si>
  <si>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</si>
  <si>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</si>
  <si>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</si>
  <si>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</si>
  <si>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</si>
  <si>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</si>
  <si>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</si>
  <si>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</si>
  <si>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</si>
  <si>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</si>
  <si>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</si>
  <si>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</si>
  <si>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</si>
  <si>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</si>
  <si>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</si>
  <si>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</si>
  <si>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</si>
  <si>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</si>
  <si>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</si>
  <si>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</si>
  <si>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</si>
  <si>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</si>
  <si>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</si>
  <si>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</si>
  <si>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</si>
  <si>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</si>
  <si>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</si>
  <si>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</si>
  <si>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</si>
  <si>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</si>
  <si>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</si>
  <si>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</si>
  <si>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</si>
  <si>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</si>
  <si>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</si>
  <si>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</si>
  <si>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</si>
  <si>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</si>
  <si>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</si>
  <si>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</si>
  <si>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</si>
  <si>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</si>
  <si>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</si>
  <si>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</si>
  <si>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</si>
  <si>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</si>
  <si>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</si>
  <si>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</si>
  <si>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</si>
  <si>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</si>
  <si>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</si>
  <si>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</si>
  <si>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</si>
  <si>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</si>
  <si>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</si>
  <si>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</si>
  <si>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</si>
  <si>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</si>
  <si>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</si>
  <si>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</si>
  <si>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</si>
  <si>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</si>
  <si>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</si>
  <si>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</si>
  <si>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</si>
  <si>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</si>
  <si>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</si>
  <si>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</si>
  <si>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</si>
  <si>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</si>
  <si>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</si>
  <si>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</si>
  <si>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</si>
  <si>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</si>
  <si>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</si>
  <si>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</si>
  <si>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</si>
  <si>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</si>
  <si>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</si>
  <si>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</si>
  <si>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</si>
  <si>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</si>
  <si>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</si>
  <si>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</si>
  <si>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</si>
  <si>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</si>
  <si>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</si>
  <si>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</si>
  <si>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</si>
  <si>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</si>
  <si>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</si>
  <si>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</si>
  <si>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</si>
  <si>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</si>
  <si>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</si>
  <si>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</si>
  <si>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</si>
  <si>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</si>
  <si>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</si>
  <si>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</si>
  <si>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</si>
  <si>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</si>
  <si>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</si>
  <si>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</si>
  <si>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</si>
  <si>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</si>
  <si>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</si>
  <si>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</si>
  <si>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</si>
  <si>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</si>
  <si>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</si>
  <si>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</si>
  <si>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</si>
  <si>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</si>
  <si>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</si>
  <si>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</si>
  <si>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</si>
  <si>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</si>
  <si>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</si>
  <si>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</si>
  <si>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</si>
  <si>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</si>
  <si>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</si>
  <si>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</si>
  <si>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</si>
  <si>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</si>
  <si>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</si>
  <si>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</si>
  <si>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</si>
  <si>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</si>
  <si>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</si>
  <si>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</si>
  <si>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</si>
  <si>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</si>
  <si>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</si>
  <si>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</si>
  <si>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</si>
  <si>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</si>
  <si>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</si>
  <si>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</si>
  <si>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</si>
  <si>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</si>
  <si>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</si>
  <si>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</si>
  <si>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</si>
  <si>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</si>
  <si>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</si>
  <si>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</si>
  <si>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</si>
  <si>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</si>
  <si>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</si>
  <si>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</si>
  <si>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</si>
  <si>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</si>
  <si>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</si>
  <si>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</si>
  <si>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</si>
  <si>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</si>
  <si>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</si>
  <si>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</si>
  <si>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</si>
  <si>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</si>
  <si>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</si>
  <si>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</si>
  <si>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</si>
  <si>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</si>
  <si>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</si>
  <si>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</si>
  <si>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</si>
  <si>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</si>
  <si>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</si>
  <si>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</si>
  <si>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</si>
  <si>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</si>
  <si>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</si>
  <si>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</si>
  <si>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</si>
  <si>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</si>
  <si>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</si>
  <si>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</si>
  <si>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</si>
  <si>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</si>
  <si>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</si>
  <si>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</si>
  <si>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</si>
  <si>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</si>
  <si>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</si>
  <si>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</si>
  <si>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</si>
  <si>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</si>
  <si>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</si>
  <si>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</si>
  <si>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</si>
  <si>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</si>
  <si>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</si>
  <si>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</si>
  <si>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</si>
  <si>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</si>
  <si>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</si>
  <si>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</si>
  <si>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</si>
  <si>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</si>
  <si>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</si>
  <si>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</si>
  <si>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</si>
  <si>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</si>
  <si>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</si>
  <si>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</si>
  <si>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</si>
  <si>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</si>
  <si>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</si>
  <si>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</si>
  <si>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</si>
  <si>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</si>
  <si>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</si>
  <si>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</si>
  <si>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</si>
  <si>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</si>
  <si>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</si>
  <si>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</si>
  <si>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</si>
  <si>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</si>
  <si>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</si>
  <si>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</si>
  <si>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</si>
  <si>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</si>
  <si>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</si>
  <si>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</si>
  <si>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</si>
  <si>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</si>
  <si>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</si>
  <si>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</si>
  <si>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</si>
  <si>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</si>
  <si>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</si>
  <si>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</si>
  <si>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</si>
  <si>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</si>
  <si>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</si>
  <si>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</si>
  <si>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</si>
  <si>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</si>
  <si>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</si>
  <si>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</si>
  <si>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</si>
  <si>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</si>
  <si>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</si>
  <si>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</si>
  <si>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</si>
  <si>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</si>
  <si>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</si>
  <si>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</si>
  <si>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</si>
  <si>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</si>
  <si>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</si>
  <si>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</si>
  <si>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</si>
  <si>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</si>
  <si>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</si>
  <si>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</si>
  <si>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</si>
  <si>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</si>
  <si>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</si>
  <si>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</si>
  <si>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</si>
  <si>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</si>
  <si>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</si>
  <si>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</si>
  <si>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</si>
  <si>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</si>
  <si>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</si>
  <si>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</si>
  <si>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</si>
  <si>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</si>
  <si>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</si>
  <si>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</si>
  <si>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</si>
  <si>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</si>
  <si>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</si>
  <si>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</si>
  <si>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</si>
  <si>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</si>
  <si>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</si>
  <si>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</si>
  <si>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</si>
  <si>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</si>
  <si>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</si>
  <si>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</si>
  <si>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</si>
  <si>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</si>
  <si>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</si>
  <si>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</si>
  <si>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</si>
  <si>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</si>
  <si>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</si>
  <si>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</si>
  <si>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</si>
  <si>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</si>
  <si>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</si>
  <si>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</si>
  <si>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</si>
  <si>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</si>
  <si>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</si>
  <si>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</si>
  <si>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</si>
  <si>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</si>
  <si>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</si>
  <si>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</si>
  <si>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</si>
  <si>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</si>
  <si>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</si>
  <si>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</si>
  <si>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</si>
  <si>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</si>
  <si>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</si>
  <si>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</si>
  <si>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</si>
  <si>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</si>
  <si>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</si>
  <si>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</si>
  <si>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</si>
  <si>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</si>
  <si>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</si>
  <si>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</si>
  <si>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</si>
  <si>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</si>
  <si>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</si>
  <si>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</si>
  <si>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</si>
  <si>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</si>
  <si>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</si>
  <si>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</si>
  <si>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</si>
  <si>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</si>
  <si>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</si>
  <si>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</si>
  <si>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</si>
  <si>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</si>
  <si>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</si>
  <si>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</si>
  <si>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</si>
  <si>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</si>
  <si>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</si>
  <si>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</si>
  <si>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</si>
  <si>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</si>
  <si>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</si>
  <si>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</si>
  <si>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</si>
  <si>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</si>
  <si>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</si>
  <si>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</si>
  <si>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</si>
  <si>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</si>
  <si>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</si>
  <si>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</si>
  <si>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</si>
  <si>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</si>
  <si>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</si>
  <si>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</si>
  <si>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</si>
  <si>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</si>
  <si>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</si>
  <si>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</si>
  <si>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</si>
  <si>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</si>
  <si>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</si>
  <si>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</si>
  <si>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</si>
  <si>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</si>
  <si>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</si>
  <si>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</si>
  <si>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</si>
  <si>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</si>
  <si>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</si>
  <si>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</si>
  <si>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</si>
  <si>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</si>
  <si>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</si>
  <si>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</si>
  <si>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</si>
  <si>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</si>
  <si>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</si>
  <si>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</si>
  <si>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</si>
  <si>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</si>
  <si>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</si>
  <si>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</si>
  <si>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</si>
  <si>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</si>
  <si>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</si>
  <si>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</si>
  <si>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</si>
  <si>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</si>
  <si>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</si>
  <si>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</si>
  <si>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</si>
  <si>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</si>
  <si>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</si>
  <si>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</si>
  <si>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</si>
  <si>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</si>
  <si>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</si>
  <si>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</si>
  <si>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</si>
  <si>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</si>
  <si>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</si>
  <si>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</si>
  <si>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</si>
  <si>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</si>
  <si>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</si>
  <si>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</si>
  <si>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</si>
  <si>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</si>
  <si>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</si>
  <si>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</si>
  <si>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</si>
  <si>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</si>
  <si>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</si>
  <si>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</si>
  <si>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</si>
  <si>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</si>
  <si>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</si>
  <si>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</si>
  <si>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</si>
  <si>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</si>
  <si>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</si>
  <si>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</si>
  <si>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</si>
  <si>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</si>
  <si>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</si>
  <si>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</si>
  <si>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</si>
  <si>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</si>
  <si>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</si>
  <si>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</si>
  <si>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</si>
  <si>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</si>
  <si>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</si>
  <si>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</si>
  <si>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</si>
  <si>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</si>
  <si>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</si>
  <si>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</si>
  <si>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</si>
  <si>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</si>
  <si>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</si>
  <si>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</si>
  <si>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</si>
  <si>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</si>
  <si>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</si>
  <si>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</si>
  <si>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</si>
  <si>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</si>
  <si>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</si>
  <si>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</si>
  <si>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</si>
  <si>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</si>
  <si>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</si>
  <si>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</si>
  <si>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</si>
  <si>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</si>
  <si>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</si>
  <si>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</si>
  <si>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</si>
  <si>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</si>
  <si>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</si>
  <si>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</si>
  <si>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</si>
  <si>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</si>
  <si>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</si>
  <si>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</si>
  <si>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</si>
  <si>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</si>
  <si>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</si>
  <si>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</si>
  <si>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</si>
  <si>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</si>
  <si>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</si>
  <si>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</si>
  <si>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</si>
  <si>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</si>
  <si>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</si>
  <si>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</si>
  <si>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</si>
  <si>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</si>
  <si>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</si>
  <si>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</si>
  <si>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</si>
  <si>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</si>
  <si>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</si>
  <si>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</si>
  <si>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</si>
  <si>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</si>
  <si>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</si>
  <si>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</si>
  <si>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</si>
  <si>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</si>
  <si>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</si>
  <si>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</si>
  <si>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</si>
  <si>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</si>
  <si>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</si>
  <si>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</si>
  <si>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</si>
  <si>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</si>
  <si>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</si>
  <si>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</si>
  <si>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</si>
  <si>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</si>
  <si>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</si>
  <si>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</si>
  <si>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</si>
  <si>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</si>
  <si>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</si>
  <si>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</si>
  <si>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</si>
  <si>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</si>
  <si>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</si>
  <si>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</si>
  <si>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</si>
  <si>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</si>
  <si>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</si>
  <si>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</si>
  <si>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</si>
  <si>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</si>
  <si>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</si>
  <si>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</si>
  <si>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</si>
  <si>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</si>
  <si>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</si>
  <si>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</si>
  <si>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</si>
  <si>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</si>
  <si>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</si>
  <si>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</si>
  <si>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</si>
  <si>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</si>
  <si>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</si>
  <si>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</si>
  <si>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</si>
  <si>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</si>
  <si>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</si>
  <si>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</si>
  <si>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</si>
  <si>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</si>
  <si>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</si>
  <si>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</si>
  <si>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</si>
  <si>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</si>
  <si>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</si>
  <si>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</si>
  <si>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</si>
  <si>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</si>
  <si>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</si>
  <si>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</si>
  <si>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</si>
  <si>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</si>
  <si>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</si>
  <si>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</si>
  <si>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</si>
  <si>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</si>
  <si>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</si>
  <si>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</si>
  <si>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</si>
  <si>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</si>
  <si>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</si>
  <si>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</si>
  <si>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</si>
  <si>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</si>
  <si>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</si>
  <si>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</si>
  <si>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</si>
  <si>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</si>
  <si>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</si>
  <si>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</si>
  <si>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</si>
  <si>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</si>
  <si>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</si>
  <si>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</si>
  <si>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</si>
  <si>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</si>
  <si>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</si>
  <si>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</si>
  <si>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</si>
  <si>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</si>
  <si>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</si>
  <si>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</si>
  <si>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</si>
  <si>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</si>
  <si>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</si>
  <si>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</si>
  <si>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</si>
  <si>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</si>
  <si>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</si>
  <si>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</si>
  <si>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</si>
  <si>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</si>
  <si>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</si>
  <si>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</si>
  <si>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</si>
  <si>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</si>
  <si>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</si>
  <si>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</si>
  <si>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</si>
  <si>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</si>
  <si>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</si>
  <si>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</si>
  <si>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</si>
  <si>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</si>
  <si>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</si>
  <si>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</si>
  <si>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</si>
  <si>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</si>
  <si>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</si>
  <si>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</si>
  <si>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</si>
  <si>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</si>
  <si>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</si>
  <si>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</si>
  <si>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</si>
  <si>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</si>
  <si>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</si>
  <si>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</si>
  <si>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</si>
  <si>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</si>
  <si>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</si>
  <si>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</si>
  <si>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</si>
  <si>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</si>
  <si>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</si>
  <si>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</si>
  <si>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</si>
  <si>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</si>
  <si>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</si>
  <si>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</si>
  <si>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</si>
  <si>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</si>
  <si>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</si>
  <si>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</si>
  <si>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</si>
  <si>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</si>
  <si>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</si>
  <si>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</si>
  <si>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</si>
  <si>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</si>
  <si>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</si>
  <si>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</si>
  <si>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</si>
  <si>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</si>
  <si>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</si>
  <si>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</si>
  <si>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</si>
  <si>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</si>
  <si>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</si>
  <si>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</si>
  <si>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</si>
  <si>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</si>
  <si>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</si>
  <si>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</si>
  <si>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</si>
  <si>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</si>
  <si>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</si>
  <si>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</si>
  <si>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</si>
  <si>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</si>
  <si>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</si>
  <si>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</si>
  <si>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</si>
  <si>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</si>
  <si>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</si>
  <si>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</si>
  <si>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</si>
  <si>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</si>
  <si>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</si>
  <si>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</si>
  <si>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</si>
  <si>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</si>
  <si>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</si>
  <si>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</si>
  <si>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</si>
  <si>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</si>
  <si>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</si>
  <si>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</si>
  <si>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</si>
  <si>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</si>
  <si>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</si>
  <si>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</si>
  <si>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</si>
  <si>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</si>
  <si>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</si>
  <si>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</si>
  <si>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</si>
  <si>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</si>
  <si>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</si>
  <si>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</si>
  <si>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</si>
  <si>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</si>
  <si>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</si>
  <si>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</si>
  <si>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</si>
  <si>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</si>
  <si>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</si>
  <si>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</si>
  <si>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</si>
  <si>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</si>
  <si>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</si>
  <si>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</si>
  <si>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</si>
  <si>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</si>
  <si>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</si>
  <si>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</si>
  <si>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</si>
  <si>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</si>
  <si>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</si>
  <si>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</si>
  <si>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</si>
  <si>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</si>
  <si>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</si>
  <si>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</si>
  <si>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</si>
  <si>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</si>
  <si>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</si>
  <si>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</si>
  <si>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</si>
  <si>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</si>
  <si>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</si>
  <si>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</si>
  <si>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</si>
  <si>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</si>
  <si>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</si>
  <si>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</si>
  <si>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</si>
  <si>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</si>
  <si>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</si>
  <si>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</si>
  <si>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</si>
  <si>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</si>
  <si>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</si>
  <si>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</si>
  <si>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</si>
  <si>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</si>
  <si>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</si>
  <si>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</si>
  <si>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</si>
  <si>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</si>
  <si>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</si>
  <si>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</si>
  <si>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</si>
  <si>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</si>
  <si>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</si>
  <si>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</si>
  <si>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</si>
  <si>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</si>
  <si>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</si>
  <si>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</si>
  <si>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</si>
  <si>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</si>
  <si>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</si>
  <si>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</si>
  <si>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</si>
  <si>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</si>
  <si>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</si>
  <si>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</si>
  <si>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</si>
  <si>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</si>
  <si>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</si>
  <si>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</si>
  <si>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</si>
  <si>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</si>
  <si>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</si>
  <si>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</si>
  <si>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</si>
  <si>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</si>
  <si>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</si>
  <si>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</si>
  <si>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</si>
  <si>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</si>
  <si>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</si>
  <si>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</si>
  <si>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</si>
  <si>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</si>
  <si>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</si>
  <si>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</si>
  <si>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</si>
  <si>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</si>
  <si>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</si>
  <si>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</si>
  <si>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</si>
  <si>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</si>
  <si>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</si>
  <si>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</si>
  <si>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</si>
  <si>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</si>
  <si>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</si>
  <si>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</si>
  <si>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</si>
  <si>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</si>
  <si>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</si>
  <si>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</si>
  <si>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</si>
  <si>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</si>
  <si>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</si>
  <si>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</si>
  <si>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</si>
  <si>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</si>
  <si>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</si>
  <si>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</si>
  <si>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</si>
  <si>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</si>
  <si>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</si>
  <si>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</si>
  <si>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</si>
  <si>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</si>
  <si>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</si>
  <si>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</si>
  <si>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</si>
  <si>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</si>
  <si>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</si>
  <si>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</si>
  <si>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</si>
  <si>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</si>
  <si>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</si>
  <si>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</si>
  <si>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</si>
  <si>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</si>
  <si>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</si>
  <si>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</si>
  <si>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</si>
  <si>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</si>
  <si>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</si>
  <si>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</si>
  <si>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</si>
  <si>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</si>
  <si>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</si>
  <si>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</si>
  <si>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</si>
  <si>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</si>
  <si>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</si>
  <si>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</si>
  <si>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</si>
  <si>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</si>
  <si>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</si>
  <si>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</si>
  <si>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</si>
  <si>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</si>
  <si>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</si>
  <si>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</si>
  <si>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</si>
  <si>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</si>
  <si>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</si>
  <si>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</si>
  <si>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</si>
  <si>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</si>
  <si>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</si>
  <si>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</si>
  <si>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</si>
  <si>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</si>
  <si>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</si>
  <si>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</si>
  <si>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</si>
  <si>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</si>
  <si>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</si>
  <si>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</si>
  <si>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</si>
  <si>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</si>
  <si>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</si>
  <si>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</si>
  <si>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</si>
  <si>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</si>
  <si>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</si>
  <si>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</si>
  <si>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</si>
  <si>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</si>
  <si>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</si>
  <si>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</si>
  <si>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</si>
  <si>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</si>
  <si>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</si>
  <si>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</si>
  <si>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</si>
  <si>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</si>
  <si>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</si>
  <si>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</si>
  <si>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</si>
  <si>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</si>
  <si>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</si>
  <si>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</si>
  <si>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</si>
  <si>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</si>
  <si>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</si>
  <si>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</si>
  <si>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</si>
  <si>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</si>
  <si>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</si>
  <si>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</si>
  <si>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</si>
  <si>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</si>
  <si>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</si>
  <si>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</si>
  <si>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</si>
  <si>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</si>
  <si>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</si>
  <si>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</si>
  <si>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</si>
  <si>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</si>
  <si>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</si>
  <si>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</si>
  <si>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</si>
  <si>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</si>
  <si>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</si>
  <si>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</si>
  <si>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</si>
  <si>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</si>
  <si>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</si>
  <si>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</si>
  <si>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</si>
  <si>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</si>
  <si>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</si>
  <si>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</si>
  <si>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</si>
  <si>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</si>
  <si>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</si>
  <si>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</si>
  <si>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</si>
  <si>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</si>
  <si>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</si>
  <si>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</si>
  <si>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</si>
  <si>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</si>
  <si>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</si>
  <si>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</si>
  <si>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</si>
  <si>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</si>
  <si>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</si>
  <si>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</si>
  <si>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</si>
  <si>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</si>
  <si>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</si>
  <si>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</si>
  <si>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</si>
  <si>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</si>
  <si>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</si>
  <si>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</si>
  <si>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</si>
  <si>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</si>
  <si>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</si>
  <si>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</si>
  <si>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</si>
  <si>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</si>
  <si>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</si>
  <si>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</si>
  <si>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</si>
  <si>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</si>
  <si>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</si>
  <si>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</si>
  <si>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</si>
  <si>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</si>
  <si>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</si>
  <si>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</si>
  <si>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</si>
  <si>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</si>
  <si>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</si>
  <si>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</si>
  <si>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</si>
  <si>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</si>
  <si>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</si>
  <si>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</si>
  <si>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</si>
  <si>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</si>
  <si>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</si>
  <si>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</si>
  <si>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</si>
  <si>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</si>
  <si>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</si>
  <si>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</si>
  <si>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</si>
  <si>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</si>
  <si>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</si>
  <si>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</si>
  <si>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</si>
  <si>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</si>
  <si>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</si>
  <si>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</si>
  <si>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</si>
  <si>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</si>
  <si>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</si>
  <si>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</si>
  <si>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</si>
  <si>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</si>
  <si>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</si>
  <si>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</si>
  <si>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</si>
  <si>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</si>
  <si>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</si>
  <si>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</si>
  <si>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</si>
  <si>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</si>
  <si>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</si>
  <si>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</si>
  <si>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</si>
  <si>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</si>
  <si>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</si>
  <si>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</si>
  <si>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</si>
  <si>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</si>
  <si>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</si>
  <si>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</si>
  <si>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</si>
  <si>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</si>
  <si>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</si>
  <si>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</si>
  <si>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</si>
  <si>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</si>
  <si>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</si>
  <si>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</si>
  <si>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</si>
  <si>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</si>
  <si>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</si>
  <si>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</si>
  <si>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</si>
  <si>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</si>
  <si>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</si>
  <si>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</si>
  <si>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</si>
  <si>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</si>
  <si>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</si>
  <si>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</si>
  <si>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</si>
  <si>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</si>
  <si>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</si>
  <si>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</si>
  <si>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</si>
  <si>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</si>
  <si>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</si>
  <si>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</si>
  <si>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</si>
  <si>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</si>
  <si>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</si>
  <si>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</si>
  <si>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</si>
  <si>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</si>
  <si>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</si>
  <si>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</si>
  <si>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</si>
  <si>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</si>
  <si>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</si>
  <si>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</si>
  <si>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</si>
  <si>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</si>
  <si>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</si>
  <si>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</si>
  <si>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</si>
  <si>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</si>
  <si>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</si>
  <si>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</si>
  <si>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</si>
  <si>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</si>
  <si>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</si>
  <si>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</si>
  <si>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</si>
  <si>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</si>
  <si>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</si>
  <si>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</si>
  <si>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</si>
  <si>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</si>
  <si>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</si>
  <si>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</si>
  <si>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</si>
  <si>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</si>
  <si>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</si>
  <si>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</si>
  <si>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</si>
  <si>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</si>
  <si>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</si>
  <si>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</si>
  <si>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</si>
  <si>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</si>
  <si>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</si>
  <si>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</si>
  <si>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</si>
  <si>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</si>
  <si>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</si>
  <si>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</si>
  <si>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</si>
  <si>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</si>
  <si>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</si>
  <si>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</si>
  <si>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</si>
  <si>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</si>
  <si>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</si>
  <si>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</si>
  <si>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</si>
  <si>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</si>
  <si>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</si>
  <si>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</si>
  <si>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</si>
  <si>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</si>
  <si>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</si>
  <si>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</si>
  <si>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</si>
  <si>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</si>
  <si>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</si>
  <si>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</si>
  <si>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</si>
  <si>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</si>
  <si>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</si>
  <si>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</si>
  <si>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</si>
  <si>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</si>
  <si>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</si>
  <si>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</si>
  <si>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</si>
  <si>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</si>
  <si>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</si>
  <si>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</si>
  <si>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</si>
  <si>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</si>
  <si>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</si>
  <si>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</si>
  <si>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</si>
  <si>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</si>
  <si>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</si>
  <si>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</si>
  <si>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</si>
  <si>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</si>
  <si>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</si>
  <si>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</si>
  <si>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</si>
  <si>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</si>
  <si>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</si>
  <si>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</si>
  <si>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</si>
  <si>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</si>
  <si>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</si>
  <si>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</si>
  <si>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</si>
  <si>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</si>
  <si>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</si>
  <si>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</si>
  <si>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</si>
  <si>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</si>
  <si>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</si>
  <si>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</si>
  <si>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</si>
  <si>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</si>
  <si>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</si>
  <si>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</si>
  <si>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</si>
  <si>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</si>
  <si>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</si>
  <si>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</si>
  <si>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</si>
  <si>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</si>
  <si>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</si>
  <si>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</si>
  <si>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</si>
  <si>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</si>
  <si>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</si>
  <si>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</si>
  <si>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</si>
  <si>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</si>
  <si>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</si>
  <si>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</si>
  <si>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</si>
  <si>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</si>
  <si>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</si>
  <si>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</si>
  <si>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</si>
  <si>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</si>
  <si>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</si>
  <si>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</si>
  <si>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</si>
  <si>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</si>
  <si>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</si>
  <si>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</si>
  <si>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</si>
  <si>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</si>
  <si>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</si>
  <si>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</si>
  <si>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</si>
  <si>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</si>
  <si>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</si>
  <si>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</si>
  <si>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</si>
  <si>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</si>
  <si>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</si>
  <si>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</si>
  <si>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</si>
  <si>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</si>
  <si>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</si>
  <si>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</si>
  <si>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</si>
  <si>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</si>
  <si>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</si>
  <si>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</si>
  <si>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</si>
  <si>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</si>
  <si>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</si>
  <si>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</si>
  <si>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</si>
  <si>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</si>
  <si>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</si>
  <si>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</si>
  <si>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</si>
  <si>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</si>
  <si>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</si>
  <si>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</si>
  <si>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</si>
  <si>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</si>
  <si>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</si>
  <si>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</si>
  <si>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</si>
  <si>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</si>
  <si>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</si>
  <si>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</si>
  <si>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</si>
  <si>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</si>
  <si>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</si>
  <si>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</si>
  <si>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</si>
  <si>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</si>
  <si>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</si>
  <si>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</si>
  <si>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</si>
  <si>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</si>
  <si>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</si>
  <si>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</si>
  <si>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</si>
  <si>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</si>
  <si>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</si>
  <si>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</si>
  <si>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</si>
  <si>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</si>
  <si>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</si>
  <si>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</si>
  <si>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</si>
  <si>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</si>
  <si>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</si>
  <si>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</si>
  <si>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</si>
  <si>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</si>
  <si>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</si>
  <si>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</si>
  <si>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</si>
  <si>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</si>
  <si>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</si>
  <si>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</si>
  <si>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</si>
  <si>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</si>
  <si>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</si>
  <si>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</si>
  <si>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</si>
  <si>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</si>
  <si>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</si>
  <si>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</si>
  <si>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</si>
  <si>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</si>
  <si>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</si>
  <si>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</si>
  <si>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</si>
  <si>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</si>
  <si>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</si>
  <si>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</si>
  <si>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</si>
  <si>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</si>
  <si>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</si>
  <si>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</si>
  <si>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</si>
  <si>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</si>
  <si>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</si>
  <si>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</si>
  <si>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</si>
  <si>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</si>
  <si>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</si>
  <si>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</si>
  <si>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</si>
  <si>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</si>
  <si>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</si>
  <si>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</si>
  <si>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</si>
  <si>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</si>
  <si>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</si>
  <si>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</si>
  <si>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</si>
  <si>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</si>
  <si>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</si>
  <si>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</si>
  <si>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</si>
  <si>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</si>
  <si>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</si>
  <si>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</si>
  <si>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</si>
  <si>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</si>
  <si>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</si>
  <si>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</si>
  <si>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</si>
  <si>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</si>
  <si>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</si>
  <si>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</si>
  <si>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</si>
  <si>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</si>
  <si>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</si>
  <si>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</si>
  <si>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</si>
  <si>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</si>
  <si>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</si>
  <si>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</si>
  <si>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</si>
  <si>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</si>
  <si>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</si>
  <si>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</si>
  <si>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</si>
  <si>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</si>
  <si>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</si>
  <si>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</si>
  <si>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</si>
  <si>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</si>
  <si>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</si>
  <si>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</si>
  <si>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</si>
  <si>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</si>
  <si>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</si>
  <si>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</si>
  <si>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</si>
  <si>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</si>
  <si>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</si>
  <si>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</si>
  <si>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</si>
  <si>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</si>
  <si>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</si>
  <si>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</si>
  <si>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</si>
  <si>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</si>
  <si>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</si>
  <si>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</si>
  <si>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</si>
  <si>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</si>
  <si>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</si>
  <si>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</si>
  <si>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</si>
  <si>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</si>
  <si>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</si>
  <si>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</si>
  <si>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</si>
  <si>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</si>
  <si>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</si>
  <si>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</si>
  <si>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</si>
  <si>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</si>
  <si>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</si>
  <si>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</si>
  <si>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</si>
  <si>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</si>
  <si>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</si>
  <si>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</si>
  <si>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</si>
  <si>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</si>
  <si>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</si>
  <si>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</si>
  <si>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</si>
  <si>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</si>
  <si>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</si>
  <si>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</si>
  <si>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</si>
  <si>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</si>
  <si>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</si>
  <si>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</si>
  <si>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</si>
  <si>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</si>
  <si>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</si>
  <si>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</si>
  <si>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</si>
  <si>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</si>
  <si>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</si>
  <si>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</si>
  <si>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</si>
  <si>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</si>
  <si>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</si>
  <si>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</si>
  <si>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</si>
  <si>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</si>
  <si>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</si>
  <si>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</si>
  <si>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</si>
  <si>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</si>
  <si>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</si>
  <si>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</si>
  <si>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</si>
  <si>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</si>
  <si>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</si>
  <si>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</si>
  <si>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</si>
  <si>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</si>
  <si>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</si>
  <si>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</si>
  <si>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</si>
  <si>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</si>
  <si>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</si>
  <si>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</si>
  <si>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</si>
  <si>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</si>
  <si>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</si>
  <si>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</si>
  <si>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</si>
  <si>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</si>
  <si>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</si>
  <si>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</si>
  <si>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</si>
  <si>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</si>
  <si>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</si>
  <si>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</si>
  <si>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</si>
  <si>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</si>
  <si>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</si>
  <si>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</si>
  <si>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</si>
  <si>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</si>
  <si>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</si>
  <si>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</si>
  <si>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</si>
  <si>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</si>
  <si>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</si>
  <si>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</si>
  <si>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</si>
  <si>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</si>
  <si>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</si>
  <si>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</si>
  <si>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</si>
  <si>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</si>
  <si>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</si>
  <si>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</si>
  <si>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</si>
  <si>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</si>
  <si>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</si>
  <si>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</si>
  <si>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</si>
  <si>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</si>
  <si>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</si>
  <si>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</si>
  <si>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</si>
  <si>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</si>
  <si>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</si>
  <si>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</si>
  <si>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</si>
  <si>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</si>
  <si>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</si>
  <si>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</si>
  <si>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</si>
  <si>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</si>
  <si>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</si>
  <si>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</si>
  <si>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</si>
  <si>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</si>
  <si>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</si>
  <si>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</si>
  <si>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</si>
  <si>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</si>
  <si>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</si>
  <si>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</si>
  <si>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</si>
  <si>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</si>
  <si>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</si>
  <si>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</si>
  <si>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</si>
  <si>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</si>
  <si>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</si>
  <si>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</si>
  <si>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</si>
  <si>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</si>
  <si>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</si>
  <si>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</si>
  <si>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</si>
  <si>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</si>
  <si>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</si>
  <si>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</si>
  <si>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</si>
  <si>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</si>
  <si>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</si>
  <si>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</si>
  <si>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</si>
  <si>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</si>
  <si>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</si>
  <si>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</si>
  <si>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</si>
  <si>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</si>
  <si>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</si>
  <si>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</si>
  <si>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</si>
  <si>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</si>
  <si>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</si>
  <si>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</si>
  <si>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</si>
  <si>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</si>
  <si>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</si>
  <si>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</si>
  <si>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</si>
  <si>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</si>
  <si>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</si>
  <si>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</si>
  <si>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</si>
  <si>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</si>
  <si>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</si>
  <si>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</si>
  <si>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</si>
  <si>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</si>
  <si>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</si>
  <si>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</si>
  <si>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</si>
  <si>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</si>
  <si>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</si>
  <si>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</si>
  <si>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</si>
  <si>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</si>
  <si>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</si>
  <si>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</si>
  <si>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</si>
  <si>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</si>
  <si>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</si>
  <si>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</si>
  <si>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</si>
  <si>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</si>
  <si>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</si>
  <si>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</si>
  <si>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</si>
  <si>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</si>
  <si>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</si>
  <si>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</si>
  <si>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</si>
  <si>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</si>
  <si>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</si>
  <si>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</si>
  <si>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</si>
  <si>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</si>
  <si>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</si>
  <si>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</si>
  <si>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</si>
  <si>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</si>
  <si>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</si>
  <si>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</si>
  <si>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</si>
  <si>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</si>
  <si>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</si>
  <si>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</si>
  <si>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</si>
  <si>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</si>
  <si>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</si>
  <si>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</si>
  <si>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</si>
  <si>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</si>
  <si>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</si>
  <si>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</si>
  <si>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</si>
  <si>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</si>
  <si>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</si>
  <si>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</si>
  <si>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</si>
  <si>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</si>
  <si>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</si>
  <si>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</si>
  <si>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</si>
  <si>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</si>
  <si>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</si>
  <si>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</si>
  <si>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</si>
  <si>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</si>
  <si>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</si>
  <si>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</si>
  <si>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</si>
  <si>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</si>
  <si>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</si>
  <si>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</si>
  <si>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</si>
  <si>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</si>
  <si>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</si>
  <si>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</si>
  <si>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</si>
  <si>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</si>
  <si>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</si>
  <si>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</si>
  <si>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</si>
  <si>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</si>
  <si>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</si>
  <si>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</si>
  <si>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</si>
  <si>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</si>
  <si>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</si>
  <si>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</si>
  <si>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</si>
  <si>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</si>
  <si>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</si>
  <si>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</si>
  <si>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</si>
  <si>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</si>
  <si>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</si>
  <si>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</si>
  <si>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</si>
  <si>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</si>
  <si>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</si>
  <si>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</si>
  <si>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</si>
  <si>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</si>
  <si>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</si>
  <si>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</si>
  <si>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</si>
  <si>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</si>
  <si>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</si>
  <si>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</si>
  <si>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</si>
  <si>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</si>
  <si>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</si>
  <si>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</si>
  <si>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</si>
  <si>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</si>
  <si>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</si>
  <si>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</si>
  <si>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</si>
  <si>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</si>
  <si>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</si>
  <si>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</si>
  <si>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</si>
  <si>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</si>
  <si>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</si>
  <si>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</si>
  <si>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</si>
  <si>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</si>
  <si>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</si>
  <si>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</si>
  <si>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</si>
  <si>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</si>
  <si>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</si>
  <si>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</si>
  <si>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</si>
  <si>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</si>
  <si>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</si>
  <si>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</si>
  <si>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</si>
  <si>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</si>
  <si>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</si>
  <si>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</si>
  <si>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</si>
  <si>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</si>
  <si>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</si>
  <si>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</si>
  <si>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</si>
  <si>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</si>
  <si>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</si>
  <si>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</si>
  <si>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</si>
  <si>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</si>
  <si>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</si>
  <si>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</si>
  <si>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</si>
  <si>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</si>
  <si>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</si>
  <si>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</si>
  <si>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</si>
  <si>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</si>
  <si>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</si>
  <si>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</si>
  <si>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</si>
  <si>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</si>
  <si>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</si>
  <si>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</si>
  <si>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</si>
  <si>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</si>
  <si>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</si>
  <si>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</si>
  <si>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</si>
  <si>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</si>
  <si>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</si>
  <si>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</si>
  <si>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</si>
  <si>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</si>
  <si>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</si>
  <si>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</si>
  <si>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</si>
  <si>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</si>
  <si>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</si>
  <si>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</si>
  <si>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</si>
  <si>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</si>
  <si>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</si>
  <si>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</si>
  <si>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</si>
  <si>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</si>
  <si>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</si>
  <si>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</si>
  <si>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</si>
  <si>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</si>
  <si>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</si>
  <si>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</si>
  <si>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</si>
  <si>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</si>
  <si>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</si>
  <si>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</si>
  <si>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</si>
  <si>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</si>
  <si>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</si>
  <si>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</si>
  <si>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</si>
  <si>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</si>
  <si>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</si>
  <si>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</si>
  <si>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</si>
  <si>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</si>
  <si>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</si>
  <si>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</si>
  <si>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</si>
  <si>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</si>
  <si>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</si>
  <si>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</si>
  <si>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</si>
  <si>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</si>
  <si>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</si>
  <si>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</si>
  <si>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</si>
  <si>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</si>
  <si>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</si>
  <si>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</si>
  <si>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</si>
  <si>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</si>
  <si>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t>Tue, 13 May 2025 00:00:00 GMT</t>
  </si>
  <si>
    <t>Wed, 14 May 2025 00:00:00 GMT</t>
  </si>
  <si>
    <t>Thu, 15 May 2025 00:00:00 GMT</t>
  </si>
  <si>
    <t>Fri, 16 May 2025 00:00:00 GMT</t>
  </si>
  <si>
    <t>Mon, 19 May 2025 00:00:00 GMT</t>
  </si>
  <si>
    <t>Tue, 20 May 2025 00:00:00 GMT</t>
  </si>
  <si>
    <r>
      <rPr>
        <i/>
        <sz val="11"/>
        <color theme="1"/>
        <rFont val="Calibre"/>
      </rPr>
      <t>1760</t>
    </r>
    <r>
      <rPr>
        <sz val="11"/>
        <color theme="1"/>
        <rFont val="Calibre"/>
      </rPr>
      <t xml:space="preserve"> Trading Days? (From: </t>
    </r>
    <r>
      <rPr>
        <i/>
        <sz val="11"/>
        <color theme="1"/>
        <rFont val="Calibre"/>
      </rPr>
      <t>5/21/18 - 5/21/25</t>
    </r>
    <r>
      <rPr>
        <sz val="11"/>
        <color theme="1"/>
        <rFont val="Calibre"/>
      </rPr>
      <t>)</t>
    </r>
  </si>
  <si>
    <t xml:space="preserve">[GOOGL] Historical Return Histogram (5/21/2025) </t>
  </si>
  <si>
    <t>More</t>
  </si>
  <si>
    <t xml:space="preserve">Revenue Breakdown by Segment </t>
  </si>
  <si>
    <t>Q1'26</t>
  </si>
  <si>
    <t>Q1'27</t>
  </si>
  <si>
    <t>IPO: Aug. 19, 2004 -- $23B valuation</t>
  </si>
  <si>
    <t>Functions include search ads, display ads, video ads, and programmatic ad buying</t>
  </si>
  <si>
    <r>
      <rPr>
        <b/>
        <sz val="11"/>
        <color theme="1"/>
        <rFont val="Calibre"/>
      </rPr>
      <t>Core product</t>
    </r>
    <r>
      <rPr>
        <sz val="11"/>
        <color theme="1"/>
        <rFont val="Calibre"/>
      </rPr>
      <t xml:space="preserve"> that launched Google, providing web search capabilities and generating significant ad revenue through sponsored search results</t>
    </r>
  </si>
  <si>
    <r>
      <t xml:space="preserve">It operates through </t>
    </r>
    <r>
      <rPr>
        <b/>
        <sz val="11"/>
        <color theme="1"/>
        <rFont val="Calibre"/>
      </rPr>
      <t>Google Services, Google Cloud,</t>
    </r>
    <r>
      <rPr>
        <sz val="11"/>
        <color theme="1"/>
        <rFont val="Calibre"/>
      </rPr>
      <t xml:space="preserve"> and </t>
    </r>
    <r>
      <rPr>
        <b/>
        <sz val="11"/>
        <color theme="1"/>
        <rFont val="Calibre"/>
      </rPr>
      <t>Other Bets</t>
    </r>
    <r>
      <rPr>
        <sz val="11"/>
        <color theme="1"/>
        <rFont val="Calibre"/>
      </rPr>
      <t xml:space="preserve"> segments:</t>
    </r>
  </si>
  <si>
    <r>
      <t xml:space="preserve">As The Company's founders Larry and Sergey wrote in the original founders' letter, </t>
    </r>
    <r>
      <rPr>
        <b/>
        <sz val="11"/>
        <color theme="1"/>
        <rFont val="Calibre"/>
      </rPr>
      <t>"Google is not a conventional company. We do not intend to become one"</t>
    </r>
  </si>
  <si>
    <t>That unconventional spirit has been a driving force throughout our history, inspiring us to tackle big problems and invest in moonshots. It led us to be a pioneer in the development of AI and, since 2016, an AI-first company. The Company continues this work under the leadership of Alphabet and Google CEO, Sundar Pichai</t>
  </si>
  <si>
    <t>Overview:</t>
  </si>
  <si>
    <r>
      <rPr>
        <b/>
        <sz val="11"/>
        <color theme="1"/>
        <rFont val="Calibre"/>
      </rPr>
      <t>Alphabet is a collection of businesses</t>
    </r>
    <r>
      <rPr>
        <sz val="11"/>
        <color theme="1"/>
        <rFont val="Calibre"/>
      </rPr>
      <t xml:space="preserve"> — the </t>
    </r>
    <r>
      <rPr>
        <b/>
        <sz val="11"/>
        <color theme="1"/>
        <rFont val="Calibre"/>
      </rPr>
      <t>largest</t>
    </r>
    <r>
      <rPr>
        <sz val="11"/>
        <color theme="1"/>
        <rFont val="Calibre"/>
      </rPr>
      <t xml:space="preserve"> of which is </t>
    </r>
    <r>
      <rPr>
        <b/>
        <sz val="11"/>
        <color theme="1"/>
        <rFont val="Calibre"/>
      </rPr>
      <t>Google</t>
    </r>
  </si>
  <si>
    <r>
      <t xml:space="preserve">The Company reports </t>
    </r>
    <r>
      <rPr>
        <b/>
        <sz val="11"/>
        <color theme="1"/>
        <rFont val="Calibre"/>
      </rPr>
      <t>Google in two segments</t>
    </r>
    <r>
      <rPr>
        <sz val="11"/>
        <color theme="1"/>
        <rFont val="Calibre"/>
      </rPr>
      <t xml:space="preserve">, Google </t>
    </r>
    <r>
      <rPr>
        <b/>
        <sz val="11"/>
        <color theme="1"/>
        <rFont val="Calibre"/>
      </rPr>
      <t>Services</t>
    </r>
    <r>
      <rPr>
        <sz val="11"/>
        <color theme="1"/>
        <rFont val="Calibre"/>
      </rPr>
      <t xml:space="preserve"> and Google </t>
    </r>
    <r>
      <rPr>
        <b/>
        <sz val="11"/>
        <color theme="1"/>
        <rFont val="Calibre"/>
      </rPr>
      <t>Cloud</t>
    </r>
    <r>
      <rPr>
        <sz val="11"/>
        <color theme="1"/>
        <rFont val="Calibre"/>
      </rPr>
      <t xml:space="preserve">, and all </t>
    </r>
    <r>
      <rPr>
        <b/>
        <sz val="11"/>
        <color theme="1"/>
        <rFont val="Calibre"/>
      </rPr>
      <t>non-Google</t>
    </r>
    <r>
      <rPr>
        <sz val="11"/>
        <color theme="1"/>
        <rFont val="Calibre"/>
      </rPr>
      <t xml:space="preserve"> businesses collectively </t>
    </r>
    <r>
      <rPr>
        <b/>
        <sz val="11"/>
        <color theme="1"/>
        <rFont val="Calibre"/>
      </rPr>
      <t>as Other Bets</t>
    </r>
  </si>
  <si>
    <t>Alphabet Inc. offers various products and platforms on a global scale</t>
  </si>
  <si>
    <r>
      <t xml:space="preserve">Supporting these businesses, we have </t>
    </r>
    <r>
      <rPr>
        <b/>
        <sz val="11"/>
        <color theme="1"/>
        <rFont val="Calibre"/>
      </rPr>
      <t>centralized certain AI-related research and development</t>
    </r>
    <r>
      <rPr>
        <sz val="11"/>
        <color theme="1"/>
        <rFont val="Calibre"/>
      </rPr>
      <t xml:space="preserve"> which is reported in Alphabet-level activities</t>
    </r>
  </si>
  <si>
    <t>https://youtu.be/rulGP9cqS4w?si=MsfN_5tCXlkbm57A</t>
  </si>
  <si>
    <t>Company</t>
  </si>
  <si>
    <t>Business</t>
  </si>
  <si>
    <t>Price</t>
  </si>
  <si>
    <t>Motorola Mobility</t>
  </si>
  <si>
    <t>Mobile device manufacturer</t>
  </si>
  <si>
    <t>$12.5 billion</t>
  </si>
  <si>
    <t>Android, Google TV, Android TV, Patent portfolio</t>
  </si>
  <si>
    <t>Nest Labs</t>
  </si>
  <si>
    <t>Home automation</t>
  </si>
  <si>
    <t>$3.2 billion</t>
  </si>
  <si>
    <t>DoubleClick</t>
  </si>
  <si>
    <t>Online advertising</t>
  </si>
  <si>
    <t>$3.1 billion</t>
  </si>
  <si>
    <t>AdSense</t>
  </si>
  <si>
    <t>Looker</t>
  </si>
  <si>
    <t>Big data, analytics</t>
  </si>
  <si>
    <t>$2.6 billion</t>
  </si>
  <si>
    <t>Google Cloud Platform</t>
  </si>
  <si>
    <t>Fitbit</t>
  </si>
  <si>
    <t>Wearables</t>
  </si>
  <si>
    <t>$2.1 billion</t>
  </si>
  <si>
    <t>Wear OS</t>
  </si>
  <si>
    <t>YouTube</t>
  </si>
  <si>
    <t>Video sharing</t>
  </si>
  <si>
    <t>$1.65 billion</t>
  </si>
  <si>
    <t>Waze</t>
  </si>
  <si>
    <t>GPS navigation software</t>
  </si>
  <si>
    <t>$1.3 billion</t>
  </si>
  <si>
    <t>Google Maps, Waze</t>
  </si>
  <si>
    <t>HTC</t>
  </si>
  <si>
    <t>Telecommunications</t>
  </si>
  <si>
    <t>$1.1 billion</t>
  </si>
  <si>
    <t>Google Pixel</t>
  </si>
  <si>
    <t>AdMob</t>
  </si>
  <si>
    <t>Mobile advertising</t>
  </si>
  <si>
    <t>$750 million</t>
  </si>
  <si>
    <t>DoubleClick, Invite Media</t>
  </si>
  <si>
    <t>ITA Software</t>
  </si>
  <si>
    <t>Travel technology</t>
  </si>
  <si>
    <t>$700 million</t>
  </si>
  <si>
    <t>Google Flights</t>
  </si>
  <si>
    <t>Complete List of Alphabet Acquisitions Since Inception</t>
  </si>
  <si>
    <t>Date of Acquisition</t>
  </si>
  <si>
    <t>Used as or Integrated With</t>
  </si>
  <si>
    <t>Feb. 7, 2014</t>
  </si>
  <si>
    <t>Apr. X, 2007</t>
  </si>
  <si>
    <t>Jan. X, 2020</t>
  </si>
  <si>
    <t>Feb. X, 2020</t>
  </si>
  <si>
    <t>Oct. 9, 2006</t>
  </si>
  <si>
    <t>June X, 2013</t>
  </si>
  <si>
    <t>Sept. 21, 2017</t>
  </si>
  <si>
    <t>Nov. X, 2009</t>
  </si>
  <si>
    <t>Apr. 8, 2011</t>
  </si>
  <si>
    <t>List of Other Acquisitions</t>
  </si>
  <si>
    <t>Price (USD)</t>
  </si>
  <si>
    <t>DejaNews</t>
  </si>
  <si>
    <t>Usenet</t>
  </si>
  <si>
    <t>Google Groups</t>
  </si>
  <si>
    <t>Outride</t>
  </si>
  <si>
    <t>Web search engine</t>
  </si>
  <si>
    <t>Google Personalized Search</t>
  </si>
  <si>
    <t>Pyra Labs</t>
  </si>
  <si>
    <t>Weblog software</t>
  </si>
  <si>
    <t>Blogger</t>
  </si>
  <si>
    <t>Neotonic Software</t>
  </si>
  <si>
    <t>Google Groups, Gmail</t>
  </si>
  <si>
    <t>Applied Semantics</t>
  </si>
  <si>
    <t>AdSense, AdWords</t>
  </si>
  <si>
    <t>Kaltix</t>
  </si>
  <si>
    <t>Sprinks</t>
  </si>
  <si>
    <t>Genius Labs</t>
  </si>
  <si>
    <t>Blogging</t>
  </si>
  <si>
    <t>Ignite Logic</t>
  </si>
  <si>
    <t>HTML editor</t>
  </si>
  <si>
    <t>Google Sites</t>
  </si>
  <si>
    <t>Picasa</t>
  </si>
  <si>
    <t>Image organizer</t>
  </si>
  <si>
    <t>Picasa, Blogger</t>
  </si>
  <si>
    <t>ZipDash</t>
  </si>
  <si>
    <t>Traffic analysis</t>
  </si>
  <si>
    <t>Google Maps</t>
  </si>
  <si>
    <t>Where2</t>
  </si>
  <si>
    <t>Map analysis</t>
  </si>
  <si>
    <t>Keyhole</t>
  </si>
  <si>
    <t>Google Maps, Google Earth</t>
  </si>
  <si>
    <t>Urchin Software Corporation</t>
  </si>
  <si>
    <t>Web analytics</t>
  </si>
  <si>
    <t>Google Analytics</t>
  </si>
  <si>
    <t>Dodgeball</t>
  </si>
  <si>
    <t>Social networking service</t>
  </si>
  <si>
    <t>Google Latitude</t>
  </si>
  <si>
    <t>Akwan Information Technologies</t>
  </si>
  <si>
    <t>Search engines</t>
  </si>
  <si>
    <t>Internet backbone</t>
  </si>
  <si>
    <t>Reqwireless</t>
  </si>
  <si>
    <t>Mobile browser</t>
  </si>
  <si>
    <t>Google Mobile</t>
  </si>
  <si>
    <t>Android</t>
  </si>
  <si>
    <t>Mobile operating system</t>
  </si>
  <si>
    <t>Skia</t>
  </si>
  <si>
    <t>Graphics library</t>
  </si>
  <si>
    <t>Phatbits</t>
  </si>
  <si>
    <t>Widget engine</t>
  </si>
  <si>
    <t>Google Desktop</t>
  </si>
  <si>
    <t>allPAY</t>
  </si>
  <si>
    <t>Mobile software</t>
  </si>
  <si>
    <t>bruNET</t>
  </si>
  <si>
    <t>dMarc Broadcasting</t>
  </si>
  <si>
    <t>Advertising</t>
  </si>
  <si>
    <t>Measure Map</t>
  </si>
  <si>
    <t>Upstartle</t>
  </si>
  <si>
    <t>Word processor</t>
  </si>
  <si>
    <t>Google Docs</t>
  </si>
  <si>
    <t>@Last Software</t>
  </si>
  <si>
    <t>3D modeling software</t>
  </si>
  <si>
    <t>Google Sketchup</t>
  </si>
  <si>
    <t>Orion</t>
  </si>
  <si>
    <t>Google Search</t>
  </si>
  <si>
    <t>2Web Technologies</t>
  </si>
  <si>
    <t>Online spreadsheets</t>
  </si>
  <si>
    <t>Google Spreadsheet</t>
  </si>
  <si>
    <t>Neven Vision Germany</t>
  </si>
  <si>
    <t>Computer vision</t>
  </si>
  <si>
    <t>Picasa, Google Goggles</t>
  </si>
  <si>
    <t>JotSpot</t>
  </si>
  <si>
    <t>Web application</t>
  </si>
  <si>
    <t>Endoxon</t>
  </si>
  <si>
    <t>Mapping</t>
  </si>
  <si>
    <t>Adscape</t>
  </si>
  <si>
    <t>In-game advertising</t>
  </si>
  <si>
    <t>Trendalyzer</t>
  </si>
  <si>
    <t>Statistical software</t>
  </si>
  <si>
    <t>Crusix</t>
  </si>
  <si>
    <t>Tonic Systems</t>
  </si>
  <si>
    <t>Presentation program</t>
  </si>
  <si>
    <t>Marratech</t>
  </si>
  <si>
    <t>Videoconferencing</t>
  </si>
  <si>
    <t>Google Talk, Google Hangouts</t>
  </si>
  <si>
    <t>GreenBorder</t>
  </si>
  <si>
    <t>Computer security</t>
  </si>
  <si>
    <t>Google Chrome</t>
  </si>
  <si>
    <t>Panoramio</t>
  </si>
  <si>
    <t>Photo sharing</t>
  </si>
  <si>
    <t>FeedBurner</t>
  </si>
  <si>
    <t>Web feed</t>
  </si>
  <si>
    <t>PeakStream</t>
  </si>
  <si>
    <t>Parallel processing</t>
  </si>
  <si>
    <t>Zenter</t>
  </si>
  <si>
    <t>GrandCentral</t>
  </si>
  <si>
    <t>Voice over IP</t>
  </si>
  <si>
    <t>Google Voice</t>
  </si>
  <si>
    <t>ImageAmerica</t>
  </si>
  <si>
    <t>Aerial photography</t>
  </si>
  <si>
    <t>Postini</t>
  </si>
  <si>
    <t>Communications security</t>
  </si>
  <si>
    <t>Gmail</t>
  </si>
  <si>
    <t>Zingku</t>
  </si>
  <si>
    <t>Jaiku</t>
  </si>
  <si>
    <t>Microblogging</t>
  </si>
  <si>
    <t>Omnisio</t>
  </si>
  <si>
    <t>Online video</t>
  </si>
  <si>
    <t>TNC</t>
  </si>
  <si>
    <t>On2</t>
  </si>
  <si>
    <t>Video compression</t>
  </si>
  <si>
    <t>WebM, YouTube</t>
  </si>
  <si>
    <t>reCAPTCHA</t>
  </si>
  <si>
    <t>Security</t>
  </si>
  <si>
    <t>Google Books, reCAPTCHA</t>
  </si>
  <si>
    <t>Gizmo5</t>
  </si>
  <si>
    <t>Teracent</t>
  </si>
  <si>
    <t>AppJet</t>
  </si>
  <si>
    <t>Google Wave, Google Docs</t>
  </si>
  <si>
    <t>Aardvark</t>
  </si>
  <si>
    <t>Social search</t>
  </si>
  <si>
    <t>reMail</t>
  </si>
  <si>
    <t>Email search</t>
  </si>
  <si>
    <t>Picnik</t>
  </si>
  <si>
    <t>Photo editing</t>
  </si>
  <si>
    <t>DocVerse</t>
  </si>
  <si>
    <t>Episodic</t>
  </si>
  <si>
    <t>Plink</t>
  </si>
  <si>
    <t>Visual search engine</t>
  </si>
  <si>
    <t>Google Goggles</t>
  </si>
  <si>
    <t>Agnilux</t>
  </si>
  <si>
    <t>Server CPUs</t>
  </si>
  <si>
    <t>LabPixies</t>
  </si>
  <si>
    <t>Gadgets</t>
  </si>
  <si>
    <t>iGoogle, Android</t>
  </si>
  <si>
    <t>BumpTop</t>
  </si>
  <si>
    <t>Desktop environment</t>
  </si>
  <si>
    <t>Global IP Solutions</t>
  </si>
  <si>
    <t>WebRTC</t>
  </si>
  <si>
    <t>Simplify Media</t>
  </si>
  <si>
    <t>Music streaming</t>
  </si>
  <si>
    <t>Ruba.com</t>
  </si>
  <si>
    <t>Travel</t>
  </si>
  <si>
    <t>iGoogle</t>
  </si>
  <si>
    <t>Invite Media</t>
  </si>
  <si>
    <t>Metaweb</t>
  </si>
  <si>
    <t>Semantic search</t>
  </si>
  <si>
    <t>Zetawire</t>
  </si>
  <si>
    <t>Mobile payment, NFC</t>
  </si>
  <si>
    <t>Android, Google Wallet, Google Checkout</t>
  </si>
  <si>
    <t>Instantiations</t>
  </si>
  <si>
    <t>Java/Eclipse/AJAX developer tools</t>
  </si>
  <si>
    <t>Google Web Toolkit</t>
  </si>
  <si>
    <t>Slide.com</t>
  </si>
  <si>
    <t>Social gaming</t>
  </si>
  <si>
    <t>Google+, Orkut, Google Play</t>
  </si>
  <si>
    <t>Jambool</t>
  </si>
  <si>
    <t>Social Gold payment</t>
  </si>
  <si>
    <t>Google+, Orkut</t>
  </si>
  <si>
    <t>Like.com</t>
  </si>
  <si>
    <t>Google Shopping</t>
  </si>
  <si>
    <t>Angstro</t>
  </si>
  <si>
    <t>Google, Google Alert</t>
  </si>
  <si>
    <t>SocialDeck</t>
  </si>
  <si>
    <t>Google, Google+</t>
  </si>
  <si>
    <t>Quiksee</t>
  </si>
  <si>
    <t>Plannr</t>
  </si>
  <si>
    <t>Schedule management</t>
  </si>
  <si>
    <t>Google+</t>
  </si>
  <si>
    <t>BlindType</t>
  </si>
  <si>
    <t>Touch typing</t>
  </si>
  <si>
    <t>Phonetic Arts</t>
  </si>
  <si>
    <t>Speech synthesis</t>
  </si>
  <si>
    <t>Google Voice, Google Translate</t>
  </si>
  <si>
    <t>Widevine Technologies</t>
  </si>
  <si>
    <t>DRM</t>
  </si>
  <si>
    <t>Google TV</t>
  </si>
  <si>
    <t>eBook Technologies</t>
  </si>
  <si>
    <t>E-book</t>
  </si>
  <si>
    <t>Google Books</t>
  </si>
  <si>
    <t>SayNow</t>
  </si>
  <si>
    <t>Voice recognition</t>
  </si>
  <si>
    <t>Zynamics</t>
  </si>
  <si>
    <t>Project Zero</t>
  </si>
  <si>
    <t>BeatThatQuote.com</t>
  </si>
  <si>
    <t>Price comparison service</t>
  </si>
  <si>
    <t>Next New Networks</t>
  </si>
  <si>
    <t>Green Parrot Pictures</t>
  </si>
  <si>
    <t>Digital video</t>
  </si>
  <si>
    <t>PushLife</t>
  </si>
  <si>
    <t>Service provider</t>
  </si>
  <si>
    <t>Google Play</t>
  </si>
  <si>
    <t>TalkBin</t>
  </si>
  <si>
    <t>Sparkbuy</t>
  </si>
  <si>
    <t>Product search</t>
  </si>
  <si>
    <t>PostRank</t>
  </si>
  <si>
    <t>Google+ Google Analytics</t>
  </si>
  <si>
    <t>Admeld</t>
  </si>
  <si>
    <t>SageTV</t>
  </si>
  <si>
    <t>Media center</t>
  </si>
  <si>
    <t>Google TV, Google Fiber, Android TV</t>
  </si>
  <si>
    <t>Punchd</t>
  </si>
  <si>
    <t>Loyalty program</t>
  </si>
  <si>
    <t>Google Offers</t>
  </si>
  <si>
    <t>Fridge</t>
  </si>
  <si>
    <t>Social groups</t>
  </si>
  <si>
    <t>PittPatt</t>
  </si>
  <si>
    <t>Facial recognition system</t>
  </si>
  <si>
    <t>Dealmap</t>
  </si>
  <si>
    <t>One deal a day service</t>
  </si>
  <si>
    <t>Zave Networks</t>
  </si>
  <si>
    <t>Digital coupons</t>
  </si>
  <si>
    <t>Zagat</t>
  </si>
  <si>
    <t>Restaurant reviews</t>
  </si>
  <si>
    <t>Google Places, Google Maps</t>
  </si>
  <si>
    <t>DailyDeal</t>
  </si>
  <si>
    <t>SocialGrapple</t>
  </si>
  <si>
    <t>Apture</t>
  </si>
  <si>
    <t>Instantaneous search</t>
  </si>
  <si>
    <t>Katango</t>
  </si>
  <si>
    <t>Social circle organization</t>
  </si>
  <si>
    <t>RightsFlow</t>
  </si>
  <si>
    <t>Music rights management</t>
  </si>
  <si>
    <t>Clever Sense</t>
  </si>
  <si>
    <t>Local recommendations app</t>
  </si>
  <si>
    <t>Milk</t>
  </si>
  <si>
    <t>Software company</t>
  </si>
  <si>
    <t>TxVia</t>
  </si>
  <si>
    <t>Online payments</t>
  </si>
  <si>
    <t>Google Wallet, Google Checkout</t>
  </si>
  <si>
    <t>Meebo</t>
  </si>
  <si>
    <t>Social networking</t>
  </si>
  <si>
    <t>Quickoffice</t>
  </si>
  <si>
    <t>Mobile office suite</t>
  </si>
  <si>
    <t>Sparrow</t>
  </si>
  <si>
    <t>Mobile apps</t>
  </si>
  <si>
    <t>WIMM Labs</t>
  </si>
  <si>
    <t>Android Wear</t>
  </si>
  <si>
    <t>Wildfire Interactive</t>
  </si>
  <si>
    <t>Social media marketing</t>
  </si>
  <si>
    <t>VirusTotal.com</t>
  </si>
  <si>
    <t>Chronicle</t>
  </si>
  <si>
    <t>Nik Software</t>
  </si>
  <si>
    <t>Photography</t>
  </si>
  <si>
    <t>Google, Android</t>
  </si>
  <si>
    <t>Viewdle</t>
  </si>
  <si>
    <t>Facial recognition</t>
  </si>
  <si>
    <t>Incentive Targeting</t>
  </si>
  <si>
    <t>BufferBox</t>
  </si>
  <si>
    <t>Package delivery</t>
  </si>
  <si>
    <t>Google Shopping, Android</t>
  </si>
  <si>
    <t>Channel Intelligence</t>
  </si>
  <si>
    <t>Product ecommerce</t>
  </si>
  <si>
    <t>DNNresearch</t>
  </si>
  <si>
    <t>Deep Neural Networks</t>
  </si>
  <si>
    <t>Google, X</t>
  </si>
  <si>
    <t>Talaria Technologies</t>
  </si>
  <si>
    <t>Cloud computing</t>
  </si>
  <si>
    <t>Behavio</t>
  </si>
  <si>
    <t>Social prediction</t>
  </si>
  <si>
    <t>Google Now</t>
  </si>
  <si>
    <t>Wavii</t>
  </si>
  <si>
    <t>Natural language processing</t>
  </si>
  <si>
    <t>Google Knowledge Graph</t>
  </si>
  <si>
    <t>Makani Power</t>
  </si>
  <si>
    <t>Airborne wind turbines</t>
  </si>
  <si>
    <t>Bump</t>
  </si>
  <si>
    <t>Google Photos</t>
  </si>
  <si>
    <t>Flutter</t>
  </si>
  <si>
    <t>Google, Android, X</t>
  </si>
  <si>
    <t>FlexyCore</t>
  </si>
  <si>
    <t>DroidBooster app for Android</t>
  </si>
  <si>
    <t>Schaft</t>
  </si>
  <si>
    <t>Robotics, humanoid robots</t>
  </si>
  <si>
    <t>Industrial Perception</t>
  </si>
  <si>
    <t>Robotic arms, computer vision</t>
  </si>
  <si>
    <t>Redwood Robotics</t>
  </si>
  <si>
    <t>Robotic arms</t>
  </si>
  <si>
    <t>Meka Robotics</t>
  </si>
  <si>
    <t>Robots</t>
  </si>
  <si>
    <t>Holomni</t>
  </si>
  <si>
    <t>Robotic wheels</t>
  </si>
  <si>
    <t>Bot &amp; Dolly</t>
  </si>
  <si>
    <t>Robotic cameras</t>
  </si>
  <si>
    <t>Autofuss</t>
  </si>
  <si>
    <t>Ads and design</t>
  </si>
  <si>
    <t>Boston Dynamics</t>
  </si>
  <si>
    <t>Robotics</t>
  </si>
  <si>
    <t>Bitspin</t>
  </si>
  <si>
    <t>Timely app for Android</t>
  </si>
  <si>
    <t>Impermium</t>
  </si>
  <si>
    <t>Internet security</t>
  </si>
  <si>
    <t>DeepMind Technologies</t>
  </si>
  <si>
    <t>Artificial intelligence</t>
  </si>
  <si>
    <t>Google DeepMind</t>
  </si>
  <si>
    <t>SlickLogin</t>
  </si>
  <si>
    <t>Internet Security</t>
  </si>
  <si>
    <t>spider.io</t>
  </si>
  <si>
    <t>Anti-click fraud</t>
  </si>
  <si>
    <t>DoubleClick, AdSense</t>
  </si>
  <si>
    <t>GreenThrottle</t>
  </si>
  <si>
    <t>Titan Aerospace</t>
  </si>
  <si>
    <t>High-altitude UAVs</t>
  </si>
  <si>
    <t>Project Loon</t>
  </si>
  <si>
    <t>Rangespan</t>
  </si>
  <si>
    <t>E-commerce</t>
  </si>
  <si>
    <t>Adometry</t>
  </si>
  <si>
    <t>Online advertising attribution</t>
  </si>
  <si>
    <t>Google Analytics AdSense</t>
  </si>
  <si>
    <t>Appetas</t>
  </si>
  <si>
    <t>Restaurant website creation</t>
  </si>
  <si>
    <t>Google My Business</t>
  </si>
  <si>
    <t>Stackdriver</t>
  </si>
  <si>
    <t>MyEnergy</t>
  </si>
  <si>
    <t>Quest Visual</t>
  </si>
  <si>
    <t>Augmented reality</t>
  </si>
  <si>
    <t>Google Translate</t>
  </si>
  <si>
    <t>Divide</t>
  </si>
  <si>
    <t>Mobile device management</t>
  </si>
  <si>
    <t>Android for Work</t>
  </si>
  <si>
    <t>Skybox Imaging</t>
  </si>
  <si>
    <t>Satellite</t>
  </si>
  <si>
    <t>Google Maps, Project Loon</t>
  </si>
  <si>
    <t>mDialog</t>
  </si>
  <si>
    <t>Alpental Technologies</t>
  </si>
  <si>
    <t>Wireless</t>
  </si>
  <si>
    <t>Google</t>
  </si>
  <si>
    <t>Dropcam</t>
  </si>
  <si>
    <t>Home monitoring</t>
  </si>
  <si>
    <t>Appurify</t>
  </si>
  <si>
    <t>Automated application testing</t>
  </si>
  <si>
    <t>Songza</t>
  </si>
  <si>
    <t>Google Play, Android TV</t>
  </si>
  <si>
    <t>drawElements</t>
  </si>
  <si>
    <t>Graphics compatibility testing</t>
  </si>
  <si>
    <t>Emu</t>
  </si>
  <si>
    <t>IM client</t>
  </si>
  <si>
    <t>Google Hangouts, Google Now</t>
  </si>
  <si>
    <t>Directr</t>
  </si>
  <si>
    <t>Mobile video</t>
  </si>
  <si>
    <t>Jetpac</t>
  </si>
  <si>
    <t>Artificial intelligence, image recognition</t>
  </si>
  <si>
    <t>Gecko Design</t>
  </si>
  <si>
    <t>Mechanical design</t>
  </si>
  <si>
    <t>Zync Render</t>
  </si>
  <si>
    <t>Cloud-based visual effects software</t>
  </si>
  <si>
    <t>Lift Labs</t>
  </si>
  <si>
    <t>Liftware</t>
  </si>
  <si>
    <t>Verily</t>
  </si>
  <si>
    <t>Polar</t>
  </si>
  <si>
    <t>Social polling</t>
  </si>
  <si>
    <t>Firebase</t>
  </si>
  <si>
    <t>Dark Blue Labs &amp; Vision Factory</t>
  </si>
  <si>
    <t>Revolv</t>
  </si>
  <si>
    <t>RelativeWave</t>
  </si>
  <si>
    <t>Mobile software prototyping</t>
  </si>
  <si>
    <t>Vidmaker</t>
  </si>
  <si>
    <t>Video editing</t>
  </si>
  <si>
    <t>Launchpad Toys</t>
  </si>
  <si>
    <t>Child-friendly apps</t>
  </si>
  <si>
    <t>YouTube for Kids</t>
  </si>
  <si>
    <t>Odysee</t>
  </si>
  <si>
    <t>Multimedia sharing and storage</t>
  </si>
  <si>
    <t>Softcard</t>
  </si>
  <si>
    <t>Mobile payments</t>
  </si>
  <si>
    <t>Android Pay</t>
  </si>
  <si>
    <t>Red Hot Labs</t>
  </si>
  <si>
    <t>App advertising and discovery</t>
  </si>
  <si>
    <t>Thrive Audio</t>
  </si>
  <si>
    <t>Surround sound technology</t>
  </si>
  <si>
    <t>Google Cardboard</t>
  </si>
  <si>
    <t>Skillman &amp; Hackett</t>
  </si>
  <si>
    <t>Virtual reality software</t>
  </si>
  <si>
    <t>Tilt Brush</t>
  </si>
  <si>
    <t>Timeful</t>
  </si>
  <si>
    <t>Google Inbox, Google Calendar</t>
  </si>
  <si>
    <t>Pulse.io</t>
  </si>
  <si>
    <t>Mobile app optimizer</t>
  </si>
  <si>
    <t>Pixate</t>
  </si>
  <si>
    <t>Oyster</t>
  </si>
  <si>
    <t>E-book subscriptions</t>
  </si>
  <si>
    <t>Google Play Books</t>
  </si>
  <si>
    <t>Jibe Mobile</t>
  </si>
  <si>
    <t>Rich Communication Services</t>
  </si>
  <si>
    <t>Messages</t>
  </si>
  <si>
    <t>Agawi</t>
  </si>
  <si>
    <t>Mobile application streaming</t>
  </si>
  <si>
    <t>Android, Google Play</t>
  </si>
  <si>
    <t>Digisfera</t>
  </si>
  <si>
    <t>360-degree photography</t>
  </si>
  <si>
    <t>Street View</t>
  </si>
  <si>
    <t>Fly Labs</t>
  </si>
  <si>
    <t>bebop</t>
  </si>
  <si>
    <t>Cloud software</t>
  </si>
  <si>
    <t>BandPage</t>
  </si>
  <si>
    <t>Platform for musicians</t>
  </si>
  <si>
    <t>Pie</t>
  </si>
  <si>
    <t>Enterprise communications</t>
  </si>
  <si>
    <t>Spaces</t>
  </si>
  <si>
    <t>Synergyse</t>
  </si>
  <si>
    <t>Interactive learning platform</t>
  </si>
  <si>
    <t>Webpass</t>
  </si>
  <si>
    <t>Internet service provider</t>
  </si>
  <si>
    <t>Google Fiber</t>
  </si>
  <si>
    <t>Moodstocks</t>
  </si>
  <si>
    <t>Image recognition</t>
  </si>
  <si>
    <t>Anvato</t>
  </si>
  <si>
    <t>Cloud-based video services</t>
  </si>
  <si>
    <t>Kifi</t>
  </si>
  <si>
    <t>Link management</t>
  </si>
  <si>
    <t>LaunchKit</t>
  </si>
  <si>
    <t>Mobile developer tools</t>
  </si>
  <si>
    <t>Orbitera</t>
  </si>
  <si>
    <t>Apigee</t>
  </si>
  <si>
    <t>API management and predictive analytics</t>
  </si>
  <si>
    <t>Urban Engines</t>
  </si>
  <si>
    <t>Location-based analytics</t>
  </si>
  <si>
    <t>API.AI</t>
  </si>
  <si>
    <t>Google Assistant</t>
  </si>
  <si>
    <t>FameBit</t>
  </si>
  <si>
    <t>Branded content</t>
  </si>
  <si>
    <t>Eyefluence</t>
  </si>
  <si>
    <t>Eye tracking, virtual reality</t>
  </si>
  <si>
    <t>LeapDroid</t>
  </si>
  <si>
    <t>Android emulator</t>
  </si>
  <si>
    <t>Qwiklabs</t>
  </si>
  <si>
    <t>Cronologics</t>
  </si>
  <si>
    <t>Smartwatches</t>
  </si>
  <si>
    <t>Limes Audio</t>
  </si>
  <si>
    <t>Voice communication</t>
  </si>
  <si>
    <t>Google Duo, Google Hangouts</t>
  </si>
  <si>
    <t>Fabric</t>
  </si>
  <si>
    <t>Mobile app platform</t>
  </si>
  <si>
    <t>Kaggle</t>
  </si>
  <si>
    <t>Data science</t>
  </si>
  <si>
    <t>AppBridge</t>
  </si>
  <si>
    <t>Productivity suite</t>
  </si>
  <si>
    <t>Owlchemy Labs</t>
  </si>
  <si>
    <t>Virtual reality studio</t>
  </si>
  <si>
    <t>Halli Labs</t>
  </si>
  <si>
    <t>AIMatter</t>
  </si>
  <si>
    <t>Bitium</t>
  </si>
  <si>
    <t>Single sign-on and identity management</t>
  </si>
  <si>
    <t>Relay Media</t>
  </si>
  <si>
    <t>AMP converter</t>
  </si>
  <si>
    <t>Accelerated Mobile Pages</t>
  </si>
  <si>
    <t>60db</t>
  </si>
  <si>
    <t>Podcasts</t>
  </si>
  <si>
    <t>Google Play Music, Google Podcasts</t>
  </si>
  <si>
    <t>Redux</t>
  </si>
  <si>
    <t>Audio</t>
  </si>
  <si>
    <t>Tenor</t>
  </si>
  <si>
    <t>GIF image search</t>
  </si>
  <si>
    <t>Google Images, Gboard</t>
  </si>
  <si>
    <t>Velostrata</t>
  </si>
  <si>
    <t>Cloud migration</t>
  </si>
  <si>
    <t>Cask</t>
  </si>
  <si>
    <t>Big data, Hadoop</t>
  </si>
  <si>
    <t>GraphicsFuzz</t>
  </si>
  <si>
    <t>GPU reliability</t>
  </si>
  <si>
    <t>Senosis</t>
  </si>
  <si>
    <t>Health monitoring</t>
  </si>
  <si>
    <t>Onward</t>
  </si>
  <si>
    <t>Machine learning, natural language processing</t>
  </si>
  <si>
    <t>Workbench Education</t>
  </si>
  <si>
    <t>Education technology</t>
  </si>
  <si>
    <t>Google Classroom</t>
  </si>
  <si>
    <t>Sigmoid Labs</t>
  </si>
  <si>
    <t>DevOps Research and Assessment</t>
  </si>
  <si>
    <t>Research and assessment</t>
  </si>
  <si>
    <t>Superpod</t>
  </si>
  <si>
    <t>Question and answer app</t>
  </si>
  <si>
    <t>Alooma</t>
  </si>
  <si>
    <t>Big data, cloud migration</t>
  </si>
  <si>
    <t>Nightcorn</t>
  </si>
  <si>
    <t>Elastifile</t>
  </si>
  <si>
    <t>File storage</t>
  </si>
  <si>
    <t>Socratic</t>
  </si>
  <si>
    <t>Learning apps</t>
  </si>
  <si>
    <t>CloudSimple</t>
  </si>
  <si>
    <t>Cloud hosting</t>
  </si>
  <si>
    <t>Typhoon Studios</t>
  </si>
  <si>
    <t>Video game development</t>
  </si>
  <si>
    <t>Stadia</t>
  </si>
  <si>
    <t>AppSheet</t>
  </si>
  <si>
    <t>Mobile app development</t>
  </si>
  <si>
    <t>Pointy</t>
  </si>
  <si>
    <t>Local retail inventory feeds</t>
  </si>
  <si>
    <t>Cornerstone Technology B.V.</t>
  </si>
  <si>
    <t>Mainframe, cloud migration</t>
  </si>
  <si>
    <t>North</t>
  </si>
  <si>
    <t>Smart glasses</t>
  </si>
  <si>
    <t>Stratozone</t>
  </si>
  <si>
    <t>Cloud assessment</t>
  </si>
  <si>
    <t>Dataform</t>
  </si>
  <si>
    <t>Neverware</t>
  </si>
  <si>
    <t>ChromiumOS distribution</t>
  </si>
  <si>
    <t>ChromeOS Flex</t>
  </si>
  <si>
    <t>Actifio</t>
  </si>
  <si>
    <t>Backup, disaster recovery</t>
  </si>
  <si>
    <t>Provino</t>
  </si>
  <si>
    <t>Cloud hardware</t>
  </si>
  <si>
    <t>Tensor processing unit</t>
  </si>
  <si>
    <t>Dysonics</t>
  </si>
  <si>
    <t>Audio hardware</t>
  </si>
  <si>
    <t>Pixel Buds</t>
  </si>
  <si>
    <t>Simsim</t>
  </si>
  <si>
    <t>Playspace</t>
  </si>
  <si>
    <t>Collaboration tool</t>
  </si>
  <si>
    <t>Google Workspace</t>
  </si>
  <si>
    <t>MuJoCo</t>
  </si>
  <si>
    <t>Robotics simulator</t>
  </si>
  <si>
    <t>Siemplify</t>
  </si>
  <si>
    <t>Cybersecurity</t>
  </si>
  <si>
    <t>Mandiant</t>
  </si>
  <si>
    <t>Raxium</t>
  </si>
  <si>
    <t>AR hardware</t>
  </si>
  <si>
    <t>Vicarious</t>
  </si>
  <si>
    <t>Artificial intelligence, robotics software</t>
  </si>
  <si>
    <t>Intrinsic</t>
  </si>
  <si>
    <t>MobiledgeX</t>
  </si>
  <si>
    <t>Mobile edge computing</t>
  </si>
  <si>
    <t>Forseeti</t>
  </si>
  <si>
    <t>Cybersecurity software</t>
  </si>
  <si>
    <t>Alter</t>
  </si>
  <si>
    <t>BreezoMeter</t>
  </si>
  <si>
    <t>Air quality monitoring</t>
  </si>
  <si>
    <t>BrightBytes</t>
  </si>
  <si>
    <t>Data and analytics</t>
  </si>
  <si>
    <t>Google for Education</t>
  </si>
  <si>
    <t>Sound Life Sciences</t>
  </si>
  <si>
    <t>Open Source Robotics Corporation</t>
  </si>
  <si>
    <t>Robotics software</t>
  </si>
  <si>
    <t>Photomath</t>
  </si>
  <si>
    <t>Bard</t>
  </si>
  <si>
    <t>Cameyo</t>
  </si>
  <si>
    <t>Virtual app delivery</t>
  </si>
  <si>
    <t>ChromeOS</t>
  </si>
  <si>
    <t>N/A</t>
  </si>
  <si>
    <t>$102 million</t>
  </si>
  <si>
    <t>$50 million</t>
  </si>
  <si>
    <t>$28 million</t>
  </si>
  <si>
    <t>$23 million</t>
  </si>
  <si>
    <t>$15 million</t>
  </si>
  <si>
    <t>$100 million</t>
  </si>
  <si>
    <t>$45 million</t>
  </si>
  <si>
    <t>$625 million</t>
  </si>
  <si>
    <t>$133 million</t>
  </si>
  <si>
    <t>$30 million</t>
  </si>
  <si>
    <t>$25 million</t>
  </si>
  <si>
    <t>$68.2 million</t>
  </si>
  <si>
    <t>$81 million</t>
  </si>
  <si>
    <t>$228 million</t>
  </si>
  <si>
    <t>$70 million</t>
  </si>
  <si>
    <t>$10 million</t>
  </si>
  <si>
    <t>$65 million</t>
  </si>
  <si>
    <t>$400 million</t>
  </si>
  <si>
    <t>$151 million</t>
  </si>
  <si>
    <t>$114 million</t>
  </si>
  <si>
    <t>$450 million</t>
  </si>
  <si>
    <t>$17 million</t>
  </si>
  <si>
    <t>$125 million</t>
  </si>
  <si>
    <t>$44 million</t>
  </si>
  <si>
    <t>$40 million</t>
  </si>
  <si>
    <t>$500 million</t>
  </si>
  <si>
    <t>$555 million</t>
  </si>
  <si>
    <t>$90 million</t>
  </si>
  <si>
    <t>$380 million</t>
  </si>
  <si>
    <t>$60 million</t>
  </si>
  <si>
    <t>$150 million</t>
  </si>
  <si>
    <t>$163 million</t>
  </si>
  <si>
    <t>$180 million</t>
  </si>
  <si>
    <t>$5.4 billion</t>
  </si>
  <si>
    <t>$1 billion</t>
  </si>
  <si>
    <t>CRM</t>
  </si>
  <si>
    <t>Collaborative real-time edits</t>
  </si>
  <si>
    <t>Microsoft doc sharing site</t>
  </si>
  <si>
    <t xml:space="preserve">Online video platform </t>
  </si>
  <si>
    <t>Video / audio compression</t>
  </si>
  <si>
    <t xml:space="preserve">Social media analytics </t>
  </si>
  <si>
    <t>Android-powered smartwatch</t>
  </si>
  <si>
    <t>Gesture recognition tech</t>
  </si>
  <si>
    <t>Online energy use monitoring</t>
  </si>
  <si>
    <t>App development platform</t>
  </si>
  <si>
    <t>Cloud-based training platform</t>
  </si>
  <si>
    <t>Indian Railways train tracking app "Where Is My Train"</t>
  </si>
  <si>
    <t>Divested 2014</t>
  </si>
  <si>
    <t>Wiz (upon regulatory approval)</t>
  </si>
  <si>
    <t>Cloud security (cybersecurity)</t>
  </si>
  <si>
    <t>$32 billion</t>
  </si>
  <si>
    <t>Equalum</t>
  </si>
  <si>
    <t>Cloud desktop virtualization</t>
  </si>
  <si>
    <t>Phair Technologies</t>
  </si>
  <si>
    <t>AI-powered navigation (augmented reality)</t>
  </si>
  <si>
    <t>General and Admin % of Revenue</t>
  </si>
  <si>
    <t>Sales &amp; Marketing % of Revenue</t>
  </si>
  <si>
    <t>ROIC</t>
  </si>
  <si>
    <t>Terminal</t>
  </si>
  <si>
    <t>RFR (10-year yield)</t>
  </si>
  <si>
    <t>ERP 
(Avg. market return - (less) RFR)</t>
  </si>
  <si>
    <t>Equity β (1-year avg.)</t>
  </si>
  <si>
    <t>Discount (Cost of Equity)</t>
  </si>
  <si>
    <t>NPV</t>
  </si>
  <si>
    <t>FV</t>
  </si>
  <si>
    <t>CP</t>
  </si>
  <si>
    <t>Change Δ:</t>
  </si>
  <si>
    <t>Earnings Scope (5/23/25):</t>
  </si>
  <si>
    <t xml:space="preserve">Google is a sole underpreformer when compared to peers short term return profile's </t>
  </si>
  <si>
    <t>Autonomous Vehicles - Waymo develops and operates self-driving car technology, including commercial robotaxi services in select U.S. cities --&gt; metropolitan entry offers vehicles/software a complex training environments, short trips and a concentration of yuppie early adopters</t>
  </si>
  <si>
    <t xml:space="preserve">LIDAR, Radar, Camera/Visual software autonomous vehicle configuration … much more robust than TSLA's camera/visual only AV "offering" that has been teased for 10 years </t>
  </si>
  <si>
    <t>… the question is can TSLA do it with just cameras, saving big in hardware … as a consumer and family man, I'd be paying the extra few $'s per trip for a Waymo to keep loved ones safe</t>
  </si>
  <si>
    <t>The Company is focused on building an even more helpful Google for everyone, and aspire to give everyone the tools they need to increase their knowledge, health, happiness, and success</t>
  </si>
  <si>
    <r>
      <t xml:space="preserve">Google Search helps people find information and make sense of the world in more natural and intuitive ways, with </t>
    </r>
    <r>
      <rPr>
        <b/>
        <sz val="11"/>
        <color theme="1"/>
        <rFont val="Calibre"/>
      </rPr>
      <t>trillions of searches on Google every year</t>
    </r>
  </si>
  <si>
    <t>YouTube provides people with entertainment, information, and opportunities to learn something new and helps support the creator economy through the YouTube Partner Program</t>
  </si>
  <si>
    <t>Google Cloud helps customers solve today’s business challenges, improve productivity, reduce costs, and unlock new growth engines</t>
  </si>
  <si>
    <r>
      <t>The Company has the vibe of a</t>
    </r>
    <r>
      <rPr>
        <b/>
        <sz val="11"/>
        <color theme="1"/>
        <rFont val="Calibre"/>
      </rPr>
      <t xml:space="preserve"> "consumer oriented Microsoft"</t>
    </r>
    <r>
      <rPr>
        <sz val="11"/>
        <color theme="1"/>
        <rFont val="Calibre"/>
      </rPr>
      <t xml:space="preserve"> … yes they have a enterprise cloud business, but that only came about because of their consumer Drive offering (still &lt;15% of Ttl revenue, yet expanding rapidly)</t>
    </r>
  </si>
  <si>
    <t>Microsoft is the most serious productivity software player on the planet ... everyone uses excel; sheets fits Google's offering well though</t>
  </si>
  <si>
    <r>
      <t>Marc Andreesen (of Andreessen Horowitz VC, AUM: $42B as of 5/1/24) stated during an interview: "</t>
    </r>
    <r>
      <rPr>
        <b/>
        <sz val="11"/>
        <color theme="1"/>
        <rFont val="Calibre"/>
      </rPr>
      <t>AI is a technology basically that the government is going to completely control</t>
    </r>
    <r>
      <rPr>
        <sz val="11"/>
        <color theme="1"/>
        <rFont val="Calibre"/>
      </rPr>
      <t xml:space="preserve"> ... This is not going to be a startup thing ... They actually said flat out told us 'don't do AI startups ... like don't </t>
    </r>
    <r>
      <rPr>
        <b/>
        <sz val="11"/>
        <color theme="1"/>
        <rFont val="Calibre"/>
      </rPr>
      <t xml:space="preserve"> fund AI startups that's not something that we're going to allow to happen</t>
    </r>
    <r>
      <rPr>
        <sz val="11"/>
        <color theme="1"/>
        <rFont val="Calibre"/>
      </rPr>
      <t xml:space="preserve"> ... </t>
    </r>
    <r>
      <rPr>
        <b/>
        <sz val="11"/>
        <color theme="1"/>
        <rFont val="Calibre"/>
      </rPr>
      <t>they're not going to be allowed to exist</t>
    </r>
    <r>
      <rPr>
        <sz val="11"/>
        <color theme="1"/>
        <rFont val="Calibre"/>
      </rPr>
      <t>' ... uh 'there's no point.' They told us '</t>
    </r>
    <r>
      <rPr>
        <b/>
        <sz val="11"/>
        <color theme="1"/>
        <rFont val="Calibre"/>
      </rPr>
      <t>AI is going to be a  game of two or three big companies working closely with the government and we're going to basically wrap them up</t>
    </r>
    <r>
      <rPr>
        <sz val="11"/>
        <color theme="1"/>
        <rFont val="Calibre"/>
      </rPr>
      <t xml:space="preserve"> in a' ... you know I'm paraphrasing ... but 'we're going to basically </t>
    </r>
    <r>
      <rPr>
        <b/>
        <sz val="11"/>
        <color theme="1"/>
        <rFont val="Calibre"/>
      </rPr>
      <t>wrap them in a government cocoon we're going to protect them from competition. We're going to control them and we're going to dictate what they do.'</t>
    </r>
    <r>
      <rPr>
        <sz val="11"/>
        <color theme="1"/>
        <rFont val="Calibre"/>
      </rPr>
      <t xml:space="preserve">  Then I said 'well I don't understand how you're going to lock this down so much because like the math for AI is like out there and it's being taught everywhere and you know' ... They literally said 'well you know </t>
    </r>
    <r>
      <rPr>
        <b/>
        <sz val="11"/>
        <color theme="1"/>
        <rFont val="Calibre"/>
      </rPr>
      <t>during the Cold War we classified entire areas of physics and took them out of the research community and [those branches of] physics basically went dark and didn't proceed</t>
    </r>
    <r>
      <rPr>
        <sz val="11"/>
        <color theme="1"/>
        <rFont val="Calibre"/>
      </rPr>
      <t xml:space="preserve"> ... '</t>
    </r>
    <r>
      <rPr>
        <b/>
        <sz val="11"/>
        <color theme="1"/>
        <rFont val="Calibre"/>
      </rPr>
      <t>If we decide</t>
    </r>
    <r>
      <rPr>
        <sz val="11"/>
        <color theme="1"/>
        <rFont val="Calibre"/>
      </rPr>
      <t xml:space="preserve"> we need to </t>
    </r>
    <r>
      <rPr>
        <b/>
        <sz val="11"/>
        <color theme="1"/>
        <rFont val="Calibre"/>
      </rPr>
      <t>we're going to do the same thing to the math underneath AI</t>
    </r>
    <r>
      <rPr>
        <sz val="11"/>
        <color theme="1"/>
        <rFont val="Calibre"/>
      </rPr>
      <t>.'"</t>
    </r>
  </si>
  <si>
    <t>The Company is continuously innovating and building new products and features to help our users, partners, customers, and communities and have invested more than $150 billion in research and development in the last five years in support of these efforts</t>
  </si>
  <si>
    <r>
      <rPr>
        <b/>
        <sz val="11"/>
        <color theme="1"/>
        <rFont val="Calibre"/>
      </rPr>
      <t>Search moat IS currently being eroded by AI tools</t>
    </r>
    <r>
      <rPr>
        <sz val="11"/>
        <color theme="1"/>
        <rFont val="Calibre"/>
      </rPr>
      <t xml:space="preserve"> such as: Perplexity tool, OpenAI GPT, Anthropic Claude, etc. … Managers are on the defense, working to protect/innovate this core business</t>
    </r>
  </si>
  <si>
    <t>Massive international presence … basically all mobile phones that aren't on IOS (Apple OS) or HarmonyOS (Huawei OS) use Android</t>
  </si>
  <si>
    <t>YouTube Segment generates revenue through advertising, premium subscriptions (YouTube Premium, YouTube TV), and content partnerships</t>
  </si>
  <si>
    <r>
      <t xml:space="preserve">It is truly nutty to think about how well Google has monetized YouTube -- Every other media firm is paying handsomely to develop content … YouTube truly does have organic content creation, and the firm acts as a </t>
    </r>
    <r>
      <rPr>
        <i/>
        <sz val="11"/>
        <color theme="1"/>
        <rFont val="Calibre"/>
      </rPr>
      <t>partner</t>
    </r>
    <r>
      <rPr>
        <sz val="11"/>
        <color theme="1"/>
        <rFont val="Calibre"/>
      </rPr>
      <t xml:space="preserve"> with creators … the market (consumers) choose the winners</t>
    </r>
  </si>
  <si>
    <t>Massive network effect -- essentially all non-business, non-government emails are linked through a  free Google Drive account</t>
  </si>
  <si>
    <t>Once a consumer has filled out 5GB's of storage, they're far more likely to pay for the small storage expansion fee over the conversion of switching over to a new free service</t>
  </si>
  <si>
    <t>Similar to Apple's App Store, Google would collect ~30% of revenue from all transactions that take place through the marketplace … Huge profitability and market power leverage</t>
  </si>
  <si>
    <t>Partially eliminates rent seeking behavior … Definitely a crack in hard market power, which The Company was previously able to leverage ... managers still have soft power to circumvent damages but the lawsuit was a big lose for established tech giants</t>
  </si>
  <si>
    <t>Massive network effect -- essentially all non-business, non-government emails are linked through a Gmail</t>
  </si>
  <si>
    <r>
      <t xml:space="preserve">Other Bets </t>
    </r>
    <r>
      <rPr>
        <sz val="11"/>
        <color theme="1"/>
        <rFont val="Calibre"/>
      </rPr>
      <t xml:space="preserve">[Internal innovation branch … can be thought of as a capital recycling operation to avoid tech </t>
    </r>
    <r>
      <rPr>
        <i/>
        <sz val="11"/>
        <color theme="1"/>
        <rFont val="Calibre"/>
      </rPr>
      <t>Dutch disease</t>
    </r>
    <r>
      <rPr>
        <sz val="11"/>
        <color theme="1"/>
        <rFont val="Calibre"/>
      </rPr>
      <t xml:space="preserve"> … turns current cash flows into future investments that may pay off big … also serves to provide additional slack to managers]</t>
    </r>
  </si>
  <si>
    <t>Acquired in 2010, DeepMind's research has since produced landmark achievements such as AlphaGo, the first AI to defeat a world champion in Go; AlphaFold, which revolutionized protein structure prediction; and AlphaEvolve, an AI system that discovers new algorithms and optimizes complex systems like chip design and data center management</t>
  </si>
  <si>
    <t>Initial role out / product development field was in SF; the AV service has since expanded to other "tech cities" including Pheonix, AZ &amp; Austin, TX</t>
  </si>
  <si>
    <r>
      <t>(</t>
    </r>
    <r>
      <rPr>
        <i/>
        <sz val="11"/>
        <color theme="1"/>
        <rFont val="Calibre"/>
      </rPr>
      <t>I</t>
    </r>
    <r>
      <rPr>
        <sz val="11"/>
        <color theme="1"/>
        <rFont val="Calibre"/>
      </rPr>
      <t xml:space="preserve">) Demonstrates scalable quantum error correction-reducing errors exponentially as more qubits are added and </t>
    </r>
  </si>
  <si>
    <r>
      <t xml:space="preserve">Quantum computing is a breakthrough away!!! </t>
    </r>
    <r>
      <rPr>
        <sz val="11"/>
        <color theme="1"/>
        <rFont val="Calibre"/>
      </rPr>
      <t xml:space="preserve">Hahaha, its fun to tease physics friends and say "fusion, quantum, etc. is only 7 years away" </t>
    </r>
  </si>
  <si>
    <t>Access and Technology for Everyone</t>
  </si>
  <si>
    <t>Making AI Helpful for Everyone</t>
  </si>
  <si>
    <t>The Company believes AI is a profound platform shift, one that can bring meaningful and positive change to people and societies across the world, and to the business</t>
  </si>
  <si>
    <t>The Company has been enabling AI in products and services for more than a decade and making them available to our users … [Lol, I know DeepMind has been an R&amp;D titan in the field … but what is The Company's definition of AI and why haven't they made an LLM that I'm excited to use]</t>
  </si>
  <si>
    <t>The Company's is currently being heavily scrutinized by analysts who're concerned about the long term prospects of the Search Business … The competitive errosion and overhauled regulatory effort over the last 2 years have really weighed on The Company's valuation and equity return profile</t>
  </si>
  <si>
    <t>In 2023, The Company took a significant step on the journey to make AI more helpful for everyone with the introduction of Gemini, a native/internally developed multimodal AI model</t>
  </si>
  <si>
    <t>In 2024, The Company launched Gemini 2.0, their most capable model yet</t>
  </si>
  <si>
    <t>Gemini can generalize and seamlessly understand, operate across, and combine different types of information including text, code, audio, image, and video</t>
  </si>
  <si>
    <t>Gemini is powering AI features across our products and services that are helping people everyday</t>
  </si>
  <si>
    <t>Today, all seven of our two billion-user products — Android, Chrome, Gmail, Maps, Play Store, Search, and YouTube — are using Gemini</t>
  </si>
  <si>
    <t>Seen above… The Company is demonstrating their moatlike installment/user bases, coming into the AI race as a legacy competitor … they'll either dominate through CapEx investment might, or fall behind and be seen as the 21st century's AT&amp;T</t>
  </si>
  <si>
    <t>The Company's Google Cloud products, including Google Cloud Platform and Google Workspace, help organizations stay at the forefront of innovation with our AI-optimized infrastructure, AI development platform, world-class models, as well as assistive agents and applications</t>
  </si>
  <si>
    <t>The Company believes AI has the potential to solve important societal, scientific, and engineering challenges. For example, in 2020, Google DeepMind’s AlphaFold system solved a 50-year-old protein folding challenge, and in 2024, we introduced AlphaFold 3, built on the previous models, to predict the structure and interactions of all the molecules in life's processes</t>
  </si>
  <si>
    <t>The Company is focused on transforming it's products to provide the most helpful tools to users and customers as The Company delivers on the mission of organizing the world’s information and make it universally accessible and useful</t>
  </si>
  <si>
    <t>Deliver the Most Advanced, Safe, and Responsible AI</t>
  </si>
  <si>
    <t>Company Scope (10-K/Q's):</t>
  </si>
  <si>
    <t>The Company has been increasing investment into cloud security in the last few years, with the most recent acquisition of Wiz really cementing this shift in Cloud support services to compliment their growing datacenter business</t>
  </si>
  <si>
    <t>We are driving efficiencies in our data centers, while making significant hardware and model improvements</t>
  </si>
  <si>
    <t>For example, since we started serving AI Overviews to our users, we have significantly lowered machine costs and latency through hardware, engineering, and technical breakthroughs</t>
  </si>
  <si>
    <t>AI-optimized infrastructure allows The Company to use, and offer customers a range of AI accelerator options, including The Company's own custom-built Tensor Processing Units (TPUs).</t>
  </si>
  <si>
    <t>[Investigate FAB operations, research and techniques in greater detail … are firms like AMZN, META and GOOG going to eventually be able to replace their expensive GPU server racks with much simpler, application specific TPU's]</t>
  </si>
  <si>
    <t>The Company's teams across Alphabet leverage Gemini, as well as other AI models previously developed and announced, in order to live test and deliver the best product and service experiences for our users, advertisers, partners, customers, and developers</t>
  </si>
  <si>
    <t>The Company is using Gemini 2.0 in new research prototypes, including Project Astra, which explores the future capabilities of a universal AI assistant and Project Mariner, an early prototype capable of taking actions in Chrome as an experimental extension</t>
  </si>
  <si>
    <t>We believe our approach to AI must be both bold and responsible. That means developing AI in a way that maximizes the positive benefits to society while addressing its potential challenges, guided by our AI Principles</t>
  </si>
  <si>
    <t>The Company is aiming to build the most advanced, safe, and responsible AI through a full stack of robust AI-optimized infrastructure, including data centers, chips, and a global fiber network; world class research teams; and a broad global reach through products and platforms that touch billions of people and customers around the world</t>
  </si>
  <si>
    <t>Enable Organizations and Developers to Innovate on Google Cloud</t>
  </si>
  <si>
    <t>AI is a major technology shift for enterprises</t>
  </si>
  <si>
    <t>Globally, businesses from startups to large enterprises, and the public sector are thinking about how to drive transformation</t>
  </si>
  <si>
    <t>That is why we are focused on making it easy and scalable for others to innovate, and grow, with AI</t>
  </si>
  <si>
    <t>That means providing advanced computing infrastructure and expanding access to Google’s latest AI models</t>
  </si>
  <si>
    <t>Our Vertex AI platform gives developers the ability to train, tune, augment, test, and deploy applications using Gemini, Imagen, Veo, and other generative AI models</t>
  </si>
  <si>
    <t>Gemini for Google Cloud provides pre-packaged AI agents that can assist developers to write, document, test, and operate software as well as assist cybersecurity teams to analyze, detect, protect, and respond to threats</t>
  </si>
  <si>
    <t>Improve Knowledge, Learning, Creativity, and Productivity</t>
  </si>
  <si>
    <t>As AI continues to improve rapidly, we are focused on transforming our products to provide our users the most helpful tools</t>
  </si>
  <si>
    <t>Examples include AI Overviews, which allow users to ask their most complex questions, break down concepts in a format that is useful for them, or take a video and ask a question out loud, and NotebookLM, which helps users understand complex information by summarizing sources and providing relevant quotes</t>
  </si>
  <si>
    <t>We are embedding the power of generative AI to continue helping our users express themselves and get things done</t>
  </si>
  <si>
    <t>For example, the Gemini app allows users to collaborate with new AI features that include image generation capabilities, coding support, and app integration</t>
  </si>
  <si>
    <t>Gemini for Google Workspace helps users write, organize, visualize, accelerate workflows, and have richer meetings</t>
  </si>
  <si>
    <t>Additionally, we are using Gemini to improve recommendations on YouTube</t>
  </si>
  <si>
    <t>We also know businesses of all sizes around the world rely on Google Ads to find customers and grow their businesses — and we make that even easier with AI</t>
  </si>
  <si>
    <t>For example, advertisers are able to use our updated image generation in Google Ads to produce high-quality imagery for their campaigns, and Demand Gen helps them reach their target audiences</t>
  </si>
  <si>
    <t>Build the Most Helpful Personal Computing Platforms and Devices</t>
  </si>
  <si>
    <t>Over the years, our Pixel phones have incorporated AI compute directly into the device and built experiences on top of it</t>
  </si>
  <si>
    <t>Our latest Pixel devices were built with Gemini Nano, bringing the best AI-assistive experiences to our users, such as Gemini on Pixel, Pixel Screenshots, and Pixel Studio</t>
  </si>
  <si>
    <t>Our Android and Chrome operating systems enable users to access Gemini, and other Google AI features throughout their day</t>
  </si>
  <si>
    <t xml:space="preserve"> For example, with Circle to Search built directly into the Android experience, users can search anything they see on their phone using a simple gesture</t>
  </si>
  <si>
    <t>Moonshots</t>
  </si>
  <si>
    <t>Many companies get comfortable doing what they have always done, making only incremental changes</t>
  </si>
  <si>
    <t>This incrementalism leads to irrelevance over time, especially in technology, where change tends to be revolutionary, not evolutionary</t>
  </si>
  <si>
    <t>Our acquisitions of YouTube and Android and subsequent launch of Chrome have matured into major platforms for digital video and mobile devices and a safer, popular browser</t>
  </si>
  <si>
    <t>In Other Bets, our fully autonomous driving technology company, Waymo, is now providing fully autonomous, paid ride-hailing services to customers in multiple cities</t>
  </si>
  <si>
    <t>[Keep an eye on Waymo as the next internally developed unicorn] … investigate other technologies developed internally and acquired through M&amp;A transactions</t>
  </si>
  <si>
    <t>Our early investments in AI started out as moonshots but are now incorporated into our core products and central to future developments</t>
  </si>
  <si>
    <t>We continue to look toward the future and to invest for the long term, most notably for the application of AI to our products and services, as well as other frontier technologies such as quantum computing</t>
  </si>
  <si>
    <t>As we said in the original founders' letter, we will not shy away from high-risk, high-reward projects that we believe in, as they are the key to our long-term success</t>
  </si>
  <si>
    <t>Big bets in AI, Cloud Security, and AV ride hailing … all incredibly positive avenues … the most important factor with The Company's future is how the government treats/designates them in the future …</t>
  </si>
  <si>
    <t xml:space="preserve">They clearly are one of the Fed's AI golden goose R&amp;D centers, but will that stop the govenrment from breaking up the firm into smaller individual companies / equity listings </t>
  </si>
  <si>
    <t>Could the break-up of Google actually deilver greater value to shareholders in a "sum of parts" scenario? (Bell Labs -&gt; Baby Bell's style)</t>
  </si>
  <si>
    <t>Privacy and Security</t>
  </si>
  <si>
    <t>We make it a priority to protect the privacy and security of our products, users, and customers, even if there are near-term financial consequences</t>
  </si>
  <si>
    <t>We do this by continuously investing in building products that are secure by default; strictly upholding responsible data practices that emphasize privacy by design; and building easy-to-use settings that put people in control</t>
  </si>
  <si>
    <t>We are continually enhancing these efforts over time, whether by enabling users to auto-delete their data, applying privacy technologies like on-device processing, giving people tools to control their experience, or advancing anti-malware, anti-phishing, and password security features</t>
  </si>
  <si>
    <t>Alphabet Products &amp; Services:</t>
  </si>
  <si>
    <t>Serving Users</t>
  </si>
  <si>
    <t>We have always been committed to building helpful products that can improve the lives of millions of people worldwide</t>
  </si>
  <si>
    <t>Our product innovations are what make our services widely used, and our brand one of the most recognized in the world</t>
  </si>
  <si>
    <t>Google Services' core products and platforms include ads, Android, Chrome, devices, Gmail, Google Drive, Google Maps, Google Photos, Google Play, Search, and YouTube, with broad and growing adoption by users around the world</t>
  </si>
  <si>
    <t>Our products and services have come a long way since the company was founded more than 25 years ago</t>
  </si>
  <si>
    <t>While Google Search started as a way to find web pages, organized into ten blue links, we have driven technical advancements and product innovations that have transformed Google Search into a dynamic, multimodal experience</t>
  </si>
  <si>
    <t>We first expanded from traditional desktop browsers into mobile web search, making it easier to navigate on smaller screens</t>
  </si>
  <si>
    <t xml:space="preserve"> As new types of content surfaced on the internet, Universal Search made it possible to search multiple content types, like news, images, videos, and more, to deliver rich, relevant results</t>
  </si>
  <si>
    <t>The introduction of new search modalities, like voice and visual search, made it easier for people to express their curiosity in natural and intuitive ways</t>
  </si>
  <si>
    <t>We took that a step further with multisearch, which lets people search with text and images at the same time</t>
  </si>
  <si>
    <t>Large language models have made it possible to express more natural language queries, vastly improving the types of questions users can ask, and the quality of results</t>
  </si>
  <si>
    <t xml:space="preserve"> Each advancement has made it easier and more natural for people to find what they are looking for</t>
  </si>
  <si>
    <t>[spooky]</t>
  </si>
  <si>
    <t>We are now using Gemini customized for Google Search to provide our users an improved Search experience, and AI Overviews has been released in more than one hundred countries, reaching more than one billion users</t>
  </si>
  <si>
    <t>This drive to make information more accessible and helpful has led us over the years to improve the discovery and creation of digital content both on the web and through platforms like Google Play and YouTube</t>
  </si>
  <si>
    <r>
      <t xml:space="preserve">People are consuming many forms of digital content, including watching videos, streaming TV, playing games, listening to music, </t>
    </r>
    <r>
      <rPr>
        <b/>
        <sz val="11"/>
        <color theme="1"/>
        <rFont val="Calibre"/>
      </rPr>
      <t>reading books, and using apps</t>
    </r>
  </si>
  <si>
    <t>Working with content creators and partners, we continue to build new ways for people around the world to create and find great digital content</t>
  </si>
  <si>
    <t>The self sustaining/grassroots content creation model is a powerhouse for the firm … Competing content distributors are just beginning to catch up in terms of monetary insentives for producing great content</t>
  </si>
  <si>
    <t>Fueling all of these great digital experiences are extraordinary platforms and devices</t>
  </si>
  <si>
    <t>That is why we continue to invest in platforms like our Android mobile operating system, Chrome browser, and Chrome operating system, as well as our family of devices</t>
  </si>
  <si>
    <t>We see tremendous potential for devices to be helpful and make people's lives easier by combining the best of our AI, software, and hardware</t>
  </si>
  <si>
    <t>This potential is reflected in our latest generation of devices, such as the new Pixel 9 series and the Pixel Watch 3</t>
  </si>
  <si>
    <t>Creating products and services that people rely on every day is a journey that we are investing in for the long-term</t>
  </si>
  <si>
    <t>Product &amp; Service Overview</t>
  </si>
  <si>
    <t>10 of The Company's Flagship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</si>
</sst>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
    <numFmt numFmtId="199" formatCode="&quot;$&quot;#,##0"/>
  </numFmts>
  <fonts count="19">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rgb="FF00B0F0"/>
      <name val="Calibre"/>
    </font>
    <font>
      <sz val="10"/>
      <name val="Arial"/>
      <family val="2"/>
    </font>
    <font>
      <sz val="11"/>
      <color theme="8" tint="-0.249977111117893"/>
      <name val="Calibre"/>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128">
    <xf numFmtId="0" fontId="0" fillId="0" borderId="0" xfId="0"/>
    <xf numFmtId="0" fontId="2" fillId="0" borderId="0" xfId="0" applyFont="1"/>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49" fontId="2" fillId="0" borderId="0" xfId="0" applyNumberFormat="1" applyFont="1"/>
    <xf numFmtId="14" fontId="2" fillId="0" borderId="0" xfId="0" applyNumberFormat="1" applyFont="1"/>
    <xf numFmtId="0" fontId="16" fillId="0" borderId="0" xfId="2" applyFont="1"/>
    <xf numFmtId="44" fontId="2" fillId="0" borderId="0" xfId="0" applyNumberFormat="1" applyFont="1" applyAlignment="1">
      <alignment horizontal="right" indent="1"/>
    </xf>
    <xf numFmtId="164" fontId="2" fillId="0" borderId="0" xfId="0" applyNumberFormat="1" applyFont="1" applyAlignment="1">
      <alignment horizontal="right" indent="1"/>
    </xf>
    <xf numFmtId="1" fontId="2" fillId="0" borderId="0" xfId="0" applyNumberFormat="1" applyFont="1" applyAlignment="1">
      <alignment horizontal="left" indent="5"/>
    </xf>
    <xf numFmtId="0" fontId="11" fillId="0" borderId="0" xfId="0" applyFont="1" applyAlignment="1">
      <alignment horizontal="left"/>
    </xf>
    <xf numFmtId="165" fontId="2" fillId="0" borderId="0" xfId="1" applyNumberFormat="1" applyFont="1"/>
    <xf numFmtId="165" fontId="3" fillId="0" borderId="0" xfId="1" applyNumberFormat="1" applyFont="1"/>
    <xf numFmtId="0" fontId="17" fillId="0" borderId="0" xfId="0" applyFont="1"/>
    <xf numFmtId="1" fontId="2" fillId="0" borderId="0" xfId="0" applyNumberFormat="1" applyFont="1"/>
    <xf numFmtId="1" fontId="3" fillId="0" borderId="0" xfId="0" applyNumberFormat="1" applyFont="1"/>
    <xf numFmtId="9" fontId="2" fillId="0" borderId="0" xfId="1" applyFont="1"/>
    <xf numFmtId="10" fontId="2" fillId="0" borderId="0" xfId="1" applyNumberFormat="1" applyFont="1"/>
    <xf numFmtId="10" fontId="0" fillId="0" borderId="0" xfId="0" applyNumberFormat="1" applyFill="1" applyBorder="1" applyAlignment="1"/>
    <xf numFmtId="0" fontId="0" fillId="0" borderId="0" xfId="0" applyFill="1" applyBorder="1" applyAlignment="1"/>
    <xf numFmtId="0" fontId="0" fillId="0" borderId="18" xfId="0" applyFill="1" applyBorder="1" applyAlignment="1"/>
    <xf numFmtId="0" fontId="9" fillId="0" borderId="17" xfId="0" applyFont="1" applyFill="1" applyBorder="1" applyAlignment="1">
      <alignment horizontal="center"/>
    </xf>
    <xf numFmtId="2" fontId="13" fillId="0" borderId="0" xfId="0" applyNumberFormat="1" applyFont="1"/>
    <xf numFmtId="165" fontId="13" fillId="0" borderId="0" xfId="1" applyNumberFormat="1" applyFont="1"/>
    <xf numFmtId="0" fontId="15" fillId="0" borderId="0" xfId="2"/>
    <xf numFmtId="0" fontId="2" fillId="0" borderId="0" xfId="0" applyFont="1" applyAlignment="1">
      <alignment horizontal="left" vertical="center" wrapText="1"/>
    </xf>
    <xf numFmtId="0" fontId="4" fillId="2" borderId="19"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2" xfId="0" applyFont="1" applyFill="1" applyBorder="1"/>
    <xf numFmtId="0" fontId="4" fillId="3" borderId="0" xfId="0" applyFont="1" applyFill="1" applyBorder="1" applyAlignment="1">
      <alignment horizontal="left"/>
    </xf>
    <xf numFmtId="0" fontId="4" fillId="3" borderId="2" xfId="0" applyFont="1" applyFill="1" applyBorder="1" applyAlignment="1">
      <alignment horizontal="left"/>
    </xf>
    <xf numFmtId="0" fontId="4" fillId="3" borderId="5" xfId="0" applyFont="1" applyFill="1" applyBorder="1" applyAlignment="1">
      <alignment horizontal="left"/>
    </xf>
    <xf numFmtId="0" fontId="4" fillId="3" borderId="9"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10" fontId="2" fillId="4" borderId="0" xfId="0" applyNumberFormat="1" applyFont="1" applyFill="1" applyBorder="1"/>
    <xf numFmtId="10" fontId="2" fillId="0" borderId="0" xfId="0" applyNumberFormat="1" applyFont="1" applyBorder="1"/>
    <xf numFmtId="10" fontId="2" fillId="4" borderId="8" xfId="0" applyNumberFormat="1" applyFont="1" applyFill="1" applyBorder="1"/>
    <xf numFmtId="10" fontId="2" fillId="4" borderId="9" xfId="0" applyNumberFormat="1" applyFont="1" applyFill="1" applyBorder="1"/>
    <xf numFmtId="10" fontId="2" fillId="0" borderId="8" xfId="0" applyNumberFormat="1" applyFont="1" applyBorder="1"/>
    <xf numFmtId="10" fontId="2" fillId="0" borderId="9" xfId="0" applyNumberFormat="1" applyFont="1" applyBorder="1"/>
    <xf numFmtId="10" fontId="2" fillId="0" borderId="13" xfId="0" applyNumberFormat="1" applyFont="1" applyBorder="1"/>
    <xf numFmtId="10" fontId="2" fillId="0" borderId="14" xfId="0" applyNumberFormat="1" applyFont="1" applyBorder="1"/>
    <xf numFmtId="10" fontId="2" fillId="4" borderId="1" xfId="0" applyNumberFormat="1" applyFont="1" applyFill="1" applyBorder="1"/>
    <xf numFmtId="10" fontId="2" fillId="4" borderId="5" xfId="0" applyNumberFormat="1" applyFont="1" applyFill="1" applyBorder="1"/>
    <xf numFmtId="10" fontId="2" fillId="4" borderId="2" xfId="0" applyNumberFormat="1" applyFont="1" applyFill="1" applyBorder="1"/>
    <xf numFmtId="49" fontId="2" fillId="4" borderId="1" xfId="0" applyNumberFormat="1" applyFont="1" applyFill="1" applyBorder="1"/>
    <xf numFmtId="49" fontId="2" fillId="0" borderId="8" xfId="0" applyNumberFormat="1" applyFont="1" applyBorder="1"/>
    <xf numFmtId="49" fontId="2" fillId="4" borderId="8" xfId="0" applyNumberFormat="1" applyFont="1" applyFill="1" applyBorder="1"/>
    <xf numFmtId="49" fontId="2" fillId="0" borderId="12" xfId="0" applyNumberFormat="1" applyFont="1" applyBorder="1"/>
    <xf numFmtId="10" fontId="2" fillId="4" borderId="1" xfId="0" applyNumberFormat="1" applyFont="1" applyFill="1" applyBorder="1" applyAlignment="1">
      <alignment horizontal="center"/>
    </xf>
    <xf numFmtId="10" fontId="2" fillId="4" borderId="5" xfId="0" applyNumberFormat="1" applyFont="1" applyFill="1" applyBorder="1" applyAlignment="1">
      <alignment horizontal="center"/>
    </xf>
    <xf numFmtId="10" fontId="2" fillId="0" borderId="8" xfId="0" applyNumberFormat="1" applyFont="1" applyBorder="1" applyAlignment="1">
      <alignment horizontal="center"/>
    </xf>
    <xf numFmtId="10" fontId="2" fillId="0" borderId="9" xfId="0" applyNumberFormat="1" applyFont="1" applyBorder="1" applyAlignment="1">
      <alignment horizontal="center"/>
    </xf>
    <xf numFmtId="10" fontId="2" fillId="4" borderId="8" xfId="0" applyNumberFormat="1" applyFont="1" applyFill="1" applyBorder="1" applyAlignment="1">
      <alignment horizontal="center"/>
    </xf>
    <xf numFmtId="10" fontId="2" fillId="4" borderId="9" xfId="0" applyNumberFormat="1" applyFont="1" applyFill="1" applyBorder="1" applyAlignment="1">
      <alignment horizontal="center"/>
    </xf>
    <xf numFmtId="10" fontId="2" fillId="0" borderId="12" xfId="0" applyNumberFormat="1" applyFont="1" applyBorder="1" applyAlignment="1">
      <alignment horizontal="center"/>
    </xf>
    <xf numFmtId="10" fontId="2" fillId="0" borderId="14" xfId="0" applyNumberFormat="1" applyFont="1" applyBorder="1" applyAlignment="1">
      <alignment horizontal="center"/>
    </xf>
    <xf numFmtId="199" fontId="2" fillId="4" borderId="1" xfId="0" applyNumberFormat="1" applyFont="1" applyFill="1" applyBorder="1" applyAlignment="1">
      <alignment horizontal="center"/>
    </xf>
    <xf numFmtId="199" fontId="2" fillId="0" borderId="8" xfId="0" applyNumberFormat="1" applyFont="1" applyBorder="1" applyAlignment="1">
      <alignment horizontal="center"/>
    </xf>
    <xf numFmtId="199" fontId="2" fillId="4" borderId="8" xfId="0" applyNumberFormat="1" applyFont="1" applyFill="1" applyBorder="1" applyAlignment="1">
      <alignment horizontal="center"/>
    </xf>
    <xf numFmtId="10" fontId="2" fillId="4" borderId="12" xfId="0" applyNumberFormat="1" applyFont="1" applyFill="1" applyBorder="1"/>
    <xf numFmtId="10" fontId="2" fillId="4" borderId="13" xfId="0" applyNumberFormat="1" applyFont="1" applyFill="1" applyBorder="1"/>
    <xf numFmtId="10" fontId="2" fillId="4" borderId="14" xfId="0" applyNumberFormat="1" applyFont="1" applyFill="1" applyBorder="1"/>
    <xf numFmtId="199" fontId="2" fillId="4" borderId="2" xfId="0" applyNumberFormat="1" applyFont="1" applyFill="1" applyBorder="1" applyAlignment="1">
      <alignment horizontal="center"/>
    </xf>
    <xf numFmtId="199" fontId="2" fillId="0" borderId="0" xfId="0" applyNumberFormat="1" applyFont="1" applyBorder="1" applyAlignment="1">
      <alignment horizontal="center"/>
    </xf>
    <xf numFmtId="199" fontId="2" fillId="4" borderId="0" xfId="0" applyNumberFormat="1" applyFont="1" applyFill="1" applyBorder="1" applyAlignment="1">
      <alignment horizontal="center"/>
    </xf>
    <xf numFmtId="14" fontId="2" fillId="4" borderId="1" xfId="0" applyNumberFormat="1" applyFont="1" applyFill="1" applyBorder="1" applyAlignment="1">
      <alignment horizontal="left"/>
    </xf>
    <xf numFmtId="14" fontId="2" fillId="0" borderId="8" xfId="0" applyNumberFormat="1" applyFont="1" applyBorder="1" applyAlignment="1">
      <alignment horizontal="left"/>
    </xf>
    <xf numFmtId="14" fontId="2" fillId="4" borderId="8" xfId="0" applyNumberFormat="1" applyFont="1" applyFill="1" applyBorder="1" applyAlignment="1">
      <alignment horizontal="left"/>
    </xf>
    <xf numFmtId="49" fontId="2" fillId="0" borderId="8" xfId="0" applyNumberFormat="1" applyFont="1" applyBorder="1" applyAlignment="1">
      <alignment horizontal="left"/>
    </xf>
    <xf numFmtId="49" fontId="2" fillId="4" borderId="8" xfId="0" applyNumberFormat="1" applyFont="1" applyFill="1" applyBorder="1" applyAlignment="1">
      <alignment horizontal="left"/>
    </xf>
    <xf numFmtId="199" fontId="2" fillId="4" borderId="12" xfId="0" applyNumberFormat="1" applyFont="1" applyFill="1" applyBorder="1" applyAlignment="1">
      <alignment horizontal="center"/>
    </xf>
    <xf numFmtId="199" fontId="2" fillId="4" borderId="13" xfId="0" applyNumberFormat="1" applyFont="1" applyFill="1" applyBorder="1" applyAlignment="1">
      <alignment horizontal="center"/>
    </xf>
    <xf numFmtId="14" fontId="2" fillId="4" borderId="12" xfId="0" applyNumberFormat="1" applyFont="1" applyFill="1" applyBorder="1" applyAlignment="1">
      <alignment horizontal="left"/>
    </xf>
    <xf numFmtId="9" fontId="2" fillId="0" borderId="0" xfId="1" applyNumberFormat="1" applyFont="1"/>
    <xf numFmtId="10" fontId="13" fillId="0" borderId="0" xfId="0" applyNumberFormat="1" applyFont="1"/>
    <xf numFmtId="10" fontId="12" fillId="0" borderId="0" xfId="0" applyNumberFormat="1" applyFont="1"/>
    <xf numFmtId="1" fontId="13" fillId="0" borderId="0" xfId="0" applyNumberFormat="1" applyFont="1"/>
    <xf numFmtId="1" fontId="12" fillId="0" borderId="0" xfId="0" applyNumberFormat="1" applyFont="1"/>
    <xf numFmtId="0" fontId="18" fillId="0" borderId="0" xfId="0" applyFont="1" applyAlignment="1">
      <alignment vertical="top" wrapText="1"/>
    </xf>
    <xf numFmtId="165" fontId="18" fillId="0" borderId="0" xfId="1" applyNumberFormat="1" applyFont="1"/>
    <xf numFmtId="0" fontId="18" fillId="0" borderId="0" xfId="0" applyFont="1"/>
    <xf numFmtId="10" fontId="18" fillId="0" borderId="0" xfId="0" applyNumberFormat="1" applyFont="1"/>
    <xf numFmtId="1" fontId="18" fillId="0" borderId="0" xfId="0" applyNumberFormat="1" applyFont="1"/>
    <xf numFmtId="2" fontId="18" fillId="0" borderId="0" xfId="0" applyNumberFormat="1" applyFont="1"/>
    <xf numFmtId="0" fontId="13" fillId="0" borderId="0" xfId="0" applyFont="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8BCAE"/>
      <color rgb="FF52B2A2"/>
      <color rgb="FF469C8E"/>
      <color rgb="FF419184"/>
      <color rgb="FF4CAA9A"/>
      <color rgb="FFC45898"/>
      <color rgb="FFB03E82"/>
      <color rgb="FF409083"/>
      <color rgb="FF347469"/>
      <color rgb="FF72C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(GOOGL) Historical Return Histogram + Normal Distribution Overlay</a:t>
            </a:r>
          </a:p>
        </c:rich>
      </c:tx>
      <c:layout>
        <c:manualLayout>
          <c:xMode val="edge"/>
          <c:yMode val="edge"/>
          <c:x val="0.28739229481479678"/>
          <c:y val="1.793358079478241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strRef>
              <c:f>'Notes | Quant Analysis'!$I$190</c:f>
              <c:strCache>
                <c:ptCount val="1"/>
                <c:pt idx="0">
                  <c:v>Histogram Data</c:v>
                </c:pt>
              </c:strCache>
            </c:strRef>
          </c:tx>
          <c:spPr>
            <a:ln w="38100" cap="rnd">
              <a:noFill/>
              <a:round/>
            </a:ln>
            <a:effectLst/>
          </c:spPr>
          <c:marker>
            <c:symbol val="none"/>
          </c:marker>
          <c:errBars>
            <c:errDir val="y"/>
            <c:errBarType val="minus"/>
            <c:errValType val="percentage"/>
            <c:noEndCap val="1"/>
            <c:val val="100"/>
            <c:spPr>
              <a:noFill/>
              <a:ln w="292100" cap="flat" cmpd="sng" algn="ctr">
                <a:solidFill>
                  <a:srgbClr val="00B0F0"/>
                </a:solidFill>
                <a:round/>
              </a:ln>
              <a:effectLst/>
            </c:spPr>
          </c:errBars>
          <c:xVal>
            <c:numRef>
              <c:f>'Notes | Quant Analysis'!$I$192:$I$232</c:f>
              <c:numCache>
                <c:formatCode>0.00%</c:formatCode>
                <c:ptCount val="41"/>
                <c:pt idx="0">
                  <c:v>-0.05</c:v>
                </c:pt>
                <c:pt idx="1">
                  <c:v>-4.7500000000000001E-2</c:v>
                </c:pt>
                <c:pt idx="2">
                  <c:v>-4.4999999999999998E-2</c:v>
                </c:pt>
                <c:pt idx="3">
                  <c:v>-4.2500000000000003E-2</c:v>
                </c:pt>
                <c:pt idx="4">
                  <c:v>-0.04</c:v>
                </c:pt>
                <c:pt idx="5">
                  <c:v>-3.7499999999999999E-2</c:v>
                </c:pt>
                <c:pt idx="6">
                  <c:v>-3.5000000000000003E-2</c:v>
                </c:pt>
                <c:pt idx="7">
                  <c:v>-3.2500000000000001E-2</c:v>
                </c:pt>
                <c:pt idx="8">
                  <c:v>-0.03</c:v>
                </c:pt>
                <c:pt idx="9">
                  <c:v>-2.75E-2</c:v>
                </c:pt>
                <c:pt idx="10">
                  <c:v>-2.5000000000000001E-2</c:v>
                </c:pt>
                <c:pt idx="11">
                  <c:v>-2.2499999999999999E-2</c:v>
                </c:pt>
                <c:pt idx="12">
                  <c:v>-0.02</c:v>
                </c:pt>
                <c:pt idx="13">
                  <c:v>-1.7500000000000002E-2</c:v>
                </c:pt>
                <c:pt idx="14">
                  <c:v>-1.4999999999999999E-2</c:v>
                </c:pt>
                <c:pt idx="15">
                  <c:v>-1.2500000000000001E-2</c:v>
                </c:pt>
                <c:pt idx="16">
                  <c:v>-0.01</c:v>
                </c:pt>
                <c:pt idx="17">
                  <c:v>-7.4999999999999997E-3</c:v>
                </c:pt>
                <c:pt idx="18">
                  <c:v>-5.0000000000000001E-3</c:v>
                </c:pt>
                <c:pt idx="19">
                  <c:v>-2.5000000000000001E-3</c:v>
                </c:pt>
                <c:pt idx="20">
                  <c:v>0</c:v>
                </c:pt>
                <c:pt idx="21">
                  <c:v>2.5000000000000001E-3</c:v>
                </c:pt>
                <c:pt idx="22">
                  <c:v>5.0000000000000001E-3</c:v>
                </c:pt>
                <c:pt idx="23">
                  <c:v>7.4999999999999997E-3</c:v>
                </c:pt>
                <c:pt idx="24">
                  <c:v>0.01</c:v>
                </c:pt>
                <c:pt idx="25">
                  <c:v>1.2500000000000001E-2</c:v>
                </c:pt>
                <c:pt idx="26">
                  <c:v>1.4999999999999999E-2</c:v>
                </c:pt>
                <c:pt idx="27">
                  <c:v>1.7500000000000002E-2</c:v>
                </c:pt>
                <c:pt idx="28">
                  <c:v>0.02</c:v>
                </c:pt>
                <c:pt idx="29">
                  <c:v>2.2499999999999999E-2</c:v>
                </c:pt>
                <c:pt idx="30">
                  <c:v>2.5000000000000001E-2</c:v>
                </c:pt>
                <c:pt idx="31">
                  <c:v>2.75E-2</c:v>
                </c:pt>
                <c:pt idx="32">
                  <c:v>0.03</c:v>
                </c:pt>
                <c:pt idx="33">
                  <c:v>3.2500000000000001E-2</c:v>
                </c:pt>
                <c:pt idx="34">
                  <c:v>3.5000000000000003E-2</c:v>
                </c:pt>
                <c:pt idx="35">
                  <c:v>3.7499999999999999E-2</c:v>
                </c:pt>
                <c:pt idx="36">
                  <c:v>0.04</c:v>
                </c:pt>
                <c:pt idx="37">
                  <c:v>4.2500000000000003E-2</c:v>
                </c:pt>
                <c:pt idx="38">
                  <c:v>4.4999999999999998E-2</c:v>
                </c:pt>
                <c:pt idx="39">
                  <c:v>4.7500000000000001E-2</c:v>
                </c:pt>
                <c:pt idx="40">
                  <c:v>0.05</c:v>
                </c:pt>
              </c:numCache>
            </c:numRef>
          </c:xVal>
          <c:yVal>
            <c:numRef>
              <c:f>'Notes | Quant Analysis'!$J$192:$J$232</c:f>
              <c:numCache>
                <c:formatCode>General</c:formatCode>
                <c:ptCount val="41"/>
                <c:pt idx="0">
                  <c:v>1</c:v>
                </c:pt>
                <c:pt idx="1">
                  <c:v>2</c:v>
                </c:pt>
                <c:pt idx="2">
                  <c:v>2</c:v>
                </c:pt>
                <c:pt idx="3">
                  <c:v>4</c:v>
                </c:pt>
                <c:pt idx="4">
                  <c:v>2</c:v>
                </c:pt>
                <c:pt idx="5">
                  <c:v>6</c:v>
                </c:pt>
                <c:pt idx="6">
                  <c:v>4</c:v>
                </c:pt>
                <c:pt idx="7">
                  <c:v>9</c:v>
                </c:pt>
                <c:pt idx="8">
                  <c:v>14</c:v>
                </c:pt>
                <c:pt idx="9">
                  <c:v>16</c:v>
                </c:pt>
                <c:pt idx="10">
                  <c:v>13</c:v>
                </c:pt>
                <c:pt idx="11">
                  <c:v>25</c:v>
                </c:pt>
                <c:pt idx="12">
                  <c:v>27</c:v>
                </c:pt>
                <c:pt idx="13">
                  <c:v>39</c:v>
                </c:pt>
                <c:pt idx="14">
                  <c:v>57</c:v>
                </c:pt>
                <c:pt idx="15">
                  <c:v>57</c:v>
                </c:pt>
                <c:pt idx="16">
                  <c:v>79</c:v>
                </c:pt>
                <c:pt idx="17">
                  <c:v>97</c:v>
                </c:pt>
                <c:pt idx="18">
                  <c:v>111</c:v>
                </c:pt>
                <c:pt idx="19">
                  <c:v>113</c:v>
                </c:pt>
                <c:pt idx="20">
                  <c:v>146</c:v>
                </c:pt>
                <c:pt idx="21">
                  <c:v>147</c:v>
                </c:pt>
                <c:pt idx="22">
                  <c:v>134</c:v>
                </c:pt>
                <c:pt idx="23">
                  <c:v>130</c:v>
                </c:pt>
                <c:pt idx="24">
                  <c:v>91</c:v>
                </c:pt>
                <c:pt idx="25">
                  <c:v>107</c:v>
                </c:pt>
                <c:pt idx="26">
                  <c:v>84</c:v>
                </c:pt>
                <c:pt idx="27">
                  <c:v>60</c:v>
                </c:pt>
                <c:pt idx="28">
                  <c:v>48</c:v>
                </c:pt>
                <c:pt idx="29">
                  <c:v>28</c:v>
                </c:pt>
                <c:pt idx="30">
                  <c:v>22</c:v>
                </c:pt>
                <c:pt idx="31">
                  <c:v>25</c:v>
                </c:pt>
                <c:pt idx="32">
                  <c:v>14</c:v>
                </c:pt>
                <c:pt idx="33">
                  <c:v>12</c:v>
                </c:pt>
                <c:pt idx="34">
                  <c:v>9</c:v>
                </c:pt>
                <c:pt idx="35">
                  <c:v>3</c:v>
                </c:pt>
                <c:pt idx="36">
                  <c:v>1</c:v>
                </c:pt>
                <c:pt idx="37">
                  <c:v>1</c:v>
                </c:pt>
                <c:pt idx="38">
                  <c:v>8</c:v>
                </c:pt>
                <c:pt idx="39">
                  <c:v>0</c:v>
                </c:pt>
                <c:pt idx="40">
                  <c:v>1</c:v>
                </c:pt>
              </c:numCache>
            </c:numRef>
          </c:yVal>
          <c:smooth val="1"/>
          <c:extLst>
            <c:ext xmlns:c16="http://schemas.microsoft.com/office/drawing/2014/chart" uri="{C3380CC4-5D6E-409C-BE32-E72D297353CC}">
              <c16:uniqueId val="{00000000-A3E0-4241-B9E2-C6C1132A9B06}"/>
            </c:ext>
          </c:extLst>
        </c:ser>
        <c:ser>
          <c:idx val="1"/>
          <c:order val="1"/>
          <c:tx>
            <c:strRef>
              <c:f>'Notes | Quant Analysis'!$L$190</c:f>
              <c:strCache>
                <c:ptCount val="1"/>
                <c:pt idx="0">
                  <c:v>Distribution Overlay</c:v>
                </c:pt>
              </c:strCache>
            </c:strRef>
          </c:tx>
          <c:spPr>
            <a:ln w="19050" cap="rnd">
              <a:solidFill>
                <a:srgbClr val="FFC000"/>
              </a:solid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Analysis'!$L$192:$L$234</c:f>
              <c:numCache>
                <c:formatCode>0.00%</c:formatCode>
                <c:ptCount val="43"/>
                <c:pt idx="0">
                  <c:v>-5.0999999999999997E-2</c:v>
                </c:pt>
                <c:pt idx="1">
                  <c:v>-0.05</c:v>
                </c:pt>
                <c:pt idx="2">
                  <c:v>-4.7500000000000001E-2</c:v>
                </c:pt>
                <c:pt idx="3">
                  <c:v>-4.4999999999999998E-2</c:v>
                </c:pt>
                <c:pt idx="4">
                  <c:v>-4.2500000000000003E-2</c:v>
                </c:pt>
                <c:pt idx="5">
                  <c:v>-0.04</c:v>
                </c:pt>
                <c:pt idx="6">
                  <c:v>-3.7499999999999999E-2</c:v>
                </c:pt>
                <c:pt idx="7">
                  <c:v>-3.5000000000000003E-2</c:v>
                </c:pt>
                <c:pt idx="8">
                  <c:v>-3.2500000000000001E-2</c:v>
                </c:pt>
                <c:pt idx="9">
                  <c:v>-0.03</c:v>
                </c:pt>
                <c:pt idx="10">
                  <c:v>-2.75E-2</c:v>
                </c:pt>
                <c:pt idx="11">
                  <c:v>-2.5000000000000001E-2</c:v>
                </c:pt>
                <c:pt idx="12">
                  <c:v>-2.2499999999999999E-2</c:v>
                </c:pt>
                <c:pt idx="13">
                  <c:v>-0.02</c:v>
                </c:pt>
                <c:pt idx="14">
                  <c:v>-1.7500000000000002E-2</c:v>
                </c:pt>
                <c:pt idx="15">
                  <c:v>-1.4999999999999999E-2</c:v>
                </c:pt>
                <c:pt idx="16">
                  <c:v>-1.2500000000000001E-2</c:v>
                </c:pt>
                <c:pt idx="17">
                  <c:v>-0.01</c:v>
                </c:pt>
                <c:pt idx="18">
                  <c:v>-7.4999999999999997E-3</c:v>
                </c:pt>
                <c:pt idx="19">
                  <c:v>-5.0000000000000001E-3</c:v>
                </c:pt>
                <c:pt idx="20">
                  <c:v>-2.5000000000000001E-3</c:v>
                </c:pt>
                <c:pt idx="21">
                  <c:v>0</c:v>
                </c:pt>
                <c:pt idx="22">
                  <c:v>2.5000000000000001E-3</c:v>
                </c:pt>
                <c:pt idx="23">
                  <c:v>5.0000000000000001E-3</c:v>
                </c:pt>
                <c:pt idx="24">
                  <c:v>7.4999999999999997E-3</c:v>
                </c:pt>
                <c:pt idx="25">
                  <c:v>0.01</c:v>
                </c:pt>
                <c:pt idx="26">
                  <c:v>1.2500000000000001E-2</c:v>
                </c:pt>
                <c:pt idx="27">
                  <c:v>1.4999999999999999E-2</c:v>
                </c:pt>
                <c:pt idx="28">
                  <c:v>1.7500000000000002E-2</c:v>
                </c:pt>
                <c:pt idx="29">
                  <c:v>0.02</c:v>
                </c:pt>
                <c:pt idx="30">
                  <c:v>2.2499999999999999E-2</c:v>
                </c:pt>
                <c:pt idx="31">
                  <c:v>2.5000000000000001E-2</c:v>
                </c:pt>
                <c:pt idx="32">
                  <c:v>2.75E-2</c:v>
                </c:pt>
                <c:pt idx="33">
                  <c:v>0.03</c:v>
                </c:pt>
                <c:pt idx="34">
                  <c:v>3.2500000000000001E-2</c:v>
                </c:pt>
                <c:pt idx="35">
                  <c:v>3.5000000000000003E-2</c:v>
                </c:pt>
                <c:pt idx="36">
                  <c:v>3.7499999999999999E-2</c:v>
                </c:pt>
                <c:pt idx="37">
                  <c:v>0.04</c:v>
                </c:pt>
                <c:pt idx="38">
                  <c:v>4.2500000000000003E-2</c:v>
                </c:pt>
                <c:pt idx="39">
                  <c:v>4.4999999999999998E-2</c:v>
                </c:pt>
                <c:pt idx="40">
                  <c:v>4.7500000000000001E-2</c:v>
                </c:pt>
                <c:pt idx="41">
                  <c:v>0.05</c:v>
                </c:pt>
                <c:pt idx="42">
                  <c:v>5.0999999999999997E-2</c:v>
                </c:pt>
              </c:numCache>
            </c:numRef>
          </c:xVal>
          <c:yVal>
            <c:numRef>
              <c:f>'Notes | Quant Analysis'!$M$192:$M$234</c:f>
              <c:numCache>
                <c:formatCode>General</c:formatCode>
                <c:ptCount val="43"/>
                <c:pt idx="0">
                  <c:v>6.6775706457171152E-2</c:v>
                </c:pt>
                <c:pt idx="1">
                  <c:v>8.4022264795402812E-2</c:v>
                </c:pt>
                <c:pt idx="2">
                  <c:v>0.146319370465953</c:v>
                </c:pt>
                <c:pt idx="3">
                  <c:v>0.24775377353314157</c:v>
                </c:pt>
                <c:pt idx="4">
                  <c:v>0.40789628100104386</c:v>
                </c:pt>
                <c:pt idx="5">
                  <c:v>0.65296548724252568</c:v>
                </c:pt>
                <c:pt idx="6">
                  <c:v>1.0163463274624231</c:v>
                </c:pt>
                <c:pt idx="7">
                  <c:v>1.5381696255550978</c:v>
                </c:pt>
                <c:pt idx="8">
                  <c:v>2.2634856920355482</c:v>
                </c:pt>
                <c:pt idx="9">
                  <c:v>3.2386371240228002</c:v>
                </c:pt>
                <c:pt idx="10">
                  <c:v>4.5056540169286459</c:v>
                </c:pt>
                <c:pt idx="11">
                  <c:v>6.0948693915198593</c:v>
                </c:pt>
                <c:pt idx="12">
                  <c:v>8.0164480190311611</c:v>
                </c:pt>
                <c:pt idx="13">
                  <c:v>10.252046607820898</c:v>
                </c:pt>
                <c:pt idx="14">
                  <c:v>12.748238407029527</c:v>
                </c:pt>
                <c:pt idx="15">
                  <c:v>15.413483263697387</c:v>
                </c:pt>
                <c:pt idx="16">
                  <c:v>18.120176657727217</c:v>
                </c:pt>
                <c:pt idx="17">
                  <c:v>20.712621705506777</c:v>
                </c:pt>
                <c:pt idx="18">
                  <c:v>23.020711007658448</c:v>
                </c:pt>
                <c:pt idx="19">
                  <c:v>24.877882154876609</c:v>
                </c:pt>
                <c:pt idx="20">
                  <c:v>26.140813176927853</c:v>
                </c:pt>
                <c:pt idx="21">
                  <c:v>26.707657244941068</c:v>
                </c:pt>
                <c:pt idx="22">
                  <c:v>26.53160411744031</c:v>
                </c:pt>
                <c:pt idx="23">
                  <c:v>25.627263636340295</c:v>
                </c:pt>
                <c:pt idx="24">
                  <c:v>24.068663685973849</c:v>
                </c:pt>
                <c:pt idx="25">
                  <c:v>21.979243179291533</c:v>
                </c:pt>
                <c:pt idx="26">
                  <c:v>19.515716625059486</c:v>
                </c:pt>
                <c:pt idx="27">
                  <c:v>16.848734483707524</c:v>
                </c:pt>
                <c:pt idx="28">
                  <c:v>14.14363639867774</c:v>
                </c:pt>
                <c:pt idx="29">
                  <c:v>11.544254526713733</c:v>
                </c:pt>
                <c:pt idx="30">
                  <c:v>9.1618192098412692</c:v>
                </c:pt>
                <c:pt idx="31">
                  <c:v>7.0698232356101691</c:v>
                </c:pt>
                <c:pt idx="32">
                  <c:v>5.3045238565518211</c:v>
                </c:pt>
                <c:pt idx="33">
                  <c:v>3.8698601636061194</c:v>
                </c:pt>
                <c:pt idx="34">
                  <c:v>2.7450809196373842</c:v>
                </c:pt>
                <c:pt idx="35">
                  <c:v>1.8933288115696254</c:v>
                </c:pt>
                <c:pt idx="36">
                  <c:v>1.2697199699184409</c:v>
                </c:pt>
                <c:pt idx="37">
                  <c:v>0.82794382269872269</c:v>
                </c:pt>
                <c:pt idx="38">
                  <c:v>0.52493412212685409</c:v>
                </c:pt>
                <c:pt idx="39">
                  <c:v>0.32360837412860016</c:v>
                </c:pt>
                <c:pt idx="40">
                  <c:v>0.19397497861951937</c:v>
                </c:pt>
                <c:pt idx="41">
                  <c:v>0.11305315519962138</c:v>
                </c:pt>
                <c:pt idx="42">
                  <c:v>9.0382544021678557E-2</c:v>
                </c:pt>
              </c:numCache>
            </c:numRef>
          </c:yVal>
          <c:smooth val="1"/>
          <c:extLst>
            <c:ext xmlns:c16="http://schemas.microsoft.com/office/drawing/2014/chart" uri="{C3380CC4-5D6E-409C-BE32-E72D297353CC}">
              <c16:uniqueId val="{00000001-A3E0-4241-B9E2-C6C1132A9B06}"/>
            </c:ext>
          </c:extLst>
        </c:ser>
        <c:ser>
          <c:idx val="2"/>
          <c:order val="2"/>
          <c:tx>
            <c:strRef>
              <c:f>'Notes | Quant Analysis'!$O$192</c:f>
              <c:strCache>
                <c:ptCount val="1"/>
                <c:pt idx="0">
                  <c:v>Mean</c:v>
                </c:pt>
              </c:strCache>
            </c:strRef>
          </c:tx>
          <c:spPr>
            <a:ln w="19050" cap="rnd">
              <a:solidFill>
                <a:srgbClr val="FFC000"/>
              </a:solidFill>
              <a:round/>
            </a:ln>
            <a:effectLst/>
          </c:spPr>
          <c:marker>
            <c:symbol val="none"/>
          </c:marker>
          <c:dLbls>
            <c:dLbl>
              <c:idx val="1"/>
              <c:layout>
                <c:manualLayout>
                  <c:x val="-6.5766383052619601E-2"/>
                  <c:y val="-3.451816685135794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2813259121525314"/>
                      <c:h val="0.10009652314952863"/>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Analysis'!$P$192:$P$193</c:f>
              <c:numCache>
                <c:formatCode>0.00%</c:formatCode>
                <c:ptCount val="2"/>
                <c:pt idx="0">
                  <c:v>6.6088506481735965E-4</c:v>
                </c:pt>
                <c:pt idx="1">
                  <c:v>6.6088506481735965E-4</c:v>
                </c:pt>
              </c:numCache>
            </c:numRef>
          </c:xVal>
          <c:yVal>
            <c:numRef>
              <c:f>'Notes | Quant Analysis'!$Q$192:$Q$193</c:f>
              <c:numCache>
                <c:formatCode>General</c:formatCode>
                <c:ptCount val="2"/>
                <c:pt idx="0">
                  <c:v>0</c:v>
                </c:pt>
                <c:pt idx="1">
                  <c:v>30</c:v>
                </c:pt>
              </c:numCache>
            </c:numRef>
          </c:yVal>
          <c:smooth val="1"/>
          <c:extLst>
            <c:ext xmlns:c16="http://schemas.microsoft.com/office/drawing/2014/chart" uri="{C3380CC4-5D6E-409C-BE32-E72D297353CC}">
              <c16:uniqueId val="{00000002-A3E0-4241-B9E2-C6C1132A9B06}"/>
            </c:ext>
          </c:extLst>
        </c:ser>
        <c:ser>
          <c:idx val="3"/>
          <c:order val="3"/>
          <c:tx>
            <c:strRef>
              <c:f>'Notes | Quant Analysis'!$O$194</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4.3824748548012091E-2"/>
                  <c:y val="-6.215079158208070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94106980483929E-2"/>
                      <c:h val="6.7265517781102749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Analysis'!$P$194:$P$195</c:f>
              <c:numCache>
                <c:formatCode>0.00%</c:formatCode>
                <c:ptCount val="2"/>
                <c:pt idx="0">
                  <c:v>-4.4107314081274746E-2</c:v>
                </c:pt>
                <c:pt idx="1">
                  <c:v>-4.4107314081274746E-2</c:v>
                </c:pt>
              </c:numCache>
            </c:numRef>
          </c:xVal>
          <c:yVal>
            <c:numRef>
              <c:f>'Notes | Quant Analysis'!$Q$194:$Q$195</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Analysis'!$O$196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55922370455E-2"/>
                  <c:y val="-3.34079864501700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Analysis'!$P$196:$P$197</c:f>
              <c:numCache>
                <c:formatCode>0.00%</c:formatCode>
                <c:ptCount val="2"/>
                <c:pt idx="0">
                  <c:v>-2.9184581032577376E-2</c:v>
                </c:pt>
                <c:pt idx="1">
                  <c:v>-2.9184581032577376E-2</c:v>
                </c:pt>
              </c:numCache>
            </c:numRef>
          </c:xVal>
          <c:yVal>
            <c:numRef>
              <c:f>'Notes | Quant Analysis'!$Q$196:$Q$197</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Analysis'!$O$198</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6.1036296658272989E-2"/>
                  <c:y val="-3.2721863689548526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0.11394133400884394"/>
                      <c:h val="8.2260771368979094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Analysis'!$P$198:$P$199</c:f>
              <c:numCache>
                <c:formatCode>0.00%</c:formatCode>
                <c:ptCount val="2"/>
                <c:pt idx="0">
                  <c:v>-1.4261847983880008E-2</c:v>
                </c:pt>
                <c:pt idx="1">
                  <c:v>-1.4261847983880008E-2</c:v>
                </c:pt>
              </c:numCache>
            </c:numRef>
          </c:xVal>
          <c:yVal>
            <c:numRef>
              <c:f>'Notes | Quant Analysis'!$Q$198:$Q$199</c:f>
              <c:numCache>
                <c:formatCode>General</c:formatCode>
                <c:ptCount val="2"/>
                <c:pt idx="0">
                  <c:v>0</c:v>
                </c:pt>
                <c:pt idx="1">
                  <c:v>20</c:v>
                </c:pt>
              </c:numCache>
            </c:numRef>
          </c:yVal>
          <c:smooth val="1"/>
          <c:extLst>
            <c:ext xmlns:c16="http://schemas.microsoft.com/office/drawing/2014/chart" uri="{C3380CC4-5D6E-409C-BE32-E72D297353CC}">
              <c16:uniqueId val="{00000006-A3E0-4241-B9E2-C6C1132A9B06}"/>
            </c:ext>
          </c:extLst>
        </c:ser>
        <c:ser>
          <c:idx val="6"/>
          <c:order val="6"/>
          <c:tx>
            <c:strRef>
              <c:f>'Notes | Quant Analysis'!$O$200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4.7148620014941314E-2"/>
                  <c:y val="-3.5087329761262741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Analysis'!$P$200:$P$201</c:f>
              <c:numCache>
                <c:formatCode>0.00%</c:formatCode>
                <c:ptCount val="2"/>
                <c:pt idx="0">
                  <c:v>1.5583618113514728E-2</c:v>
                </c:pt>
                <c:pt idx="1">
                  <c:v>1.5583618113514728E-2</c:v>
                </c:pt>
              </c:numCache>
            </c:numRef>
          </c:xVal>
          <c:yVal>
            <c:numRef>
              <c:f>'Notes | Quant Analysis'!$Q$200:$Q$201</c:f>
              <c:numCache>
                <c:formatCode>General</c:formatCode>
                <c:ptCount val="2"/>
                <c:pt idx="0">
                  <c:v>0</c:v>
                </c:pt>
                <c:pt idx="1">
                  <c:v>20</c:v>
                </c:pt>
              </c:numCache>
            </c:numRef>
          </c:yVal>
          <c:smooth val="1"/>
          <c:extLst>
            <c:ext xmlns:c16="http://schemas.microsoft.com/office/drawing/2014/chart" uri="{C3380CC4-5D6E-409C-BE32-E72D297353CC}">
              <c16:uniqueId val="{00000007-A3E0-4241-B9E2-C6C1132A9B06}"/>
            </c:ext>
          </c:extLst>
        </c:ser>
        <c:ser>
          <c:idx val="7"/>
          <c:order val="7"/>
          <c:tx>
            <c:strRef>
              <c:f>'Notes | Quant Analysis'!$O$202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4.3960842643832862E-2"/>
                  <c:y val="-3.367098975084580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Analysis'!$P$202:$P$203</c:f>
              <c:numCache>
                <c:formatCode>0.00%</c:formatCode>
                <c:ptCount val="2"/>
                <c:pt idx="0">
                  <c:v>3.0506351162212095E-2</c:v>
                </c:pt>
                <c:pt idx="1">
                  <c:v>3.0506351162212095E-2</c:v>
                </c:pt>
              </c:numCache>
            </c:numRef>
          </c:xVal>
          <c:yVal>
            <c:numRef>
              <c:f>'Notes | Quant Analysis'!$Q$202:$Q$203</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Analysis'!$O$204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2.8425520147097757E-2"/>
                  <c:y val="-6.148616879401728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Analysis'!$P$204:$P$205</c:f>
              <c:numCache>
                <c:formatCode>0.00%</c:formatCode>
                <c:ptCount val="2"/>
                <c:pt idx="0">
                  <c:v>4.5429084210909465E-2</c:v>
                </c:pt>
                <c:pt idx="1">
                  <c:v>4.5429084210909465E-2</c:v>
                </c:pt>
              </c:numCache>
            </c:numRef>
          </c:xVal>
          <c:yVal>
            <c:numRef>
              <c:f>'Notes | Quant Analysis'!$Q$204:$Q$205</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2783"/>
        <c:crossesAt val="-1000"/>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Search Ads</c:v>
                </c:pt>
              </c:strCache>
            </c:strRef>
          </c:tx>
          <c:spPr>
            <a:solidFill>
              <a:srgbClr val="2C4D8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24502</c:v>
                </c:pt>
                <c:pt idx="1">
                  <c:v>21319</c:v>
                </c:pt>
                <c:pt idx="2">
                  <c:v>26338</c:v>
                </c:pt>
                <c:pt idx="3">
                  <c:v>31903</c:v>
                </c:pt>
                <c:pt idx="4">
                  <c:v>31879</c:v>
                </c:pt>
                <c:pt idx="5">
                  <c:v>35845</c:v>
                </c:pt>
                <c:pt idx="6">
                  <c:v>37926</c:v>
                </c:pt>
                <c:pt idx="7">
                  <c:v>43301</c:v>
                </c:pt>
                <c:pt idx="8">
                  <c:v>39618</c:v>
                </c:pt>
                <c:pt idx="9">
                  <c:v>40689</c:v>
                </c:pt>
                <c:pt idx="10">
                  <c:v>39539</c:v>
                </c:pt>
                <c:pt idx="11">
                  <c:v>42604</c:v>
                </c:pt>
                <c:pt idx="12">
                  <c:v>40359</c:v>
                </c:pt>
                <c:pt idx="13">
                  <c:v>42628</c:v>
                </c:pt>
                <c:pt idx="14">
                  <c:v>44026</c:v>
                </c:pt>
                <c:pt idx="15">
                  <c:v>48020</c:v>
                </c:pt>
                <c:pt idx="16">
                  <c:v>46156</c:v>
                </c:pt>
                <c:pt idx="17">
                  <c:v>48509</c:v>
                </c:pt>
                <c:pt idx="18">
                  <c:v>49385</c:v>
                </c:pt>
                <c:pt idx="19">
                  <c:v>54034</c:v>
                </c:pt>
                <c:pt idx="20">
                  <c:v>50702</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Youtube Ads</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4038</c:v>
                </c:pt>
                <c:pt idx="1">
                  <c:v>3812</c:v>
                </c:pt>
                <c:pt idx="2">
                  <c:v>5037</c:v>
                </c:pt>
                <c:pt idx="3">
                  <c:v>6885</c:v>
                </c:pt>
                <c:pt idx="4">
                  <c:v>6005</c:v>
                </c:pt>
                <c:pt idx="5">
                  <c:v>7002</c:v>
                </c:pt>
                <c:pt idx="6">
                  <c:v>7205</c:v>
                </c:pt>
                <c:pt idx="7">
                  <c:v>8633</c:v>
                </c:pt>
                <c:pt idx="8">
                  <c:v>6869</c:v>
                </c:pt>
                <c:pt idx="9">
                  <c:v>7340</c:v>
                </c:pt>
                <c:pt idx="10">
                  <c:v>7071</c:v>
                </c:pt>
                <c:pt idx="11">
                  <c:v>7963</c:v>
                </c:pt>
                <c:pt idx="12">
                  <c:v>6693</c:v>
                </c:pt>
                <c:pt idx="13">
                  <c:v>7665</c:v>
                </c:pt>
                <c:pt idx="14">
                  <c:v>7952</c:v>
                </c:pt>
                <c:pt idx="15">
                  <c:v>9200</c:v>
                </c:pt>
                <c:pt idx="16">
                  <c:v>8090</c:v>
                </c:pt>
                <c:pt idx="17">
                  <c:v>8663</c:v>
                </c:pt>
                <c:pt idx="18">
                  <c:v>8921</c:v>
                </c:pt>
                <c:pt idx="19">
                  <c:v>10473</c:v>
                </c:pt>
                <c:pt idx="20">
                  <c:v>8927</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Network Ads</c:v>
                </c:pt>
              </c:strCache>
            </c:strRef>
          </c:tx>
          <c:spPr>
            <a:solidFill>
              <a:srgbClr val="5B9BD5">
                <a:lumMod val="60000"/>
                <a:lumOff val="40000"/>
              </a:srgb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5223</c:v>
                </c:pt>
                <c:pt idx="1">
                  <c:v>4736</c:v>
                </c:pt>
                <c:pt idx="2">
                  <c:v>5720</c:v>
                </c:pt>
                <c:pt idx="3">
                  <c:v>7411</c:v>
                </c:pt>
                <c:pt idx="4">
                  <c:v>6800</c:v>
                </c:pt>
                <c:pt idx="5">
                  <c:v>7597</c:v>
                </c:pt>
                <c:pt idx="6">
                  <c:v>7999</c:v>
                </c:pt>
                <c:pt idx="7">
                  <c:v>9305</c:v>
                </c:pt>
                <c:pt idx="8">
                  <c:v>8174</c:v>
                </c:pt>
                <c:pt idx="9">
                  <c:v>8259</c:v>
                </c:pt>
                <c:pt idx="10">
                  <c:v>7872</c:v>
                </c:pt>
                <c:pt idx="11">
                  <c:v>8475</c:v>
                </c:pt>
                <c:pt idx="12">
                  <c:v>7496</c:v>
                </c:pt>
                <c:pt idx="13">
                  <c:v>7850</c:v>
                </c:pt>
                <c:pt idx="14">
                  <c:v>7669</c:v>
                </c:pt>
                <c:pt idx="15">
                  <c:v>8297</c:v>
                </c:pt>
                <c:pt idx="16">
                  <c:v>7413</c:v>
                </c:pt>
                <c:pt idx="17">
                  <c:v>7444</c:v>
                </c:pt>
                <c:pt idx="18">
                  <c:v>7548</c:v>
                </c:pt>
                <c:pt idx="19">
                  <c:v>7954</c:v>
                </c:pt>
                <c:pt idx="20">
                  <c:v>7256</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Subscriptions, Platforms, &amp; Devices</c:v>
                </c:pt>
              </c:strCache>
            </c:strRef>
          </c:tx>
          <c:spPr>
            <a:solidFill>
              <a:srgbClr val="C45898"/>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4435</c:v>
                </c:pt>
                <c:pt idx="1">
                  <c:v>5124</c:v>
                </c:pt>
                <c:pt idx="2">
                  <c:v>5478</c:v>
                </c:pt>
                <c:pt idx="3">
                  <c:v>6674</c:v>
                </c:pt>
                <c:pt idx="4">
                  <c:v>6494</c:v>
                </c:pt>
                <c:pt idx="5">
                  <c:v>6623</c:v>
                </c:pt>
                <c:pt idx="6">
                  <c:v>6754</c:v>
                </c:pt>
                <c:pt idx="7">
                  <c:v>8161</c:v>
                </c:pt>
                <c:pt idx="8">
                  <c:v>6811</c:v>
                </c:pt>
                <c:pt idx="9">
                  <c:v>6553</c:v>
                </c:pt>
                <c:pt idx="10">
                  <c:v>6895</c:v>
                </c:pt>
                <c:pt idx="11">
                  <c:v>8796</c:v>
                </c:pt>
                <c:pt idx="12">
                  <c:v>7413</c:v>
                </c:pt>
                <c:pt idx="13">
                  <c:v>8142</c:v>
                </c:pt>
                <c:pt idx="14">
                  <c:v>8339</c:v>
                </c:pt>
                <c:pt idx="15">
                  <c:v>10794</c:v>
                </c:pt>
                <c:pt idx="16">
                  <c:v>8739</c:v>
                </c:pt>
                <c:pt idx="17">
                  <c:v>9312</c:v>
                </c:pt>
                <c:pt idx="18">
                  <c:v>10656</c:v>
                </c:pt>
                <c:pt idx="19">
                  <c:v>11633</c:v>
                </c:pt>
                <c:pt idx="20">
                  <c:v>10379</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Google Cloud</c:v>
                </c:pt>
              </c:strCache>
            </c:strRef>
          </c:tx>
          <c:spPr>
            <a:solidFill>
              <a:srgbClr val="68BCAE"/>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Model!$AW$9:$BQ$9</c:f>
              <c:numCache>
                <c:formatCode>General</c:formatCode>
                <c:ptCount val="21"/>
                <c:pt idx="0">
                  <c:v>2777</c:v>
                </c:pt>
                <c:pt idx="1">
                  <c:v>3007</c:v>
                </c:pt>
                <c:pt idx="2">
                  <c:v>3444</c:v>
                </c:pt>
                <c:pt idx="3">
                  <c:v>3831</c:v>
                </c:pt>
                <c:pt idx="4">
                  <c:v>4047</c:v>
                </c:pt>
                <c:pt idx="5">
                  <c:v>4628</c:v>
                </c:pt>
                <c:pt idx="6">
                  <c:v>4990</c:v>
                </c:pt>
                <c:pt idx="7">
                  <c:v>5541</c:v>
                </c:pt>
                <c:pt idx="8">
                  <c:v>5821</c:v>
                </c:pt>
                <c:pt idx="9">
                  <c:v>6276</c:v>
                </c:pt>
                <c:pt idx="10">
                  <c:v>6868</c:v>
                </c:pt>
                <c:pt idx="11">
                  <c:v>7315</c:v>
                </c:pt>
                <c:pt idx="12">
                  <c:v>7454</c:v>
                </c:pt>
                <c:pt idx="13">
                  <c:v>8031</c:v>
                </c:pt>
                <c:pt idx="14">
                  <c:v>8411</c:v>
                </c:pt>
                <c:pt idx="15">
                  <c:v>9192</c:v>
                </c:pt>
                <c:pt idx="16">
                  <c:v>9574</c:v>
                </c:pt>
                <c:pt idx="17">
                  <c:v>10347</c:v>
                </c:pt>
                <c:pt idx="18">
                  <c:v>11353</c:v>
                </c:pt>
                <c:pt idx="19">
                  <c:v>11955</c:v>
                </c:pt>
                <c:pt idx="20">
                  <c:v>12260</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Other Bets</c:v>
                </c:pt>
              </c:strCache>
            </c:strRef>
          </c:tx>
          <c:spPr>
            <a:solidFill>
              <a:srgbClr val="FFC00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135</c:v>
                </c:pt>
                <c:pt idx="1">
                  <c:v>148</c:v>
                </c:pt>
                <c:pt idx="2">
                  <c:v>178</c:v>
                </c:pt>
                <c:pt idx="3">
                  <c:v>196</c:v>
                </c:pt>
                <c:pt idx="4">
                  <c:v>198</c:v>
                </c:pt>
                <c:pt idx="5">
                  <c:v>192</c:v>
                </c:pt>
                <c:pt idx="6">
                  <c:v>182</c:v>
                </c:pt>
                <c:pt idx="7">
                  <c:v>181</c:v>
                </c:pt>
                <c:pt idx="8">
                  <c:v>440</c:v>
                </c:pt>
                <c:pt idx="9">
                  <c:v>193</c:v>
                </c:pt>
                <c:pt idx="10">
                  <c:v>209</c:v>
                </c:pt>
                <c:pt idx="11">
                  <c:v>226</c:v>
                </c:pt>
                <c:pt idx="12">
                  <c:v>288</c:v>
                </c:pt>
                <c:pt idx="13">
                  <c:v>285</c:v>
                </c:pt>
                <c:pt idx="14">
                  <c:v>297</c:v>
                </c:pt>
                <c:pt idx="15">
                  <c:v>657</c:v>
                </c:pt>
                <c:pt idx="16">
                  <c:v>495</c:v>
                </c:pt>
                <c:pt idx="17">
                  <c:v>365</c:v>
                </c:pt>
                <c:pt idx="18">
                  <c:v>388</c:v>
                </c:pt>
                <c:pt idx="19">
                  <c:v>400</c:v>
                </c:pt>
                <c:pt idx="20">
                  <c:v>450</c:v>
                </c:pt>
              </c:numCache>
            </c:numRef>
          </c:val>
          <c:extLst>
            <c:ext xmlns:c16="http://schemas.microsoft.com/office/drawing/2014/chart" uri="{C3380CC4-5D6E-409C-BE32-E72D297353CC}">
              <c16:uniqueId val="{00000005-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(GOOGL)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3"/>
          <c:order val="0"/>
          <c:tx>
            <c:v>Net Income</c:v>
          </c:tx>
          <c:invertIfNegative val="0"/>
          <c:val>
            <c:numRef>
              <c:f>Model!$AW$59:$BQ$59</c:f>
              <c:numCache>
                <c:formatCode>General</c:formatCode>
                <c:ptCount val="21"/>
                <c:pt idx="0">
                  <c:v>6836</c:v>
                </c:pt>
                <c:pt idx="1">
                  <c:v>6959</c:v>
                </c:pt>
                <c:pt idx="2">
                  <c:v>11247</c:v>
                </c:pt>
                <c:pt idx="3">
                  <c:v>15227</c:v>
                </c:pt>
                <c:pt idx="4">
                  <c:v>17930</c:v>
                </c:pt>
                <c:pt idx="5">
                  <c:v>18525</c:v>
                </c:pt>
                <c:pt idx="6">
                  <c:v>18936</c:v>
                </c:pt>
                <c:pt idx="7">
                  <c:v>20642</c:v>
                </c:pt>
                <c:pt idx="8">
                  <c:v>16436</c:v>
                </c:pt>
                <c:pt idx="9">
                  <c:v>16002</c:v>
                </c:pt>
                <c:pt idx="10">
                  <c:v>13910</c:v>
                </c:pt>
                <c:pt idx="11">
                  <c:v>13624</c:v>
                </c:pt>
                <c:pt idx="12">
                  <c:v>15051</c:v>
                </c:pt>
                <c:pt idx="13">
                  <c:v>18368</c:v>
                </c:pt>
                <c:pt idx="14">
                  <c:v>19689</c:v>
                </c:pt>
                <c:pt idx="15">
                  <c:v>20687</c:v>
                </c:pt>
                <c:pt idx="16">
                  <c:v>23662</c:v>
                </c:pt>
                <c:pt idx="17">
                  <c:v>23619</c:v>
                </c:pt>
                <c:pt idx="18">
                  <c:v>26301</c:v>
                </c:pt>
                <c:pt idx="19">
                  <c:v>26536</c:v>
                </c:pt>
                <c:pt idx="20">
                  <c:v>34540</c:v>
                </c:pt>
              </c:numCache>
            </c:numRef>
          </c:val>
          <c:extLst>
            <c:ext xmlns:c16="http://schemas.microsoft.com/office/drawing/2014/chart" uri="{C3380CC4-5D6E-409C-BE32-E72D297353CC}">
              <c16:uniqueId val="{00000000-56FF-407C-A496-CAE810EAC396}"/>
            </c:ext>
          </c:extLst>
        </c:ser>
        <c:ser>
          <c:idx val="4"/>
          <c:order val="1"/>
          <c:tx>
            <c:v>FCF</c:v>
          </c:tx>
          <c:spPr>
            <a:solidFill>
              <a:srgbClr val="00B050"/>
            </a:solidFill>
          </c:spPr>
          <c:invertIfNegative val="0"/>
          <c:val>
            <c:numRef>
              <c:f>Model!$AW$115:$BQ$115</c:f>
              <c:numCache>
                <c:formatCode>0</c:formatCode>
                <c:ptCount val="21"/>
                <c:pt idx="0">
                  <c:v>5446</c:v>
                </c:pt>
                <c:pt idx="1">
                  <c:v>8602</c:v>
                </c:pt>
                <c:pt idx="2">
                  <c:v>11597</c:v>
                </c:pt>
                <c:pt idx="3">
                  <c:v>17198</c:v>
                </c:pt>
                <c:pt idx="4">
                  <c:v>13347</c:v>
                </c:pt>
                <c:pt idx="5">
                  <c:v>16394</c:v>
                </c:pt>
                <c:pt idx="6">
                  <c:v>18720</c:v>
                </c:pt>
                <c:pt idx="7">
                  <c:v>18551</c:v>
                </c:pt>
                <c:pt idx="8">
                  <c:v>15320</c:v>
                </c:pt>
                <c:pt idx="9">
                  <c:v>12594</c:v>
                </c:pt>
                <c:pt idx="10">
                  <c:v>16077</c:v>
                </c:pt>
                <c:pt idx="11">
                  <c:v>16019</c:v>
                </c:pt>
                <c:pt idx="12">
                  <c:v>17220</c:v>
                </c:pt>
                <c:pt idx="13">
                  <c:v>21778</c:v>
                </c:pt>
                <c:pt idx="14">
                  <c:v>22601</c:v>
                </c:pt>
                <c:pt idx="15">
                  <c:v>7896</c:v>
                </c:pt>
                <c:pt idx="16">
                  <c:v>16836</c:v>
                </c:pt>
                <c:pt idx="17">
                  <c:v>13454</c:v>
                </c:pt>
                <c:pt idx="18">
                  <c:v>17637</c:v>
                </c:pt>
                <c:pt idx="19">
                  <c:v>24837</c:v>
                </c:pt>
                <c:pt idx="20">
                  <c:v>18953</c:v>
                </c:pt>
              </c:numCache>
            </c:numRef>
          </c:val>
          <c:extLst>
            <c:ext xmlns:c16="http://schemas.microsoft.com/office/drawing/2014/chart" uri="{C3380CC4-5D6E-409C-BE32-E72D297353CC}">
              <c16:uniqueId val="{00000001-56FF-407C-A496-CAE810EAC396}"/>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2"/>
          <c:tx>
            <c:v>Revenues</c:v>
          </c:tx>
          <c:spPr>
            <a:ln w="25400"/>
          </c:spPr>
          <c:marker>
            <c:symbol val="none"/>
          </c:marker>
          <c:cat>
            <c:strRef>
              <c:f>[2]Model!$AW$3:$BQ$3</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Model!$AW$12:$BQ$12</c:f>
              <c:numCache>
                <c:formatCode>General</c:formatCode>
                <c:ptCount val="21"/>
                <c:pt idx="0">
                  <c:v>41159</c:v>
                </c:pt>
                <c:pt idx="1">
                  <c:v>38297</c:v>
                </c:pt>
                <c:pt idx="2">
                  <c:v>46173</c:v>
                </c:pt>
                <c:pt idx="3">
                  <c:v>56898</c:v>
                </c:pt>
                <c:pt idx="4">
                  <c:v>55314</c:v>
                </c:pt>
                <c:pt idx="5">
                  <c:v>61880</c:v>
                </c:pt>
                <c:pt idx="6">
                  <c:v>65118</c:v>
                </c:pt>
                <c:pt idx="7">
                  <c:v>75325</c:v>
                </c:pt>
                <c:pt idx="8">
                  <c:v>68011</c:v>
                </c:pt>
                <c:pt idx="9">
                  <c:v>69685</c:v>
                </c:pt>
                <c:pt idx="10">
                  <c:v>69092</c:v>
                </c:pt>
                <c:pt idx="11">
                  <c:v>76048</c:v>
                </c:pt>
                <c:pt idx="12">
                  <c:v>69787</c:v>
                </c:pt>
                <c:pt idx="13">
                  <c:v>74604</c:v>
                </c:pt>
                <c:pt idx="14">
                  <c:v>76693</c:v>
                </c:pt>
                <c:pt idx="15">
                  <c:v>86310</c:v>
                </c:pt>
                <c:pt idx="16">
                  <c:v>80539</c:v>
                </c:pt>
                <c:pt idx="17">
                  <c:v>84742</c:v>
                </c:pt>
                <c:pt idx="18">
                  <c:v>88268</c:v>
                </c:pt>
                <c:pt idx="19">
                  <c:v>96469</c:v>
                </c:pt>
                <c:pt idx="20">
                  <c:v>90234</c:v>
                </c:pt>
              </c:numCache>
            </c:numRef>
          </c:val>
          <c:smooth val="0"/>
          <c:extLst>
            <c:ext xmlns:c16="http://schemas.microsoft.com/office/drawing/2014/chart" uri="{C3380CC4-5D6E-409C-BE32-E72D297353CC}">
              <c16:uniqueId val="{00000002-56FF-407C-A496-CAE810EAC396}"/>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max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majorUnit val="10000"/>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9.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chart" Target="../charts/chart3.xml"/><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chart" Target="../charts/chart2.xml"/><Relationship Id="rId9" Type="http://schemas.openxmlformats.org/officeDocument/2006/relationships/image" Target="../media/image6.png"/><Relationship Id="rId1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140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139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137</xdr:row>
      <xdr:rowOff>0</xdr:rowOff>
    </xdr:from>
    <xdr:to>
      <xdr:col>26</xdr:col>
      <xdr:colOff>1</xdr:colOff>
      <xdr:row>173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2</xdr:row>
      <xdr:rowOff>19049</xdr:rowOff>
    </xdr:from>
    <xdr:to>
      <xdr:col>18</xdr:col>
      <xdr:colOff>607868</xdr:colOff>
      <xdr:row>30</xdr:row>
      <xdr:rowOff>171450</xdr:rowOff>
    </xdr:to>
    <xdr:pic>
      <xdr:nvPicPr>
        <xdr:cNvPr id="5" name="Picture 4">
          <a:extLst>
            <a:ext uri="{FF2B5EF4-FFF2-40B4-BE49-F238E27FC236}">
              <a16:creationId xmlns:a16="http://schemas.microsoft.com/office/drawing/2014/main" id="{0CCC145D-0886-470B-38EE-26018C7AD369}"/>
            </a:ext>
          </a:extLst>
        </xdr:cNvPr>
        <xdr:cNvPicPr>
          <a:picLocks noChangeAspect="1"/>
        </xdr:cNvPicPr>
      </xdr:nvPicPr>
      <xdr:blipFill>
        <a:blip xmlns:r="http://schemas.openxmlformats.org/officeDocument/2006/relationships" r:embed="rId2"/>
        <a:stretch>
          <a:fillRect/>
        </a:stretch>
      </xdr:blipFill>
      <xdr:spPr>
        <a:xfrm>
          <a:off x="4486275" y="390524"/>
          <a:ext cx="6694343" cy="5219701"/>
        </a:xfrm>
        <a:prstGeom prst="rect">
          <a:avLst/>
        </a:prstGeom>
      </xdr:spPr>
    </xdr:pic>
    <xdr:clientData/>
  </xdr:twoCellAnchor>
  <xdr:twoCellAnchor editAs="oneCell">
    <xdr:from>
      <xdr:col>8</xdr:col>
      <xdr:colOff>9525</xdr:colOff>
      <xdr:row>33</xdr:row>
      <xdr:rowOff>0</xdr:rowOff>
    </xdr:from>
    <xdr:to>
      <xdr:col>17</xdr:col>
      <xdr:colOff>7944</xdr:colOff>
      <xdr:row>61</xdr:row>
      <xdr:rowOff>11759</xdr:rowOff>
    </xdr:to>
    <xdr:pic>
      <xdr:nvPicPr>
        <xdr:cNvPr id="6" name="Picture 5">
          <a:extLst>
            <a:ext uri="{FF2B5EF4-FFF2-40B4-BE49-F238E27FC236}">
              <a16:creationId xmlns:a16="http://schemas.microsoft.com/office/drawing/2014/main" id="{781FD1B2-F66C-A395-EB74-2901AB7ACF6E}"/>
            </a:ext>
          </a:extLst>
        </xdr:cNvPr>
        <xdr:cNvPicPr>
          <a:picLocks noChangeAspect="1"/>
        </xdr:cNvPicPr>
      </xdr:nvPicPr>
      <xdr:blipFill>
        <a:blip xmlns:r="http://schemas.openxmlformats.org/officeDocument/2006/relationships" r:embed="rId3"/>
        <a:stretch>
          <a:fillRect/>
        </a:stretch>
      </xdr:blipFill>
      <xdr:spPr>
        <a:xfrm>
          <a:off x="4486275" y="6353175"/>
          <a:ext cx="5484819" cy="5086350"/>
        </a:xfrm>
        <a:prstGeom prst="rect">
          <a:avLst/>
        </a:prstGeom>
      </xdr:spPr>
    </xdr:pic>
    <xdr:clientData/>
  </xdr:twoCellAnchor>
  <xdr:twoCellAnchor>
    <xdr:from>
      <xdr:col>8</xdr:col>
      <xdr:colOff>1</xdr:colOff>
      <xdr:row>66</xdr:row>
      <xdr:rowOff>1</xdr:rowOff>
    </xdr:from>
    <xdr:to>
      <xdr:col>23</xdr:col>
      <xdr:colOff>1</xdr:colOff>
      <xdr:row>97</xdr:row>
      <xdr:rowOff>1</xdr:rowOff>
    </xdr:to>
    <xdr:graphicFrame macro="">
      <xdr:nvGraphicFramePr>
        <xdr:cNvPr id="7" name="Chart 6">
          <a:extLst>
            <a:ext uri="{FF2B5EF4-FFF2-40B4-BE49-F238E27FC236}">
              <a16:creationId xmlns:a16="http://schemas.microsoft.com/office/drawing/2014/main" id="{11D1C624-4808-4FD1-BA36-8A2B4BE36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102</xdr:row>
      <xdr:rowOff>0</xdr:rowOff>
    </xdr:from>
    <xdr:to>
      <xdr:col>23</xdr:col>
      <xdr:colOff>0</xdr:colOff>
      <xdr:row>130</xdr:row>
      <xdr:rowOff>0</xdr:rowOff>
    </xdr:to>
    <xdr:graphicFrame macro="">
      <xdr:nvGraphicFramePr>
        <xdr:cNvPr id="8" name="Chart 7">
          <a:extLst>
            <a:ext uri="{FF2B5EF4-FFF2-40B4-BE49-F238E27FC236}">
              <a16:creationId xmlns:a16="http://schemas.microsoft.com/office/drawing/2014/main" id="{98C71ED9-5478-4229-846E-7E2A77B96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11760</xdr:colOff>
      <xdr:row>33</xdr:row>
      <xdr:rowOff>188147</xdr:rowOff>
    </xdr:from>
    <xdr:to>
      <xdr:col>42</xdr:col>
      <xdr:colOff>0</xdr:colOff>
      <xdr:row>63</xdr:row>
      <xdr:rowOff>176388</xdr:rowOff>
    </xdr:to>
    <xdr:pic>
      <xdr:nvPicPr>
        <xdr:cNvPr id="10" name="Picture 9">
          <a:extLst>
            <a:ext uri="{FF2B5EF4-FFF2-40B4-BE49-F238E27FC236}">
              <a16:creationId xmlns:a16="http://schemas.microsoft.com/office/drawing/2014/main" id="{BE7C5124-7DF3-AF76-D2FA-60D101E0584E}"/>
            </a:ext>
          </a:extLst>
        </xdr:cNvPr>
        <xdr:cNvPicPr>
          <a:picLocks noChangeAspect="1"/>
        </xdr:cNvPicPr>
      </xdr:nvPicPr>
      <xdr:blipFill>
        <a:blip xmlns:r="http://schemas.openxmlformats.org/officeDocument/2006/relationships" r:embed="rId6"/>
        <a:stretch>
          <a:fillRect/>
        </a:stretch>
      </xdr:blipFill>
      <xdr:spPr>
        <a:xfrm>
          <a:off x="13864167" y="6032499"/>
          <a:ext cx="6714537" cy="5291667"/>
        </a:xfrm>
        <a:prstGeom prst="rect">
          <a:avLst/>
        </a:prstGeom>
      </xdr:spPr>
    </xdr:pic>
    <xdr:clientData/>
  </xdr:twoCellAnchor>
  <xdr:twoCellAnchor editAs="oneCell">
    <xdr:from>
      <xdr:col>31</xdr:col>
      <xdr:colOff>11759</xdr:colOff>
      <xdr:row>102</xdr:row>
      <xdr:rowOff>11759</xdr:rowOff>
    </xdr:from>
    <xdr:to>
      <xdr:col>42</xdr:col>
      <xdr:colOff>606216</xdr:colOff>
      <xdr:row>133</xdr:row>
      <xdr:rowOff>0</xdr:rowOff>
    </xdr:to>
    <xdr:pic>
      <xdr:nvPicPr>
        <xdr:cNvPr id="11" name="Picture 10">
          <a:extLst>
            <a:ext uri="{FF2B5EF4-FFF2-40B4-BE49-F238E27FC236}">
              <a16:creationId xmlns:a16="http://schemas.microsoft.com/office/drawing/2014/main" id="{EF5FB33B-D750-D54A-D8B4-C19AF3263BCA}"/>
            </a:ext>
          </a:extLst>
        </xdr:cNvPr>
        <xdr:cNvPicPr>
          <a:picLocks noChangeAspect="1"/>
        </xdr:cNvPicPr>
      </xdr:nvPicPr>
      <xdr:blipFill>
        <a:blip xmlns:r="http://schemas.openxmlformats.org/officeDocument/2006/relationships" r:embed="rId7"/>
        <a:stretch>
          <a:fillRect/>
        </a:stretch>
      </xdr:blipFill>
      <xdr:spPr>
        <a:xfrm>
          <a:off x="13864166" y="18062222"/>
          <a:ext cx="7320754" cy="5468056"/>
        </a:xfrm>
        <a:prstGeom prst="rect">
          <a:avLst/>
        </a:prstGeom>
      </xdr:spPr>
    </xdr:pic>
    <xdr:clientData/>
  </xdr:twoCellAnchor>
  <xdr:twoCellAnchor editAs="oneCell">
    <xdr:from>
      <xdr:col>42</xdr:col>
      <xdr:colOff>611480</xdr:colOff>
      <xdr:row>102</xdr:row>
      <xdr:rowOff>11760</xdr:rowOff>
    </xdr:from>
    <xdr:to>
      <xdr:col>55</xdr:col>
      <xdr:colOff>24416</xdr:colOff>
      <xdr:row>133</xdr:row>
      <xdr:rowOff>1</xdr:rowOff>
    </xdr:to>
    <xdr:pic>
      <xdr:nvPicPr>
        <xdr:cNvPr id="12" name="Picture 11">
          <a:extLst>
            <a:ext uri="{FF2B5EF4-FFF2-40B4-BE49-F238E27FC236}">
              <a16:creationId xmlns:a16="http://schemas.microsoft.com/office/drawing/2014/main" id="{4BE1DE4C-30E9-55FE-CD8D-742BC5518811}"/>
            </a:ext>
          </a:extLst>
        </xdr:cNvPr>
        <xdr:cNvPicPr>
          <a:picLocks noChangeAspect="1"/>
        </xdr:cNvPicPr>
      </xdr:nvPicPr>
      <xdr:blipFill>
        <a:blip xmlns:r="http://schemas.openxmlformats.org/officeDocument/2006/relationships" r:embed="rId8"/>
        <a:stretch>
          <a:fillRect/>
        </a:stretch>
      </xdr:blipFill>
      <xdr:spPr>
        <a:xfrm>
          <a:off x="21190184" y="18062223"/>
          <a:ext cx="7362195" cy="5468056"/>
        </a:xfrm>
        <a:prstGeom prst="rect">
          <a:avLst/>
        </a:prstGeom>
      </xdr:spPr>
    </xdr:pic>
    <xdr:clientData/>
  </xdr:twoCellAnchor>
  <xdr:twoCellAnchor editAs="oneCell">
    <xdr:from>
      <xdr:col>54</xdr:col>
      <xdr:colOff>611481</xdr:colOff>
      <xdr:row>102</xdr:row>
      <xdr:rowOff>23518</xdr:rowOff>
    </xdr:from>
    <xdr:to>
      <xdr:col>67</xdr:col>
      <xdr:colOff>26242</xdr:colOff>
      <xdr:row>133</xdr:row>
      <xdr:rowOff>0</xdr:rowOff>
    </xdr:to>
    <xdr:pic>
      <xdr:nvPicPr>
        <xdr:cNvPr id="14" name="Picture 13">
          <a:extLst>
            <a:ext uri="{FF2B5EF4-FFF2-40B4-BE49-F238E27FC236}">
              <a16:creationId xmlns:a16="http://schemas.microsoft.com/office/drawing/2014/main" id="{BA83E042-D4CD-2CD9-C6A1-D28CA4CD89CD}"/>
            </a:ext>
          </a:extLst>
        </xdr:cNvPr>
        <xdr:cNvPicPr>
          <a:picLocks noChangeAspect="1"/>
        </xdr:cNvPicPr>
      </xdr:nvPicPr>
      <xdr:blipFill>
        <a:blip xmlns:r="http://schemas.openxmlformats.org/officeDocument/2006/relationships" r:embed="rId9"/>
        <a:stretch>
          <a:fillRect/>
        </a:stretch>
      </xdr:blipFill>
      <xdr:spPr>
        <a:xfrm>
          <a:off x="28527962" y="18073981"/>
          <a:ext cx="7364021" cy="5456297"/>
        </a:xfrm>
        <a:prstGeom prst="rect">
          <a:avLst/>
        </a:prstGeom>
      </xdr:spPr>
    </xdr:pic>
    <xdr:clientData/>
  </xdr:twoCellAnchor>
  <xdr:twoCellAnchor editAs="oneCell">
    <xdr:from>
      <xdr:col>43</xdr:col>
      <xdr:colOff>11758</xdr:colOff>
      <xdr:row>178</xdr:row>
      <xdr:rowOff>188147</xdr:rowOff>
    </xdr:from>
    <xdr:to>
      <xdr:col>55</xdr:col>
      <xdr:colOff>11759</xdr:colOff>
      <xdr:row>209</xdr:row>
      <xdr:rowOff>0</xdr:rowOff>
    </xdr:to>
    <xdr:pic>
      <xdr:nvPicPr>
        <xdr:cNvPr id="16" name="Picture 15">
          <a:extLst>
            <a:ext uri="{FF2B5EF4-FFF2-40B4-BE49-F238E27FC236}">
              <a16:creationId xmlns:a16="http://schemas.microsoft.com/office/drawing/2014/main" id="{B368E913-2619-7208-9446-57060775F4D0}"/>
            </a:ext>
          </a:extLst>
        </xdr:cNvPr>
        <xdr:cNvPicPr>
          <a:picLocks noChangeAspect="1"/>
        </xdr:cNvPicPr>
      </xdr:nvPicPr>
      <xdr:blipFill>
        <a:blip xmlns:r="http://schemas.openxmlformats.org/officeDocument/2006/relationships" r:embed="rId10"/>
        <a:stretch>
          <a:fillRect/>
        </a:stretch>
      </xdr:blipFill>
      <xdr:spPr>
        <a:xfrm>
          <a:off x="20590462" y="31691203"/>
          <a:ext cx="7337779" cy="5573890"/>
        </a:xfrm>
        <a:prstGeom prst="rect">
          <a:avLst/>
        </a:prstGeom>
      </xdr:spPr>
    </xdr:pic>
    <xdr:clientData/>
  </xdr:twoCellAnchor>
  <xdr:twoCellAnchor editAs="oneCell">
    <xdr:from>
      <xdr:col>55</xdr:col>
      <xdr:colOff>0</xdr:colOff>
      <xdr:row>179</xdr:row>
      <xdr:rowOff>11758</xdr:rowOff>
    </xdr:from>
    <xdr:to>
      <xdr:col>67</xdr:col>
      <xdr:colOff>0</xdr:colOff>
      <xdr:row>209</xdr:row>
      <xdr:rowOff>35277</xdr:rowOff>
    </xdr:to>
    <xdr:pic>
      <xdr:nvPicPr>
        <xdr:cNvPr id="17" name="Picture 16">
          <a:extLst>
            <a:ext uri="{FF2B5EF4-FFF2-40B4-BE49-F238E27FC236}">
              <a16:creationId xmlns:a16="http://schemas.microsoft.com/office/drawing/2014/main" id="{86F17E5A-00D0-ECDF-621B-5F482D1CAB03}"/>
            </a:ext>
          </a:extLst>
        </xdr:cNvPr>
        <xdr:cNvPicPr>
          <a:picLocks noChangeAspect="1"/>
        </xdr:cNvPicPr>
      </xdr:nvPicPr>
      <xdr:blipFill>
        <a:blip xmlns:r="http://schemas.openxmlformats.org/officeDocument/2006/relationships" r:embed="rId11"/>
        <a:stretch>
          <a:fillRect/>
        </a:stretch>
      </xdr:blipFill>
      <xdr:spPr>
        <a:xfrm>
          <a:off x="28527963" y="31702962"/>
          <a:ext cx="7337778" cy="5597408"/>
        </a:xfrm>
        <a:prstGeom prst="rect">
          <a:avLst/>
        </a:prstGeom>
      </xdr:spPr>
    </xdr:pic>
    <xdr:clientData/>
  </xdr:twoCellAnchor>
  <xdr:twoCellAnchor editAs="oneCell">
    <xdr:from>
      <xdr:col>31</xdr:col>
      <xdr:colOff>0</xdr:colOff>
      <xdr:row>178</xdr:row>
      <xdr:rowOff>188147</xdr:rowOff>
    </xdr:from>
    <xdr:to>
      <xdr:col>43</xdr:col>
      <xdr:colOff>16762</xdr:colOff>
      <xdr:row>209</xdr:row>
      <xdr:rowOff>0</xdr:rowOff>
    </xdr:to>
    <xdr:pic>
      <xdr:nvPicPr>
        <xdr:cNvPr id="18" name="Picture 17">
          <a:extLst>
            <a:ext uri="{FF2B5EF4-FFF2-40B4-BE49-F238E27FC236}">
              <a16:creationId xmlns:a16="http://schemas.microsoft.com/office/drawing/2014/main" id="{2A73948D-EDDE-11EF-3799-48DCDA38EEA3}"/>
            </a:ext>
          </a:extLst>
        </xdr:cNvPr>
        <xdr:cNvPicPr>
          <a:picLocks noChangeAspect="1"/>
        </xdr:cNvPicPr>
      </xdr:nvPicPr>
      <xdr:blipFill>
        <a:blip xmlns:r="http://schemas.openxmlformats.org/officeDocument/2006/relationships" r:embed="rId12"/>
        <a:stretch>
          <a:fillRect/>
        </a:stretch>
      </xdr:blipFill>
      <xdr:spPr>
        <a:xfrm>
          <a:off x="13852407" y="31691203"/>
          <a:ext cx="7354540" cy="5573890"/>
        </a:xfrm>
        <a:prstGeom prst="rect">
          <a:avLst/>
        </a:prstGeom>
      </xdr:spPr>
    </xdr:pic>
    <xdr:clientData/>
  </xdr:twoCellAnchor>
  <xdr:twoCellAnchor editAs="oneCell">
    <xdr:from>
      <xdr:col>67</xdr:col>
      <xdr:colOff>0</xdr:colOff>
      <xdr:row>179</xdr:row>
      <xdr:rowOff>11759</xdr:rowOff>
    </xdr:from>
    <xdr:to>
      <xdr:col>79</xdr:col>
      <xdr:colOff>187308</xdr:colOff>
      <xdr:row>209</xdr:row>
      <xdr:rowOff>35277</xdr:rowOff>
    </xdr:to>
    <xdr:pic>
      <xdr:nvPicPr>
        <xdr:cNvPr id="19" name="Picture 18">
          <a:extLst>
            <a:ext uri="{FF2B5EF4-FFF2-40B4-BE49-F238E27FC236}">
              <a16:creationId xmlns:a16="http://schemas.microsoft.com/office/drawing/2014/main" id="{4B1A8948-554D-865C-1A1A-7B5E40C833DA}"/>
            </a:ext>
          </a:extLst>
        </xdr:cNvPr>
        <xdr:cNvPicPr>
          <a:picLocks noChangeAspect="1"/>
        </xdr:cNvPicPr>
      </xdr:nvPicPr>
      <xdr:blipFill>
        <a:blip xmlns:r="http://schemas.openxmlformats.org/officeDocument/2006/relationships" r:embed="rId13"/>
        <a:stretch>
          <a:fillRect/>
        </a:stretch>
      </xdr:blipFill>
      <xdr:spPr>
        <a:xfrm>
          <a:off x="35865741" y="31702963"/>
          <a:ext cx="7525086" cy="5597407"/>
        </a:xfrm>
        <a:prstGeom prst="rect">
          <a:avLst/>
        </a:prstGeom>
      </xdr:spPr>
    </xdr:pic>
    <xdr:clientData/>
  </xdr:twoCellAnchor>
  <xdr:twoCellAnchor editAs="oneCell">
    <xdr:from>
      <xdr:col>31</xdr:col>
      <xdr:colOff>0</xdr:colOff>
      <xdr:row>255</xdr:row>
      <xdr:rowOff>190499</xdr:rowOff>
    </xdr:from>
    <xdr:to>
      <xdr:col>47</xdr:col>
      <xdr:colOff>0</xdr:colOff>
      <xdr:row>289</xdr:row>
      <xdr:rowOff>176892</xdr:rowOff>
    </xdr:to>
    <xdr:pic>
      <xdr:nvPicPr>
        <xdr:cNvPr id="22" name="Picture 21">
          <a:extLst>
            <a:ext uri="{FF2B5EF4-FFF2-40B4-BE49-F238E27FC236}">
              <a16:creationId xmlns:a16="http://schemas.microsoft.com/office/drawing/2014/main" id="{594E50B3-0F43-7A91-0936-225239EFCC2D}"/>
            </a:ext>
          </a:extLst>
        </xdr:cNvPr>
        <xdr:cNvPicPr>
          <a:picLocks noChangeAspect="1"/>
        </xdr:cNvPicPr>
      </xdr:nvPicPr>
      <xdr:blipFill>
        <a:blip xmlns:r="http://schemas.openxmlformats.org/officeDocument/2006/relationships" r:embed="rId14"/>
        <a:stretch>
          <a:fillRect/>
        </a:stretch>
      </xdr:blipFill>
      <xdr:spPr>
        <a:xfrm>
          <a:off x="13865679" y="46114606"/>
          <a:ext cx="9797142" cy="6014357"/>
        </a:xfrm>
        <a:prstGeom prst="rect">
          <a:avLst/>
        </a:prstGeom>
      </xdr:spPr>
    </xdr:pic>
    <xdr:clientData/>
  </xdr:twoCellAnchor>
  <xdr:twoCellAnchor editAs="oneCell">
    <xdr:from>
      <xdr:col>19</xdr:col>
      <xdr:colOff>13606</xdr:colOff>
      <xdr:row>2</xdr:row>
      <xdr:rowOff>27214</xdr:rowOff>
    </xdr:from>
    <xdr:to>
      <xdr:col>30</xdr:col>
      <xdr:colOff>1459</xdr:colOff>
      <xdr:row>34</xdr:row>
      <xdr:rowOff>0</xdr:rowOff>
    </xdr:to>
    <xdr:pic>
      <xdr:nvPicPr>
        <xdr:cNvPr id="23" name="Picture 22">
          <a:extLst>
            <a:ext uri="{FF2B5EF4-FFF2-40B4-BE49-F238E27FC236}">
              <a16:creationId xmlns:a16="http://schemas.microsoft.com/office/drawing/2014/main" id="{EB5EEC60-9A4F-4E30-BBCF-6A84DF49976C}"/>
            </a:ext>
          </a:extLst>
        </xdr:cNvPr>
        <xdr:cNvPicPr>
          <a:picLocks noChangeAspect="1"/>
        </xdr:cNvPicPr>
      </xdr:nvPicPr>
      <xdr:blipFill>
        <a:blip xmlns:r="http://schemas.openxmlformats.org/officeDocument/2006/relationships" r:embed="rId15"/>
        <a:stretch>
          <a:fillRect/>
        </a:stretch>
      </xdr:blipFill>
      <xdr:spPr>
        <a:xfrm>
          <a:off x="6953249" y="394607"/>
          <a:ext cx="6723389" cy="5660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13</xdr:col>
      <xdr:colOff>600075</xdr:colOff>
      <xdr:row>3</xdr:row>
      <xdr:rowOff>104775</xdr:rowOff>
    </xdr:to>
    <xdr:cxnSp macro="">
      <xdr:nvCxnSpPr>
        <xdr:cNvPr id="3" name="Straight Connector 2">
          <a:extLst>
            <a:ext uri="{FF2B5EF4-FFF2-40B4-BE49-F238E27FC236}">
              <a16:creationId xmlns:a16="http://schemas.microsoft.com/office/drawing/2014/main" id="{5B638545-7951-D808-4D0A-ED524543266C}"/>
            </a:ext>
          </a:extLst>
        </xdr:cNvPr>
        <xdr:cNvCxnSpPr/>
      </xdr:nvCxnSpPr>
      <xdr:spPr>
        <a:xfrm>
          <a:off x="285750" y="666750"/>
          <a:ext cx="9239250"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0</xdr:colOff>
      <xdr:row>32</xdr:row>
      <xdr:rowOff>0</xdr:rowOff>
    </xdr:to>
    <xdr:pic>
      <xdr:nvPicPr>
        <xdr:cNvPr id="2" name="Picture 1">
          <a:extLst>
            <a:ext uri="{FF2B5EF4-FFF2-40B4-BE49-F238E27FC236}">
              <a16:creationId xmlns:a16="http://schemas.microsoft.com/office/drawing/2014/main" id="{B62216F5-AEBF-9543-FE14-BEE5D57A6D42}"/>
            </a:ext>
          </a:extLst>
        </xdr:cNvPr>
        <xdr:cNvPicPr>
          <a:picLocks noChangeAspect="1"/>
        </xdr:cNvPicPr>
      </xdr:nvPicPr>
      <xdr:blipFill>
        <a:blip xmlns:r="http://schemas.openxmlformats.org/officeDocument/2006/relationships" r:embed="rId1"/>
        <a:stretch>
          <a:fillRect/>
        </a:stretch>
      </xdr:blipFill>
      <xdr:spPr>
        <a:xfrm>
          <a:off x="219075" y="200025"/>
          <a:ext cx="6686550" cy="5591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Users/User/Desktop/Equity%20Research/Models/Health%20Care/MedTech/SYK_Mode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BSX_Model.xlsx" TargetMode="External"/><Relationship Id="rId1" Type="http://schemas.openxmlformats.org/officeDocument/2006/relationships/externalLinkPath" Target="/Users/User/Desktop/Equity%20Research/Models/Health%20Care/MedTech/BSX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refreshError="1"/>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82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312</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122</v>
          </cell>
          <cell r="BM13">
            <v>171</v>
          </cell>
          <cell r="BN13">
            <v>307</v>
          </cell>
          <cell r="BO13">
            <v>304</v>
          </cell>
          <cell r="BP13">
            <v>85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35</v>
          </cell>
          <cell r="BM14">
            <v>164</v>
          </cell>
          <cell r="BN14">
            <v>136</v>
          </cell>
          <cell r="BO14">
            <v>127</v>
          </cell>
          <cell r="BP14">
            <v>125</v>
          </cell>
          <cell r="BQ14">
            <v>162</v>
          </cell>
        </row>
        <row r="44">
          <cell r="AW44">
            <v>2.0477815699658786E-2</v>
          </cell>
          <cell r="AX44">
            <v>-0.24273972602739724</v>
          </cell>
          <cell r="AY44">
            <v>4.1817674937273397E-2</v>
          </cell>
          <cell r="AZ44">
            <v>3.1711450012103626E-2</v>
          </cell>
          <cell r="BA44">
            <v>0.1017279821627648</v>
          </cell>
          <cell r="BB44">
            <v>0.55354558610709126</v>
          </cell>
          <cell r="BC44">
            <v>0.11319240032111311</v>
          </cell>
          <cell r="BD44">
            <v>0.10300328484279686</v>
          </cell>
          <cell r="BE44">
            <v>8.1457121173792002E-2</v>
          </cell>
          <cell r="BF44">
            <v>4.6343735444806633E-2</v>
          </cell>
          <cell r="BG44">
            <v>7.6682692307692202E-2</v>
          </cell>
          <cell r="BH44">
            <v>0.10657306955966805</v>
          </cell>
          <cell r="BI44">
            <v>0.11766081871345024</v>
          </cell>
          <cell r="BJ44">
            <v>0.11195192521700426</v>
          </cell>
          <cell r="BK44">
            <v>9.6003572225943357E-2</v>
          </cell>
          <cell r="BL44">
            <v>0.1178392925797771</v>
          </cell>
          <cell r="BM44">
            <v>9.7321054834658804E-2</v>
          </cell>
          <cell r="BN44">
            <v>8.526821457165723E-2</v>
          </cell>
          <cell r="BO44">
            <v>0.11916887349765726</v>
          </cell>
          <cell r="BP44">
            <v>0.10679277730008607</v>
          </cell>
          <cell r="BQ44">
            <v>0.11882510013351144</v>
          </cell>
        </row>
        <row r="55">
          <cell r="AW55">
            <v>590</v>
          </cell>
          <cell r="AX55">
            <v>-87</v>
          </cell>
          <cell r="AY55">
            <v>780</v>
          </cell>
          <cell r="AZ55">
            <v>671</v>
          </cell>
          <cell r="BA55">
            <v>367</v>
          </cell>
          <cell r="BB55">
            <v>662</v>
          </cell>
          <cell r="BC55">
            <v>495</v>
          </cell>
          <cell r="BD55">
            <v>757</v>
          </cell>
          <cell r="BE55">
            <v>386</v>
          </cell>
          <cell r="BF55">
            <v>720</v>
          </cell>
          <cell r="BG55">
            <v>816</v>
          </cell>
          <cell r="BH55">
            <v>761</v>
          </cell>
          <cell r="BI55">
            <v>679</v>
          </cell>
          <cell r="BJ55">
            <v>899</v>
          </cell>
          <cell r="BK55">
            <v>869</v>
          </cell>
          <cell r="BL55">
            <v>1226</v>
          </cell>
          <cell r="BM55">
            <v>923</v>
          </cell>
          <cell r="BN55">
            <v>998</v>
          </cell>
          <cell r="BO55">
            <v>1043</v>
          </cell>
          <cell r="BP55">
            <v>528</v>
          </cell>
          <cell r="BQ55">
            <v>764</v>
          </cell>
        </row>
        <row r="103">
          <cell r="AW103">
            <v>493</v>
          </cell>
          <cell r="AX103">
            <v>-83</v>
          </cell>
          <cell r="AY103">
            <v>621</v>
          </cell>
          <cell r="AZ103">
            <v>568</v>
          </cell>
          <cell r="BA103">
            <v>302</v>
          </cell>
          <cell r="BB103">
            <v>592</v>
          </cell>
          <cell r="BC103">
            <v>438</v>
          </cell>
          <cell r="BD103">
            <v>662</v>
          </cell>
          <cell r="BE103">
            <v>323</v>
          </cell>
          <cell r="BF103">
            <v>656</v>
          </cell>
          <cell r="BG103">
            <v>816</v>
          </cell>
          <cell r="BH103">
            <v>563</v>
          </cell>
          <cell r="BI103">
            <v>592</v>
          </cell>
          <cell r="BJ103">
            <v>738</v>
          </cell>
          <cell r="BK103">
            <v>692</v>
          </cell>
          <cell r="BL103">
            <v>1143</v>
          </cell>
          <cell r="BM103">
            <v>788</v>
          </cell>
          <cell r="BN103">
            <v>825</v>
          </cell>
          <cell r="BO103">
            <v>834</v>
          </cell>
          <cell r="BP103">
            <v>546</v>
          </cell>
          <cell r="BQ103">
            <v>654</v>
          </cell>
        </row>
      </sheetData>
      <sheetData sheetId="2">
        <row r="217">
          <cell r="I217" t="str">
            <v xml:space="preserve">The return distribution fits a Gaussian curve well, implying that daily change follows a roughly normal distribution </v>
          </cell>
        </row>
        <row r="218">
          <cell r="I218" t="str">
            <v>There is slight implied upside to mean 1-day returns</v>
          </cell>
        </row>
        <row r="224">
          <cell r="J224" t="str">
            <v>Min</v>
          </cell>
        </row>
        <row r="225">
          <cell r="J225" t="str">
            <v>Max</v>
          </cell>
        </row>
        <row r="226">
          <cell r="J226" t="str">
            <v>Mean μ</v>
          </cell>
        </row>
        <row r="227">
          <cell r="J227" t="str">
            <v>Median</v>
          </cell>
        </row>
        <row r="228">
          <cell r="J228" t="str">
            <v>SD σ</v>
          </cell>
        </row>
        <row r="229">
          <cell r="J229" t="str">
            <v xml:space="preserve">  3σ 1-Day Δ: ±</v>
          </cell>
          <cell r="M229" t="str">
            <v>&lt;- Sharpe Ratio (Risk Adjusted Return)</v>
          </cell>
        </row>
        <row r="230">
          <cell r="J230" t="str">
            <v>β (1-year avg.)</v>
          </cell>
          <cell r="M230" t="str">
            <v>&lt;- Sortino Ratio (Downside Risk Adjusted Return)</v>
          </cell>
        </row>
        <row r="233">
          <cell r="I233" t="str">
            <v>n =</v>
          </cell>
          <cell r="J233">
            <v>1014</v>
          </cell>
        </row>
        <row r="234">
          <cell r="I234" t="str">
            <v>Histogram Data</v>
          </cell>
          <cell r="L234" t="str">
            <v>Distribution Overlay</v>
          </cell>
        </row>
        <row r="235">
          <cell r="I235" t="str">
            <v>Bin</v>
          </cell>
          <cell r="J235" t="str">
            <v>Frequency</v>
          </cell>
          <cell r="L235" t="str">
            <v xml:space="preserve"> (X) 1-Day Δ  </v>
          </cell>
          <cell r="M235" t="str">
            <v xml:space="preserve">(Y) Pop. Density </v>
          </cell>
        </row>
        <row r="236">
          <cell r="I236">
            <v>-0.04</v>
          </cell>
          <cell r="J236">
            <v>1</v>
          </cell>
          <cell r="L236">
            <v>-4.1000000000000002E-2</v>
          </cell>
          <cell r="M236">
            <v>0.24330261971412301</v>
          </cell>
        </row>
        <row r="237">
          <cell r="I237">
            <v>-3.9E-2</v>
          </cell>
          <cell r="J237">
            <v>1</v>
          </cell>
          <cell r="L237">
            <v>-0.04</v>
          </cell>
          <cell r="M237">
            <v>0.30633285338385041</v>
          </cell>
        </row>
        <row r="238">
          <cell r="I238">
            <v>-3.7999999999999999E-2</v>
          </cell>
          <cell r="J238">
            <v>0</v>
          </cell>
          <cell r="L238">
            <v>-3.9E-2</v>
          </cell>
          <cell r="M238">
            <v>0.38351958154803484</v>
          </cell>
        </row>
        <row r="239">
          <cell r="I239">
            <v>-3.6999999999999998E-2</v>
          </cell>
          <cell r="J239">
            <v>0</v>
          </cell>
          <cell r="L239">
            <v>-3.7999999999999999E-2</v>
          </cell>
          <cell r="M239">
            <v>0.47745086551047328</v>
          </cell>
        </row>
        <row r="240">
          <cell r="I240">
            <v>-3.5999999999999997E-2</v>
          </cell>
          <cell r="J240">
            <v>1</v>
          </cell>
          <cell r="L240">
            <v>-3.6999999999999998E-2</v>
          </cell>
          <cell r="M240">
            <v>0.59104017531798669</v>
          </cell>
        </row>
        <row r="241">
          <cell r="I241">
            <v>-3.4999999999999996E-2</v>
          </cell>
          <cell r="J241">
            <v>4</v>
          </cell>
          <cell r="L241">
            <v>-3.5999999999999997E-2</v>
          </cell>
          <cell r="M241">
            <v>0.72753266253923077</v>
          </cell>
        </row>
        <row r="242">
          <cell r="I242">
            <v>-3.3999999999999996E-2</v>
          </cell>
          <cell r="J242">
            <v>2</v>
          </cell>
          <cell r="L242">
            <v>-3.4999999999999996E-2</v>
          </cell>
          <cell r="M242">
            <v>0.89050254374147597</v>
          </cell>
        </row>
        <row r="243">
          <cell r="I243">
            <v>-3.2999999999999995E-2</v>
          </cell>
          <cell r="J243">
            <v>1</v>
          </cell>
          <cell r="L243">
            <v>-3.3999999999999996E-2</v>
          </cell>
          <cell r="M243">
            <v>1.0838395846539897</v>
          </cell>
        </row>
        <row r="244">
          <cell r="I244">
            <v>-3.1999999999999994E-2</v>
          </cell>
          <cell r="J244">
            <v>1</v>
          </cell>
          <cell r="L244">
            <v>-3.2999999999999995E-2</v>
          </cell>
          <cell r="M244">
            <v>1.3117226816436751</v>
          </cell>
        </row>
        <row r="245">
          <cell r="I245">
            <v>-3.0999999999999993E-2</v>
          </cell>
          <cell r="J245">
            <v>3</v>
          </cell>
          <cell r="L245">
            <v>-3.1999999999999994E-2</v>
          </cell>
          <cell r="M245">
            <v>1.578578645060458</v>
          </cell>
        </row>
        <row r="246">
          <cell r="I246">
            <v>-2.9999999999999992E-2</v>
          </cell>
          <cell r="J246">
            <v>1</v>
          </cell>
          <cell r="L246">
            <v>-3.0999999999999993E-2</v>
          </cell>
          <cell r="M246">
            <v>1.8890245151375733</v>
          </cell>
        </row>
        <row r="247">
          <cell r="I247">
            <v>-2.8999999999999991E-2</v>
          </cell>
          <cell r="J247">
            <v>4</v>
          </cell>
          <cell r="L247">
            <v>-2.9999999999999992E-2</v>
          </cell>
          <cell r="M247">
            <v>2.2477920988013178</v>
          </cell>
        </row>
        <row r="248">
          <cell r="I248">
            <v>-2.799999999999999E-2</v>
          </cell>
          <cell r="J248">
            <v>1</v>
          </cell>
          <cell r="L248">
            <v>-2.8999999999999991E-2</v>
          </cell>
          <cell r="M248">
            <v>2.6596339130588227</v>
          </cell>
        </row>
        <row r="249">
          <cell r="I249">
            <v>-2.6999999999999989E-2</v>
          </cell>
          <cell r="J249">
            <v>4</v>
          </cell>
          <cell r="L249">
            <v>-2.799999999999999E-2</v>
          </cell>
          <cell r="M249">
            <v>3.1292103587889639</v>
          </cell>
        </row>
        <row r="250">
          <cell r="I250">
            <v>-2.5999999999999988E-2</v>
          </cell>
          <cell r="J250">
            <v>1</v>
          </cell>
          <cell r="L250">
            <v>-2.6999999999999989E-2</v>
          </cell>
          <cell r="M250">
            <v>3.6609587205509038</v>
          </cell>
        </row>
        <row r="251">
          <cell r="I251">
            <v>-2.4999999999999988E-2</v>
          </cell>
          <cell r="J251">
            <v>5</v>
          </cell>
          <cell r="L251">
            <v>-2.5999999999999988E-2</v>
          </cell>
          <cell r="M251">
            <v>4.258945476645092</v>
          </cell>
        </row>
        <row r="252">
          <cell r="I252">
            <v>-2.3999999999999987E-2</v>
          </cell>
          <cell r="J252">
            <v>1</v>
          </cell>
          <cell r="L252">
            <v>-2.4999999999999988E-2</v>
          </cell>
          <cell r="M252">
            <v>4.9267043820016658</v>
          </cell>
        </row>
        <row r="253">
          <cell r="I253">
            <v>-2.2999999999999986E-2</v>
          </cell>
          <cell r="J253">
            <v>2</v>
          </cell>
          <cell r="L253">
            <v>-2.3999999999999987E-2</v>
          </cell>
          <cell r="M253">
            <v>5.6670638170172571</v>
          </cell>
        </row>
        <row r="254">
          <cell r="I254">
            <v>-2.1999999999999985E-2</v>
          </cell>
          <cell r="J254">
            <v>2</v>
          </cell>
          <cell r="L254">
            <v>-2.2999999999999986E-2</v>
          </cell>
          <cell r="M254">
            <v>6.4819679309391072</v>
          </cell>
        </row>
        <row r="255">
          <cell r="I255">
            <v>-2.0999999999999984E-2</v>
          </cell>
          <cell r="J255">
            <v>3</v>
          </cell>
          <cell r="L255">
            <v>-2.1999999999999985E-2</v>
          </cell>
          <cell r="M255">
            <v>7.3722970932413006</v>
          </cell>
        </row>
        <row r="256">
          <cell r="I256">
            <v>-1.9999999999999983E-2</v>
          </cell>
          <cell r="J256">
            <v>5</v>
          </cell>
          <cell r="L256">
            <v>-2.0999999999999984E-2</v>
          </cell>
          <cell r="M256">
            <v>8.3376940391129448</v>
          </cell>
        </row>
        <row r="257">
          <cell r="I257">
            <v>-1.8999999999999982E-2</v>
          </cell>
          <cell r="J257">
            <v>9</v>
          </cell>
          <cell r="L257">
            <v>-1.9999999999999983E-2</v>
          </cell>
          <cell r="M257">
            <v>9.3764027912942609</v>
          </cell>
        </row>
        <row r="258">
          <cell r="I258">
            <v>-1.7999999999999981E-2</v>
          </cell>
          <cell r="J258">
            <v>6</v>
          </cell>
          <cell r="L258">
            <v>-1.8999999999999982E-2</v>
          </cell>
          <cell r="M258">
            <v>10.485127896633797</v>
          </cell>
        </row>
        <row r="259">
          <cell r="I259">
            <v>-1.699999999999998E-2</v>
          </cell>
          <cell r="J259">
            <v>10</v>
          </cell>
          <cell r="L259">
            <v>-1.7999999999999981E-2</v>
          </cell>
          <cell r="M259">
            <v>11.658921673763489</v>
          </cell>
        </row>
        <row r="260">
          <cell r="I260">
            <v>-1.599999999999998E-2</v>
          </cell>
          <cell r="J260">
            <v>13</v>
          </cell>
          <cell r="L260">
            <v>-1.699999999999998E-2</v>
          </cell>
          <cell r="M260">
            <v>12.891106979905215</v>
          </cell>
        </row>
        <row r="261">
          <cell r="I261">
            <v>-1.4999999999999979E-2</v>
          </cell>
          <cell r="J261">
            <v>11</v>
          </cell>
          <cell r="L261">
            <v>-1.599999999999998E-2</v>
          </cell>
          <cell r="M261">
            <v>14.173242436056498</v>
          </cell>
        </row>
        <row r="262">
          <cell r="I262">
            <v>-1.3999999999999978E-2</v>
          </cell>
          <cell r="J262">
            <v>24</v>
          </cell>
          <cell r="L262">
            <v>-1.4999999999999979E-2</v>
          </cell>
          <cell r="M262">
            <v>15.495136085031207</v>
          </cell>
        </row>
        <row r="263">
          <cell r="L263">
            <v>-1.3999999999999978E-2</v>
          </cell>
          <cell r="M263">
            <v>16.844912102018611</v>
          </cell>
        </row>
        <row r="264">
          <cell r="L264">
            <v>-1.2999999999999977E-2</v>
          </cell>
          <cell r="M264">
            <v>18.209133462105321</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 Overview"/>
      <sheetName val="Model"/>
      <sheetName val="Notes | Quant Analysis"/>
      <sheetName val="Debt Schedule"/>
      <sheetName val="Markets | Product Lines"/>
      <sheetName val="Management"/>
      <sheetName val="Clinical Trial Channel"/>
      <sheetName val="M&amp;A Scope"/>
    </sheetNames>
    <sheetDataSet>
      <sheetData sheetId="0" refreshError="1"/>
      <sheetData sheetId="1">
        <row r="3">
          <cell r="AW3" t="str">
            <v>Q1 2020</v>
          </cell>
          <cell r="AX3" t="str">
            <v>Q2 2020</v>
          </cell>
          <cell r="AY3" t="str">
            <v>Q3 2020</v>
          </cell>
          <cell r="AZ3" t="str">
            <v>Q4 2020</v>
          </cell>
          <cell r="BA3" t="str">
            <v>Q1 2021</v>
          </cell>
          <cell r="BB3" t="str">
            <v>Q2 2021</v>
          </cell>
          <cell r="BC3" t="str">
            <v>Q3 2021</v>
          </cell>
          <cell r="BD3" t="str">
            <v>Q4 2021</v>
          </cell>
          <cell r="BE3" t="str">
            <v>Q1 2022</v>
          </cell>
          <cell r="BF3" t="str">
            <v>Q2 2022</v>
          </cell>
          <cell r="BG3" t="str">
            <v>Q3 2022</v>
          </cell>
          <cell r="BH3" t="str">
            <v>Q4 2022</v>
          </cell>
          <cell r="BI3" t="str">
            <v>Q1 2023</v>
          </cell>
          <cell r="BJ3" t="str">
            <v>Q2 2023</v>
          </cell>
          <cell r="BK3" t="str">
            <v>Q3 2023</v>
          </cell>
          <cell r="BL3" t="str">
            <v>Q4 2023</v>
          </cell>
          <cell r="BM3" t="str">
            <v>Q1 2024</v>
          </cell>
          <cell r="BN3" t="str">
            <v>Q2 2024</v>
          </cell>
          <cell r="BO3" t="str">
            <v>Q3 2024</v>
          </cell>
          <cell r="BP3" t="str">
            <v>Q4 2024</v>
          </cell>
          <cell r="BQ3" t="str">
            <v>Q1 2025</v>
          </cell>
        </row>
        <row r="50">
          <cell r="AW50">
            <v>2543</v>
          </cell>
          <cell r="AX50">
            <v>2003</v>
          </cell>
          <cell r="AY50">
            <v>2659</v>
          </cell>
          <cell r="AZ50">
            <v>2708</v>
          </cell>
          <cell r="BA50">
            <v>2752</v>
          </cell>
          <cell r="BB50">
            <v>3077</v>
          </cell>
          <cell r="BC50">
            <v>2932</v>
          </cell>
          <cell r="BD50">
            <v>3127</v>
          </cell>
          <cell r="BE50">
            <v>3026</v>
          </cell>
          <cell r="BF50">
            <v>3244</v>
          </cell>
          <cell r="BG50">
            <v>3170</v>
          </cell>
          <cell r="BH50">
            <v>3242</v>
          </cell>
          <cell r="BI50">
            <v>3389</v>
          </cell>
          <cell r="BJ50">
            <v>3599</v>
          </cell>
          <cell r="BK50">
            <v>3527</v>
          </cell>
          <cell r="BL50">
            <v>3725</v>
          </cell>
          <cell r="BM50">
            <v>3857</v>
          </cell>
          <cell r="BN50">
            <v>4120</v>
          </cell>
          <cell r="BO50">
            <v>4209</v>
          </cell>
          <cell r="BP50">
            <v>4561</v>
          </cell>
          <cell r="BQ50">
            <v>4663</v>
          </cell>
        </row>
        <row r="70">
          <cell r="AW70">
            <v>11</v>
          </cell>
          <cell r="AX70">
            <v>-152</v>
          </cell>
          <cell r="AY70">
            <v>-169</v>
          </cell>
          <cell r="AZ70">
            <v>196</v>
          </cell>
          <cell r="BA70">
            <v>327</v>
          </cell>
          <cell r="BB70">
            <v>172</v>
          </cell>
          <cell r="BC70">
            <v>405</v>
          </cell>
          <cell r="BD70">
            <v>80</v>
          </cell>
          <cell r="BE70">
            <v>97</v>
          </cell>
          <cell r="BF70">
            <v>246</v>
          </cell>
          <cell r="BG70">
            <v>174</v>
          </cell>
          <cell r="BH70">
            <v>124</v>
          </cell>
          <cell r="BI70">
            <v>300</v>
          </cell>
          <cell r="BJ70">
            <v>261</v>
          </cell>
          <cell r="BK70">
            <v>504</v>
          </cell>
          <cell r="BL70">
            <v>504</v>
          </cell>
          <cell r="BM70">
            <v>495</v>
          </cell>
          <cell r="BN70">
            <v>324</v>
          </cell>
          <cell r="BO70">
            <v>468</v>
          </cell>
          <cell r="BP70">
            <v>565</v>
          </cell>
          <cell r="BQ70">
            <v>674</v>
          </cell>
        </row>
        <row r="115">
          <cell r="AW115">
            <v>-174</v>
          </cell>
          <cell r="AX115">
            <v>202</v>
          </cell>
          <cell r="AY115">
            <v>596</v>
          </cell>
          <cell r="AZ115">
            <v>520</v>
          </cell>
          <cell r="BA115">
            <v>213</v>
          </cell>
          <cell r="BB115">
            <v>540</v>
          </cell>
          <cell r="BC115">
            <v>361</v>
          </cell>
          <cell r="BD115">
            <v>216</v>
          </cell>
          <cell r="BE115">
            <v>82</v>
          </cell>
          <cell r="BF115">
            <v>-50</v>
          </cell>
          <cell r="BG115">
            <v>321</v>
          </cell>
          <cell r="BH115">
            <v>597</v>
          </cell>
          <cell r="BI115">
            <v>82</v>
          </cell>
          <cell r="BJ115">
            <v>515</v>
          </cell>
          <cell r="BK115">
            <v>509</v>
          </cell>
          <cell r="BL115">
            <v>690</v>
          </cell>
          <cell r="BM115">
            <v>-14</v>
          </cell>
          <cell r="BN115">
            <v>658</v>
          </cell>
          <cell r="BO115">
            <v>823</v>
          </cell>
          <cell r="BP115">
            <v>1181</v>
          </cell>
          <cell r="BQ115">
            <v>354</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stockanalysis.com/stocks/googl/" TargetMode="External"/><Relationship Id="rId7" Type="http://schemas.openxmlformats.org/officeDocument/2006/relationships/hyperlink" Target="https://youtu.be/rulGP9cqS4w?si=MsfN_5tCXlkbm57A" TargetMode="External"/><Relationship Id="rId2" Type="http://schemas.openxmlformats.org/officeDocument/2006/relationships/hyperlink" Target="https://seekingalpha.com/symbol/GOOGL/earnings/transcripts" TargetMode="External"/><Relationship Id="rId1" Type="http://schemas.openxmlformats.org/officeDocument/2006/relationships/hyperlink" Target="https://abc.xyz/investor/" TargetMode="External"/><Relationship Id="rId6" Type="http://schemas.openxmlformats.org/officeDocument/2006/relationships/hyperlink" Target="https://www.macrotrends.net/stocks/charts/GOOGL/alphabet/financial-statements" TargetMode="External"/><Relationship Id="rId5" Type="http://schemas.openxmlformats.org/officeDocument/2006/relationships/hyperlink" Target="mailto:investor-relations@abc.xyz" TargetMode="External"/><Relationship Id="rId4" Type="http://schemas.openxmlformats.org/officeDocument/2006/relationships/hyperlink" Target="https://app.godeltermina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pz.harvard.edu/" TargetMode="External"/><Relationship Id="rId3" Type="http://schemas.openxmlformats.org/officeDocument/2006/relationships/hyperlink" Target="https://www.mirrorreview.com/ai-and-blogging/" TargetMode="External"/><Relationship Id="rId7" Type="http://schemas.openxmlformats.org/officeDocument/2006/relationships/hyperlink" Target="https://www.mirrorreview.com/e-books-vs-print/" TargetMode="External"/><Relationship Id="rId12" Type="http://schemas.openxmlformats.org/officeDocument/2006/relationships/drawing" Target="../drawings/drawing3.xml"/><Relationship Id="rId2" Type="http://schemas.openxmlformats.org/officeDocument/2006/relationships/hyperlink" Target="https://www.youtube.com/" TargetMode="External"/><Relationship Id="rId1" Type="http://schemas.openxmlformats.org/officeDocument/2006/relationships/hyperlink" Target="https://www.forex.com/en-us/news-and-analysis/google-acquisition-history/" TargetMode="External"/><Relationship Id="rId6" Type="http://schemas.openxmlformats.org/officeDocument/2006/relationships/hyperlink" Target="https://picasa.google.co.in/" TargetMode="External"/><Relationship Id="rId11" Type="http://schemas.openxmlformats.org/officeDocument/2006/relationships/hyperlink" Target="https://www.mirrorreview.com/iot-mobile-app-development/" TargetMode="External"/><Relationship Id="rId5" Type="http://schemas.openxmlformats.org/officeDocument/2006/relationships/hyperlink" Target="https://www.google.com/recaptcha/about/" TargetMode="External"/><Relationship Id="rId10" Type="http://schemas.openxmlformats.org/officeDocument/2006/relationships/hyperlink" Target="https://www.mirrorreview.com/cloud-computing-in-software-development/" TargetMode="External"/><Relationship Id="rId4" Type="http://schemas.openxmlformats.org/officeDocument/2006/relationships/hyperlink" Target="https://www.mirrorreview.com/3d-modeling-software/" TargetMode="External"/><Relationship Id="rId9" Type="http://schemas.openxmlformats.org/officeDocument/2006/relationships/hyperlink" Target="https://www.mirrorreview.com/face-recognitio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80"/>
  <sheetViews>
    <sheetView topLeftCell="A252" zoomScale="85" zoomScaleNormal="85" workbookViewId="0">
      <selection activeCell="A108" sqref="A108:Q294"/>
    </sheetView>
  </sheetViews>
  <sheetFormatPr defaultRowHeight="14.25"/>
  <cols>
    <col min="1" max="1" width="2.85546875" style="1" customWidth="1"/>
    <col min="2" max="2" width="9" style="1" customWidth="1"/>
    <col min="3" max="3" width="14" style="1" customWidth="1"/>
    <col min="4" max="4" width="9.140625" style="1" customWidth="1"/>
    <col min="5" max="8" width="9.140625" style="1"/>
    <col min="9" max="9" width="9.140625" style="1" customWidth="1"/>
    <col min="10" max="16384" width="9.140625" style="1"/>
  </cols>
  <sheetData>
    <row r="1" spans="2:46">
      <c r="AT1" s="1">
        <v>0</v>
      </c>
    </row>
    <row r="2" spans="2:46" ht="15">
      <c r="B2" s="2" t="s">
        <v>279</v>
      </c>
    </row>
    <row r="3" spans="2:46">
      <c r="B3" s="1" t="s">
        <v>0</v>
      </c>
      <c r="C3" s="46">
        <v>166.54</v>
      </c>
      <c r="D3" s="43" t="s">
        <v>96</v>
      </c>
    </row>
    <row r="4" spans="2:46">
      <c r="B4" s="1" t="s">
        <v>1</v>
      </c>
      <c r="C4" s="48">
        <f>5820+856+5459</f>
        <v>12135</v>
      </c>
      <c r="D4" s="44" t="s">
        <v>97</v>
      </c>
    </row>
    <row r="5" spans="2:46">
      <c r="B5" s="1" t="s">
        <v>2</v>
      </c>
      <c r="C5" s="47">
        <f>C3*C4</f>
        <v>2020962.9</v>
      </c>
    </row>
    <row r="6" spans="2:46">
      <c r="B6" s="1" t="s">
        <v>3</v>
      </c>
      <c r="C6" s="47">
        <v>95328</v>
      </c>
      <c r="D6" s="44" t="s">
        <v>97</v>
      </c>
    </row>
    <row r="7" spans="2:46">
      <c r="B7" s="1" t="s">
        <v>4</v>
      </c>
      <c r="C7" s="47">
        <v>10886</v>
      </c>
      <c r="D7" s="44" t="s">
        <v>97</v>
      </c>
    </row>
    <row r="8" spans="2:46">
      <c r="B8" s="1" t="s">
        <v>5</v>
      </c>
      <c r="C8" s="47">
        <f>C5-C6+C7</f>
        <v>1936520.9</v>
      </c>
      <c r="D8" s="44" t="s">
        <v>97</v>
      </c>
    </row>
    <row r="10" spans="2:46" ht="15">
      <c r="B10" s="2" t="s">
        <v>280</v>
      </c>
    </row>
    <row r="11" spans="2:46">
      <c r="N11" s="1" t="s">
        <v>98</v>
      </c>
    </row>
    <row r="12" spans="2:46">
      <c r="B12" s="1" t="s">
        <v>107</v>
      </c>
      <c r="F12" s="1" t="s">
        <v>106</v>
      </c>
      <c r="N12" s="1" t="s">
        <v>7</v>
      </c>
      <c r="Q12" s="45" t="s">
        <v>281</v>
      </c>
    </row>
    <row r="13" spans="2:46">
      <c r="B13" s="1" t="s">
        <v>266</v>
      </c>
      <c r="F13" s="1" t="s">
        <v>109</v>
      </c>
      <c r="N13" s="1" t="s">
        <v>101</v>
      </c>
      <c r="Q13" s="45" t="s">
        <v>102</v>
      </c>
    </row>
    <row r="14" spans="2:46">
      <c r="B14" s="1" t="s">
        <v>110</v>
      </c>
      <c r="F14" s="1" t="s">
        <v>6</v>
      </c>
      <c r="N14" s="1" t="s">
        <v>99</v>
      </c>
      <c r="Q14" s="45" t="s">
        <v>103</v>
      </c>
    </row>
    <row r="15" spans="2:46">
      <c r="B15" s="1" t="s">
        <v>304</v>
      </c>
      <c r="G15" s="1" t="s">
        <v>93</v>
      </c>
      <c r="H15" s="45" t="s">
        <v>108</v>
      </c>
      <c r="N15" s="1" t="s">
        <v>100</v>
      </c>
      <c r="Q15" s="45" t="s">
        <v>104</v>
      </c>
    </row>
    <row r="16" spans="2:46">
      <c r="B16" s="1" t="s">
        <v>120</v>
      </c>
      <c r="N16" s="1" t="s">
        <v>8</v>
      </c>
      <c r="Q16" s="45" t="s">
        <v>105</v>
      </c>
    </row>
    <row r="17" spans="1:17">
      <c r="B17" s="1" t="s">
        <v>119</v>
      </c>
      <c r="N17" s="1" t="s">
        <v>122</v>
      </c>
      <c r="Q17" s="45" t="s">
        <v>121</v>
      </c>
    </row>
    <row r="18" spans="1:17">
      <c r="B18" s="1" t="s">
        <v>2151</v>
      </c>
      <c r="Q18" s="45"/>
    </row>
    <row r="20" spans="1:17" ht="15">
      <c r="A20" s="2" t="s">
        <v>2157</v>
      </c>
    </row>
    <row r="21" spans="1:17">
      <c r="B21" s="1" t="s">
        <v>2160</v>
      </c>
    </row>
    <row r="22" spans="1:17" ht="15">
      <c r="B22" s="1" t="s">
        <v>2154</v>
      </c>
    </row>
    <row r="23" spans="1:17" ht="15">
      <c r="C23" s="1" t="s">
        <v>261</v>
      </c>
    </row>
    <row r="24" spans="1:17" ht="15">
      <c r="D24" s="1" t="s">
        <v>262</v>
      </c>
    </row>
    <row r="25" spans="1:17" ht="15">
      <c r="C25" s="1" t="s">
        <v>263</v>
      </c>
    </row>
    <row r="26" spans="1:17" ht="15">
      <c r="C26" s="1" t="s">
        <v>264</v>
      </c>
    </row>
    <row r="27" spans="1:17">
      <c r="B27" s="1" t="s">
        <v>265</v>
      </c>
    </row>
    <row r="28" spans="1:17" ht="15">
      <c r="B28" s="1" t="s">
        <v>2831</v>
      </c>
    </row>
    <row r="29" spans="1:17">
      <c r="C29" s="1" t="s">
        <v>2832</v>
      </c>
    </row>
    <row r="30" spans="1:17" ht="15">
      <c r="A30" s="2"/>
    </row>
    <row r="31" spans="1:17" ht="15">
      <c r="A31" s="2" t="s">
        <v>2864</v>
      </c>
    </row>
    <row r="32" spans="1:17" ht="15">
      <c r="B32" s="1" t="s">
        <v>2155</v>
      </c>
    </row>
    <row r="33" spans="2:34">
      <c r="C33" s="1" t="s">
        <v>2156</v>
      </c>
    </row>
    <row r="34" spans="2:34" ht="15">
      <c r="B34" s="1" t="s">
        <v>2158</v>
      </c>
    </row>
    <row r="35" spans="2:34" ht="15">
      <c r="B35" s="1" t="s">
        <v>2159</v>
      </c>
    </row>
    <row r="36" spans="2:34" ht="15">
      <c r="B36" s="1" t="s">
        <v>2161</v>
      </c>
    </row>
    <row r="37" spans="2:34" ht="15" customHeight="1">
      <c r="C37" s="64" t="s">
        <v>2833</v>
      </c>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row>
    <row r="38" spans="2:3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row>
    <row r="39" spans="2:3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row>
    <row r="40" spans="2:3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row>
    <row r="41" spans="2:34" ht="15">
      <c r="C41" s="63" t="s">
        <v>2162</v>
      </c>
    </row>
    <row r="42" spans="2:34" ht="15">
      <c r="B42" s="2" t="s">
        <v>2849</v>
      </c>
    </row>
    <row r="43" spans="2:34">
      <c r="C43" s="1" t="s">
        <v>2827</v>
      </c>
    </row>
    <row r="44" spans="2:34" ht="15">
      <c r="D44" s="1" t="s">
        <v>2828</v>
      </c>
    </row>
    <row r="45" spans="2:34">
      <c r="D45" s="1" t="s">
        <v>2829</v>
      </c>
    </row>
    <row r="46" spans="2:34">
      <c r="D46" s="1" t="s">
        <v>2830</v>
      </c>
    </row>
    <row r="47" spans="2:34">
      <c r="D47" s="1" t="s">
        <v>2834</v>
      </c>
    </row>
    <row r="48" spans="2:34" ht="15">
      <c r="B48" s="2" t="s">
        <v>2850</v>
      </c>
    </row>
    <row r="49" spans="2:6">
      <c r="C49" s="1" t="s">
        <v>2851</v>
      </c>
    </row>
    <row r="50" spans="2:6">
      <c r="D50" s="1" t="s">
        <v>2852</v>
      </c>
    </row>
    <row r="51" spans="2:6">
      <c r="D51" s="1" t="s">
        <v>2854</v>
      </c>
    </row>
    <row r="52" spans="2:6">
      <c r="F52" s="1" t="s">
        <v>2855</v>
      </c>
    </row>
    <row r="53" spans="2:6">
      <c r="F53" s="1" t="s">
        <v>2856</v>
      </c>
    </row>
    <row r="54" spans="2:6">
      <c r="F54" s="1" t="s">
        <v>2857</v>
      </c>
    </row>
    <row r="55" spans="2:6">
      <c r="F55" s="1" t="s">
        <v>2858</v>
      </c>
    </row>
    <row r="56" spans="2:6">
      <c r="E56" s="1" t="s">
        <v>2859</v>
      </c>
    </row>
    <row r="57" spans="2:6">
      <c r="E57" s="1" t="s">
        <v>2853</v>
      </c>
    </row>
    <row r="58" spans="2:6">
      <c r="D58" s="1" t="s">
        <v>2860</v>
      </c>
    </row>
    <row r="59" spans="2:6">
      <c r="E59" s="1" t="s">
        <v>2865</v>
      </c>
    </row>
    <row r="60" spans="2:6">
      <c r="D60" s="1" t="s">
        <v>2861</v>
      </c>
    </row>
    <row r="61" spans="2:6">
      <c r="D61" s="1" t="s">
        <v>2862</v>
      </c>
    </row>
    <row r="62" spans="2:6" ht="15">
      <c r="B62" s="2" t="s">
        <v>2863</v>
      </c>
    </row>
    <row r="63" spans="2:6">
      <c r="C63" s="1" t="s">
        <v>2873</v>
      </c>
    </row>
    <row r="64" spans="2:6">
      <c r="D64" s="1" t="s">
        <v>2866</v>
      </c>
    </row>
    <row r="65" spans="2:6">
      <c r="E65" s="1" t="s">
        <v>2867</v>
      </c>
    </row>
    <row r="66" spans="2:6">
      <c r="E66" s="1" t="s">
        <v>2868</v>
      </c>
    </row>
    <row r="67" spans="2:6">
      <c r="F67" s="1" t="s">
        <v>2869</v>
      </c>
    </row>
    <row r="68" spans="2:6">
      <c r="D68" s="1" t="s">
        <v>2870</v>
      </c>
    </row>
    <row r="69" spans="2:6">
      <c r="D69" s="1" t="s">
        <v>2871</v>
      </c>
    </row>
    <row r="70" spans="2:6">
      <c r="D70" s="1" t="s">
        <v>2872</v>
      </c>
    </row>
    <row r="71" spans="2:6" ht="15">
      <c r="B71" s="2" t="s">
        <v>2874</v>
      </c>
    </row>
    <row r="72" spans="2:6">
      <c r="C72" s="1" t="s">
        <v>2875</v>
      </c>
    </row>
    <row r="73" spans="2:6">
      <c r="D73" s="1" t="s">
        <v>2876</v>
      </c>
    </row>
    <row r="74" spans="2:6">
      <c r="D74" s="1" t="s">
        <v>2877</v>
      </c>
    </row>
    <row r="75" spans="2:6">
      <c r="D75" s="1" t="s">
        <v>2878</v>
      </c>
    </row>
    <row r="76" spans="2:6">
      <c r="D76" s="1" t="s">
        <v>2879</v>
      </c>
    </row>
    <row r="77" spans="2:6">
      <c r="D77" s="1" t="s">
        <v>2880</v>
      </c>
    </row>
    <row r="78" spans="2:6" ht="15">
      <c r="B78" s="2" t="s">
        <v>2881</v>
      </c>
    </row>
    <row r="79" spans="2:6">
      <c r="C79" s="1" t="s">
        <v>2882</v>
      </c>
    </row>
    <row r="80" spans="2:6">
      <c r="D80" s="1" t="s">
        <v>2883</v>
      </c>
    </row>
    <row r="81" spans="2:5">
      <c r="D81" s="1" t="s">
        <v>2884</v>
      </c>
    </row>
    <row r="82" spans="2:5">
      <c r="E82" s="1" t="s">
        <v>2885</v>
      </c>
    </row>
    <row r="83" spans="2:5">
      <c r="D83" s="1" t="s">
        <v>2886</v>
      </c>
    </row>
    <row r="84" spans="2:5">
      <c r="E84" s="1" t="s">
        <v>2887</v>
      </c>
    </row>
    <row r="85" spans="2:5">
      <c r="D85" s="1" t="s">
        <v>2888</v>
      </c>
    </row>
    <row r="86" spans="2:5">
      <c r="E86" s="1" t="s">
        <v>2889</v>
      </c>
    </row>
    <row r="87" spans="2:5" ht="15">
      <c r="B87" s="2" t="s">
        <v>2890</v>
      </c>
    </row>
    <row r="88" spans="2:5">
      <c r="C88" s="1" t="s">
        <v>2891</v>
      </c>
    </row>
    <row r="89" spans="2:5">
      <c r="D89" s="1" t="s">
        <v>2892</v>
      </c>
    </row>
    <row r="90" spans="2:5">
      <c r="D90" s="1" t="s">
        <v>2893</v>
      </c>
    </row>
    <row r="91" spans="2:5">
      <c r="E91" s="1" t="s">
        <v>2894</v>
      </c>
    </row>
    <row r="92" spans="2:5" ht="15">
      <c r="B92" s="2" t="s">
        <v>2895</v>
      </c>
    </row>
    <row r="93" spans="2:5">
      <c r="C93" s="1" t="s">
        <v>2896</v>
      </c>
    </row>
    <row r="94" spans="2:5">
      <c r="D94" s="1" t="s">
        <v>2897</v>
      </c>
    </row>
    <row r="95" spans="2:5">
      <c r="D95" s="1" t="s">
        <v>2898</v>
      </c>
    </row>
    <row r="96" spans="2:5">
      <c r="D96" s="1" t="s">
        <v>2899</v>
      </c>
    </row>
    <row r="97" spans="1:5">
      <c r="C97" s="1" t="s">
        <v>2900</v>
      </c>
    </row>
    <row r="98" spans="1:5">
      <c r="C98" s="1" t="s">
        <v>2901</v>
      </c>
    </row>
    <row r="99" spans="1:5">
      <c r="D99" s="1" t="s">
        <v>2902</v>
      </c>
    </row>
    <row r="100" spans="1:5">
      <c r="D100" s="1" t="s">
        <v>2903</v>
      </c>
    </row>
    <row r="101" spans="1:5">
      <c r="D101" s="1" t="s">
        <v>2904</v>
      </c>
    </row>
    <row r="102" spans="1:5" ht="15" customHeight="1">
      <c r="E102" s="1" t="s">
        <v>2905</v>
      </c>
    </row>
    <row r="103" spans="1:5">
      <c r="E103" s="1" t="s">
        <v>2906</v>
      </c>
    </row>
    <row r="104" spans="1:5" ht="15">
      <c r="B104" s="2" t="s">
        <v>2907</v>
      </c>
    </row>
    <row r="105" spans="1:5">
      <c r="C105" s="1" t="s">
        <v>2908</v>
      </c>
    </row>
    <row r="106" spans="1:5">
      <c r="D106" s="1" t="s">
        <v>2909</v>
      </c>
    </row>
    <row r="107" spans="1:5">
      <c r="D107" s="1" t="s">
        <v>2910</v>
      </c>
    </row>
    <row r="108" spans="1:5" ht="15">
      <c r="A108" s="2" t="s">
        <v>2911</v>
      </c>
    </row>
    <row r="109" spans="1:5" ht="15">
      <c r="B109" s="2" t="s">
        <v>2912</v>
      </c>
    </row>
    <row r="110" spans="1:5">
      <c r="C110" s="1" t="s">
        <v>2913</v>
      </c>
    </row>
    <row r="111" spans="1:5">
      <c r="D111" s="1" t="s">
        <v>2914</v>
      </c>
    </row>
    <row r="112" spans="1:5">
      <c r="D112" s="1" t="s">
        <v>2915</v>
      </c>
    </row>
    <row r="113" spans="3:5">
      <c r="C113" s="1" t="s">
        <v>2916</v>
      </c>
    </row>
    <row r="114" spans="3:5">
      <c r="D114" s="1" t="s">
        <v>2917</v>
      </c>
    </row>
    <row r="115" spans="3:5">
      <c r="D115" s="1" t="s">
        <v>2918</v>
      </c>
    </row>
    <row r="116" spans="3:5">
      <c r="D116" s="1" t="s">
        <v>2919</v>
      </c>
    </row>
    <row r="117" spans="3:5">
      <c r="D117" s="1" t="s">
        <v>2920</v>
      </c>
    </row>
    <row r="118" spans="3:5">
      <c r="C118" s="1" t="s">
        <v>2921</v>
      </c>
    </row>
    <row r="119" spans="3:5">
      <c r="D119" s="1" t="s">
        <v>2922</v>
      </c>
    </row>
    <row r="120" spans="3:5">
      <c r="D120" s="1" t="s">
        <v>2923</v>
      </c>
    </row>
    <row r="121" spans="3:5">
      <c r="E121" s="1" t="s">
        <v>2924</v>
      </c>
    </row>
    <row r="122" spans="3:5">
      <c r="D122" s="1" t="s">
        <v>2925</v>
      </c>
    </row>
    <row r="123" spans="3:5">
      <c r="C123" s="1" t="s">
        <v>2926</v>
      </c>
    </row>
    <row r="124" spans="3:5" ht="15">
      <c r="D124" s="1" t="s">
        <v>2927</v>
      </c>
    </row>
    <row r="125" spans="3:5">
      <c r="D125" s="1" t="s">
        <v>2928</v>
      </c>
    </row>
    <row r="126" spans="3:5">
      <c r="E126" s="1" t="s">
        <v>2929</v>
      </c>
    </row>
    <row r="127" spans="3:5">
      <c r="C127" s="1" t="s">
        <v>2930</v>
      </c>
    </row>
    <row r="128" spans="3:5">
      <c r="D128" s="1" t="s">
        <v>2931</v>
      </c>
    </row>
    <row r="129" spans="1:5">
      <c r="D129" s="1" t="s">
        <v>2932</v>
      </c>
    </row>
    <row r="130" spans="1:5">
      <c r="D130" s="1" t="s">
        <v>2933</v>
      </c>
    </row>
    <row r="131" spans="1:5">
      <c r="D131" s="1" t="s">
        <v>2934</v>
      </c>
    </row>
    <row r="132" spans="1:5" ht="15">
      <c r="A132" s="2" t="s">
        <v>2935</v>
      </c>
    </row>
    <row r="133" spans="1:5" ht="15">
      <c r="B133" s="2" t="s">
        <v>268</v>
      </c>
    </row>
    <row r="134" spans="1:5">
      <c r="C134" s="1" t="s">
        <v>167</v>
      </c>
    </row>
    <row r="135" spans="1:5" ht="15">
      <c r="D135" s="1" t="s">
        <v>2153</v>
      </c>
    </row>
    <row r="136" spans="1:5" ht="15">
      <c r="D136" s="1" t="s">
        <v>182</v>
      </c>
    </row>
    <row r="137" spans="1:5" ht="15">
      <c r="E137" s="1" t="s">
        <v>2835</v>
      </c>
    </row>
    <row r="138" spans="1:5" ht="15">
      <c r="D138" s="2" t="s">
        <v>180</v>
      </c>
    </row>
    <row r="139" spans="1:5">
      <c r="E139" s="1" t="s">
        <v>181</v>
      </c>
    </row>
    <row r="140" spans="1:5">
      <c r="C140" s="1" t="s">
        <v>166</v>
      </c>
    </row>
    <row r="141" spans="1:5" ht="15">
      <c r="D141" s="1" t="s">
        <v>177</v>
      </c>
    </row>
    <row r="142" spans="1:5">
      <c r="D142" s="1" t="s">
        <v>178</v>
      </c>
    </row>
    <row r="143" spans="1:5" ht="15">
      <c r="E143" s="2" t="s">
        <v>185</v>
      </c>
    </row>
    <row r="144" spans="1:5">
      <c r="D144" s="1" t="s">
        <v>2152</v>
      </c>
    </row>
    <row r="145" spans="3:5">
      <c r="E145" s="1" t="s">
        <v>179</v>
      </c>
    </row>
    <row r="146" spans="3:5">
      <c r="C146" s="1" t="s">
        <v>170</v>
      </c>
    </row>
    <row r="147" spans="3:5" ht="15">
      <c r="D147" s="1" t="s">
        <v>193</v>
      </c>
    </row>
    <row r="148" spans="3:5">
      <c r="D148" s="1" t="s">
        <v>194</v>
      </c>
    </row>
    <row r="149" spans="3:5">
      <c r="E149" s="1" t="s">
        <v>195</v>
      </c>
    </row>
    <row r="150" spans="3:5">
      <c r="D150" s="1" t="s">
        <v>196</v>
      </c>
    </row>
    <row r="151" spans="3:5">
      <c r="C151" s="1" t="s">
        <v>169</v>
      </c>
    </row>
    <row r="152" spans="3:5" ht="15">
      <c r="D152" s="1" t="s">
        <v>188</v>
      </c>
    </row>
    <row r="153" spans="3:5">
      <c r="D153" s="1" t="s">
        <v>186</v>
      </c>
    </row>
    <row r="154" spans="3:5">
      <c r="E154" s="1" t="s">
        <v>2836</v>
      </c>
    </row>
    <row r="155" spans="3:5">
      <c r="D155" s="1" t="s">
        <v>187</v>
      </c>
    </row>
    <row r="156" spans="3:5">
      <c r="C156" s="1" t="s">
        <v>168</v>
      </c>
    </row>
    <row r="157" spans="3:5" ht="15">
      <c r="D157" s="1" t="s">
        <v>184</v>
      </c>
    </row>
    <row r="158" spans="3:5">
      <c r="D158" s="1" t="s">
        <v>2837</v>
      </c>
    </row>
    <row r="159" spans="3:5">
      <c r="E159" s="1" t="s">
        <v>2838</v>
      </c>
    </row>
    <row r="160" spans="3:5">
      <c r="D160" s="1" t="s">
        <v>183</v>
      </c>
    </row>
    <row r="161" spans="3:6">
      <c r="C161" s="1" t="s">
        <v>173</v>
      </c>
    </row>
    <row r="162" spans="3:6">
      <c r="D162" s="1" t="s">
        <v>203</v>
      </c>
    </row>
    <row r="163" spans="3:6">
      <c r="D163" s="1" t="s">
        <v>204</v>
      </c>
    </row>
    <row r="164" spans="3:6">
      <c r="E164" s="1" t="s">
        <v>2839</v>
      </c>
    </row>
    <row r="165" spans="3:6">
      <c r="D165" s="1" t="s">
        <v>205</v>
      </c>
    </row>
    <row r="166" spans="3:6">
      <c r="E166" s="1" t="s">
        <v>206</v>
      </c>
    </row>
    <row r="167" spans="3:6">
      <c r="E167" s="1" t="s">
        <v>2840</v>
      </c>
    </row>
    <row r="168" spans="3:6">
      <c r="F168" s="1" t="s">
        <v>207</v>
      </c>
    </row>
    <row r="169" spans="3:6">
      <c r="C169" s="1" t="s">
        <v>176</v>
      </c>
    </row>
    <row r="170" spans="3:6">
      <c r="D170" s="1" t="s">
        <v>189</v>
      </c>
    </row>
    <row r="171" spans="3:6">
      <c r="D171" s="1" t="s">
        <v>190</v>
      </c>
    </row>
    <row r="172" spans="3:6">
      <c r="E172" s="1" t="s">
        <v>2841</v>
      </c>
    </row>
    <row r="173" spans="3:6">
      <c r="F173" s="1" t="s">
        <v>192</v>
      </c>
    </row>
    <row r="174" spans="3:6">
      <c r="F174" s="1" t="s">
        <v>2842</v>
      </c>
    </row>
    <row r="175" spans="3:6">
      <c r="D175" s="1" t="s">
        <v>191</v>
      </c>
    </row>
    <row r="176" spans="3:6">
      <c r="C176" s="1" t="s">
        <v>172</v>
      </c>
    </row>
    <row r="177" spans="3:5">
      <c r="D177" s="1" t="s">
        <v>200</v>
      </c>
    </row>
    <row r="178" spans="3:5">
      <c r="D178" s="1" t="s">
        <v>201</v>
      </c>
    </row>
    <row r="179" spans="3:5">
      <c r="E179" s="1" t="s">
        <v>2843</v>
      </c>
    </row>
    <row r="180" spans="3:5">
      <c r="D180" s="1" t="s">
        <v>202</v>
      </c>
    </row>
    <row r="181" spans="3:5">
      <c r="C181" s="1" t="s">
        <v>171</v>
      </c>
    </row>
    <row r="182" spans="3:5" ht="15">
      <c r="D182" s="1" t="s">
        <v>197</v>
      </c>
    </row>
    <row r="183" spans="3:5">
      <c r="D183" s="1" t="s">
        <v>198</v>
      </c>
    </row>
    <row r="184" spans="3:5">
      <c r="E184" s="1" t="s">
        <v>199</v>
      </c>
    </row>
    <row r="185" spans="3:5">
      <c r="C185" s="1" t="s">
        <v>174</v>
      </c>
    </row>
    <row r="186" spans="3:5">
      <c r="D186" s="1" t="s">
        <v>208</v>
      </c>
    </row>
    <row r="187" spans="3:5">
      <c r="E187" s="1" t="s">
        <v>209</v>
      </c>
    </row>
    <row r="188" spans="3:5">
      <c r="D188" s="1" t="s">
        <v>210</v>
      </c>
    </row>
    <row r="189" spans="3:5">
      <c r="E189" s="1" t="s">
        <v>211</v>
      </c>
    </row>
    <row r="190" spans="3:5">
      <c r="D190" s="1" t="s">
        <v>212</v>
      </c>
    </row>
    <row r="191" spans="3:5">
      <c r="D191" s="1" t="s">
        <v>213</v>
      </c>
    </row>
    <row r="192" spans="3:5">
      <c r="C192" s="1" t="s">
        <v>175</v>
      </c>
    </row>
    <row r="193" spans="2:5">
      <c r="D193" s="1" t="s">
        <v>214</v>
      </c>
    </row>
    <row r="194" spans="2:5">
      <c r="E194" s="1" t="s">
        <v>215</v>
      </c>
    </row>
    <row r="195" spans="2:5">
      <c r="D195" s="1" t="s">
        <v>216</v>
      </c>
    </row>
    <row r="196" spans="2:5">
      <c r="D196" s="1" t="s">
        <v>217</v>
      </c>
    </row>
    <row r="197" spans="2:5" ht="15">
      <c r="B197" s="2" t="s">
        <v>267</v>
      </c>
    </row>
    <row r="198" spans="2:5">
      <c r="C198" s="1" t="s">
        <v>218</v>
      </c>
    </row>
    <row r="199" spans="2:5">
      <c r="D199" s="1" t="s">
        <v>224</v>
      </c>
    </row>
    <row r="204" spans="2:5">
      <c r="C204" s="1" t="s">
        <v>222</v>
      </c>
    </row>
    <row r="205" spans="2:5">
      <c r="D205" s="1" t="s">
        <v>225</v>
      </c>
    </row>
    <row r="209" spans="3:4">
      <c r="C209" s="1" t="s">
        <v>221</v>
      </c>
    </row>
    <row r="210" spans="3:4">
      <c r="D210" s="1" t="s">
        <v>226</v>
      </c>
    </row>
    <row r="215" spans="3:4">
      <c r="C215" s="1" t="s">
        <v>220</v>
      </c>
    </row>
    <row r="216" spans="3:4">
      <c r="D216" s="1" t="s">
        <v>227</v>
      </c>
    </row>
    <row r="221" spans="3:4">
      <c r="C221" s="1" t="s">
        <v>219</v>
      </c>
    </row>
    <row r="222" spans="3:4">
      <c r="D222" s="1" t="s">
        <v>228</v>
      </c>
    </row>
    <row r="227" spans="2:6">
      <c r="C227" s="1" t="s">
        <v>223</v>
      </c>
    </row>
    <row r="228" spans="2:6">
      <c r="D228" s="1" t="s">
        <v>229</v>
      </c>
    </row>
    <row r="232" spans="2:6" ht="15">
      <c r="B232" s="2" t="s">
        <v>2844</v>
      </c>
    </row>
    <row r="233" spans="2:6">
      <c r="C233" s="1" t="s">
        <v>112</v>
      </c>
    </row>
    <row r="234" spans="2:6">
      <c r="D234" s="1" t="s">
        <v>126</v>
      </c>
    </row>
    <row r="235" spans="2:6">
      <c r="E235" s="1" t="s">
        <v>2845</v>
      </c>
    </row>
    <row r="236" spans="2:6">
      <c r="E236" s="1" t="s">
        <v>125</v>
      </c>
    </row>
    <row r="237" spans="2:6">
      <c r="C237" s="1" t="s">
        <v>113</v>
      </c>
    </row>
    <row r="238" spans="2:6">
      <c r="D238" s="1" t="s">
        <v>2824</v>
      </c>
    </row>
    <row r="239" spans="2:6">
      <c r="E239" s="1" t="s">
        <v>127</v>
      </c>
    </row>
    <row r="240" spans="2:6">
      <c r="F240" s="1" t="s">
        <v>2825</v>
      </c>
    </row>
    <row r="241" spans="3:7">
      <c r="G241" s="1" t="s">
        <v>2826</v>
      </c>
    </row>
    <row r="242" spans="3:7">
      <c r="F242" s="1" t="s">
        <v>2846</v>
      </c>
    </row>
    <row r="243" spans="3:7">
      <c r="C243" s="1" t="s">
        <v>118</v>
      </c>
    </row>
    <row r="244" spans="3:7">
      <c r="D244" s="1" t="s">
        <v>132</v>
      </c>
    </row>
    <row r="245" spans="3:7">
      <c r="E245" s="1" t="s">
        <v>133</v>
      </c>
    </row>
    <row r="246" spans="3:7" ht="15">
      <c r="F246" s="1" t="s">
        <v>134</v>
      </c>
    </row>
    <row r="247" spans="3:7">
      <c r="E247" s="1" t="s">
        <v>161</v>
      </c>
    </row>
    <row r="248" spans="3:7">
      <c r="F248" s="1" t="s">
        <v>2847</v>
      </c>
    </row>
    <row r="249" spans="3:7">
      <c r="F249" s="1" t="s">
        <v>162</v>
      </c>
    </row>
    <row r="250" spans="3:7">
      <c r="G250" s="1" t="s">
        <v>135</v>
      </c>
    </row>
    <row r="251" spans="3:7">
      <c r="G251" s="1" t="s">
        <v>136</v>
      </c>
    </row>
    <row r="252" spans="3:7">
      <c r="E252" s="1" t="s">
        <v>137</v>
      </c>
    </row>
    <row r="253" spans="3:7">
      <c r="F253" s="1" t="s">
        <v>138</v>
      </c>
    </row>
    <row r="254" spans="3:7">
      <c r="F254" s="1" t="s">
        <v>139</v>
      </c>
    </row>
    <row r="255" spans="3:7">
      <c r="F255" s="1" t="s">
        <v>140</v>
      </c>
    </row>
    <row r="256" spans="3:7" ht="15">
      <c r="E256" s="2" t="s">
        <v>2848</v>
      </c>
    </row>
    <row r="257" spans="3:8" ht="15">
      <c r="C257" s="1" t="s">
        <v>115</v>
      </c>
      <c r="E257" s="2"/>
    </row>
    <row r="258" spans="3:8">
      <c r="D258" s="1" t="s">
        <v>141</v>
      </c>
    </row>
    <row r="259" spans="3:8">
      <c r="E259" s="1" t="s">
        <v>143</v>
      </c>
      <c r="H259" s="1" t="s">
        <v>144</v>
      </c>
    </row>
    <row r="260" spans="3:8">
      <c r="E260" s="1" t="s">
        <v>142</v>
      </c>
      <c r="H260" s="1" t="s">
        <v>145</v>
      </c>
    </row>
    <row r="261" spans="3:8">
      <c r="E261" s="1" t="s">
        <v>160</v>
      </c>
      <c r="H261" s="1" t="s">
        <v>159</v>
      </c>
    </row>
    <row r="262" spans="3:8">
      <c r="E262" s="1" t="s">
        <v>158</v>
      </c>
      <c r="H262" s="1" t="s">
        <v>157</v>
      </c>
    </row>
    <row r="263" spans="3:8">
      <c r="E263" s="1" t="s">
        <v>156</v>
      </c>
      <c r="H263" s="1" t="s">
        <v>155</v>
      </c>
    </row>
    <row r="264" spans="3:8">
      <c r="E264" s="1" t="s">
        <v>154</v>
      </c>
      <c r="H264" s="1" t="s">
        <v>153</v>
      </c>
    </row>
    <row r="265" spans="3:8">
      <c r="E265" s="1" t="s">
        <v>152</v>
      </c>
      <c r="H265" s="1" t="s">
        <v>151</v>
      </c>
    </row>
    <row r="266" spans="3:8">
      <c r="E266" s="1" t="s">
        <v>150</v>
      </c>
      <c r="H266" s="1" t="s">
        <v>149</v>
      </c>
    </row>
    <row r="267" spans="3:8">
      <c r="E267" s="1" t="s">
        <v>148</v>
      </c>
      <c r="H267" s="1" t="s">
        <v>147</v>
      </c>
    </row>
    <row r="268" spans="3:8">
      <c r="C268" s="1" t="s">
        <v>114</v>
      </c>
    </row>
    <row r="269" spans="3:8">
      <c r="D269" s="1" t="s">
        <v>128</v>
      </c>
    </row>
    <row r="270" spans="3:8">
      <c r="E270" s="1" t="s">
        <v>129</v>
      </c>
    </row>
    <row r="271" spans="3:8">
      <c r="F271" s="1" t="s">
        <v>130</v>
      </c>
    </row>
    <row r="272" spans="3:8" ht="15">
      <c r="F272" s="2" t="s">
        <v>131</v>
      </c>
      <c r="G272" s="2"/>
    </row>
    <row r="273" spans="3:5">
      <c r="C273" s="1" t="s">
        <v>117</v>
      </c>
    </row>
    <row r="274" spans="3:5">
      <c r="D274" s="1" t="s">
        <v>163</v>
      </c>
    </row>
    <row r="275" spans="3:5">
      <c r="C275" s="1" t="s">
        <v>123</v>
      </c>
    </row>
    <row r="276" spans="3:5">
      <c r="D276" s="1" t="s">
        <v>146</v>
      </c>
    </row>
    <row r="277" spans="3:5">
      <c r="E277" s="1" t="s">
        <v>124</v>
      </c>
    </row>
    <row r="278" spans="3:5">
      <c r="C278" s="1" t="s">
        <v>116</v>
      </c>
    </row>
    <row r="279" spans="3:5">
      <c r="D279" s="1" t="s">
        <v>164</v>
      </c>
    </row>
    <row r="280" spans="3:5" ht="15">
      <c r="C280" s="2" t="s">
        <v>111</v>
      </c>
    </row>
  </sheetData>
  <mergeCells count="1">
    <mergeCell ref="C37:AH40"/>
  </mergeCells>
  <hyperlinks>
    <hyperlink ref="Q13" r:id="rId1" xr:uid="{AA9B7AE0-4807-4602-A589-BFB754D35D40}"/>
    <hyperlink ref="Q14" r:id="rId2" xr:uid="{6973B659-67E3-41B1-9EE2-B10B4344E22E}"/>
    <hyperlink ref="Q15" r:id="rId3" xr:uid="{68D6AC96-B3D0-4875-A7EC-0C1B6A1593E2}"/>
    <hyperlink ref="Q16" r:id="rId4" xr:uid="{B39DA20C-F45C-4E43-AC4E-CCE9242EB2F9}"/>
    <hyperlink ref="H15" r:id="rId5" xr:uid="{BC0D483D-99FE-49D1-93D8-26DF9CADE7BE}"/>
    <hyperlink ref="Q17" r:id="rId6" xr:uid="{95104289-ACBE-4B97-BCFD-C0BCC1AEBBEA}"/>
    <hyperlink ref="C41" r:id="rId7" xr:uid="{B48F9B76-E043-4C92-8E99-D44B94834C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H117"/>
  <sheetViews>
    <sheetView tabSelected="1" zoomScale="85" zoomScaleNormal="85" workbookViewId="0">
      <pane xSplit="2" ySplit="3" topLeftCell="CO24" activePane="bottomRight" state="frozen"/>
      <selection pane="topRight" activeCell="C1" sqref="C1"/>
      <selection pane="bottomLeft" activeCell="A4" sqref="A4"/>
      <selection pane="bottomRight" activeCell="DG70" sqref="DG70"/>
    </sheetView>
  </sheetViews>
  <sheetFormatPr defaultRowHeight="14.25"/>
  <cols>
    <col min="1" max="1" width="3.140625" style="1" customWidth="1"/>
    <col min="2" max="2" width="41.85546875" style="1" customWidth="1"/>
    <col min="3" max="3" width="9.140625" style="1" customWidth="1"/>
    <col min="4" max="47" width="9.140625" style="1"/>
    <col min="48" max="69" width="9.85546875" style="1" customWidth="1"/>
    <col min="70" max="81" width="9.85546875" style="35" customWidth="1"/>
    <col min="82" max="101" width="9.85546875" style="1" customWidth="1"/>
    <col min="102" max="161" width="9.85546875" style="35" customWidth="1"/>
    <col min="162" max="16384" width="9.140625" style="1"/>
  </cols>
  <sheetData>
    <row r="1" spans="2:164" ht="15">
      <c r="B1" s="1" t="s">
        <v>51</v>
      </c>
      <c r="AW1" s="33" t="s">
        <v>45</v>
      </c>
      <c r="BA1" s="33" t="s">
        <v>46</v>
      </c>
      <c r="BE1" s="33" t="s">
        <v>47</v>
      </c>
      <c r="BI1" s="33" t="s">
        <v>48</v>
      </c>
      <c r="BM1" s="33" t="s">
        <v>49</v>
      </c>
      <c r="BQ1" s="33" t="s">
        <v>50</v>
      </c>
    </row>
    <row r="2" spans="2:164">
      <c r="B2" s="1" t="s">
        <v>52</v>
      </c>
    </row>
    <row r="3" spans="2:164" ht="15">
      <c r="B3" s="2" t="s">
        <v>53</v>
      </c>
      <c r="C3" s="33" t="s">
        <v>44</v>
      </c>
      <c r="D3" s="33" t="s">
        <v>55</v>
      </c>
      <c r="E3" s="33" t="s">
        <v>308</v>
      </c>
      <c r="F3" s="33" t="s">
        <v>309</v>
      </c>
      <c r="G3" s="33" t="s">
        <v>310</v>
      </c>
      <c r="H3" s="33" t="s">
        <v>311</v>
      </c>
      <c r="I3" s="33" t="s">
        <v>312</v>
      </c>
      <c r="J3" s="33" t="s">
        <v>313</v>
      </c>
      <c r="K3" s="33" t="s">
        <v>314</v>
      </c>
      <c r="L3" s="33" t="s">
        <v>315</v>
      </c>
      <c r="M3" s="33" t="s">
        <v>316</v>
      </c>
      <c r="N3" s="33" t="s">
        <v>317</v>
      </c>
      <c r="O3" s="33" t="s">
        <v>318</v>
      </c>
      <c r="P3" s="33" t="s">
        <v>319</v>
      </c>
      <c r="Q3" s="33" t="s">
        <v>320</v>
      </c>
      <c r="R3" s="33" t="s">
        <v>321</v>
      </c>
      <c r="S3" s="33" t="s">
        <v>322</v>
      </c>
      <c r="T3" s="33" t="s">
        <v>323</v>
      </c>
      <c r="U3" s="33" t="s">
        <v>324</v>
      </c>
      <c r="V3" s="33" t="s">
        <v>325</v>
      </c>
      <c r="W3" s="33" t="s">
        <v>326</v>
      </c>
      <c r="X3" s="33" t="s">
        <v>327</v>
      </c>
      <c r="Y3" s="33" t="s">
        <v>328</v>
      </c>
      <c r="Z3" s="33" t="s">
        <v>329</v>
      </c>
      <c r="AA3" s="33" t="s">
        <v>330</v>
      </c>
      <c r="AB3" s="33" t="s">
        <v>331</v>
      </c>
      <c r="AC3" s="33" t="s">
        <v>332</v>
      </c>
      <c r="AD3" s="33" t="s">
        <v>333</v>
      </c>
      <c r="AE3" s="33" t="s">
        <v>334</v>
      </c>
      <c r="AF3" s="33" t="s">
        <v>335</v>
      </c>
      <c r="AG3" s="33" t="s">
        <v>336</v>
      </c>
      <c r="AH3" s="33" t="s">
        <v>337</v>
      </c>
      <c r="AI3" s="33" t="s">
        <v>338</v>
      </c>
      <c r="AJ3" s="33" t="s">
        <v>339</v>
      </c>
      <c r="AK3" s="33" t="s">
        <v>340</v>
      </c>
      <c r="AL3" s="33" t="s">
        <v>341</v>
      </c>
      <c r="AM3" s="33" t="s">
        <v>342</v>
      </c>
      <c r="AN3" s="33" t="s">
        <v>343</v>
      </c>
      <c r="AO3" s="33" t="s">
        <v>344</v>
      </c>
      <c r="AP3" s="33" t="s">
        <v>345</v>
      </c>
      <c r="AQ3" s="33" t="s">
        <v>346</v>
      </c>
      <c r="AR3" s="33" t="s">
        <v>347</v>
      </c>
      <c r="AS3" s="33" t="s">
        <v>348</v>
      </c>
      <c r="AT3" s="33" t="s">
        <v>349</v>
      </c>
      <c r="AU3" s="33" t="s">
        <v>350</v>
      </c>
      <c r="AV3" s="33" t="s">
        <v>351</v>
      </c>
      <c r="AW3" s="33" t="s">
        <v>352</v>
      </c>
      <c r="AX3" s="33" t="s">
        <v>353</v>
      </c>
      <c r="AY3" s="33" t="s">
        <v>354</v>
      </c>
      <c r="AZ3" s="33" t="s">
        <v>355</v>
      </c>
      <c r="BA3" s="33" t="s">
        <v>356</v>
      </c>
      <c r="BB3" s="33" t="s">
        <v>357</v>
      </c>
      <c r="BC3" s="33" t="s">
        <v>358</v>
      </c>
      <c r="BD3" s="33" t="s">
        <v>359</v>
      </c>
      <c r="BE3" s="33" t="s">
        <v>360</v>
      </c>
      <c r="BF3" s="33" t="s">
        <v>361</v>
      </c>
      <c r="BG3" s="33" t="s">
        <v>362</v>
      </c>
      <c r="BH3" s="33" t="s">
        <v>363</v>
      </c>
      <c r="BI3" s="33" t="s">
        <v>364</v>
      </c>
      <c r="BJ3" s="33" t="s">
        <v>365</v>
      </c>
      <c r="BK3" s="33" t="s">
        <v>366</v>
      </c>
      <c r="BL3" s="33" t="s">
        <v>367</v>
      </c>
      <c r="BM3" s="33" t="s">
        <v>368</v>
      </c>
      <c r="BN3" s="33" t="s">
        <v>369</v>
      </c>
      <c r="BO3" s="33" t="s">
        <v>370</v>
      </c>
      <c r="BP3" s="33" t="s">
        <v>371</v>
      </c>
      <c r="BQ3" s="33" t="s">
        <v>97</v>
      </c>
      <c r="BR3" s="34" t="s">
        <v>372</v>
      </c>
      <c r="BS3" s="34" t="s">
        <v>373</v>
      </c>
      <c r="BT3" s="34" t="s">
        <v>374</v>
      </c>
      <c r="BU3" s="34" t="s">
        <v>2149</v>
      </c>
      <c r="BV3" s="34" t="s">
        <v>307</v>
      </c>
      <c r="BW3" s="34" t="s">
        <v>306</v>
      </c>
      <c r="BX3" s="34" t="s">
        <v>305</v>
      </c>
      <c r="BY3" s="34" t="s">
        <v>2150</v>
      </c>
      <c r="CG3" s="2">
        <v>2008</v>
      </c>
      <c r="CH3" s="2">
        <f>CG3+1</f>
        <v>2009</v>
      </c>
      <c r="CI3" s="2">
        <f t="shared" ref="CI3:ET3" si="0">CH3+1</f>
        <v>2010</v>
      </c>
      <c r="CJ3" s="2">
        <f t="shared" si="0"/>
        <v>2011</v>
      </c>
      <c r="CK3" s="2">
        <f t="shared" si="0"/>
        <v>2012</v>
      </c>
      <c r="CL3" s="2">
        <f t="shared" si="0"/>
        <v>2013</v>
      </c>
      <c r="CM3" s="2">
        <f t="shared" si="0"/>
        <v>2014</v>
      </c>
      <c r="CN3" s="2">
        <f t="shared" si="0"/>
        <v>2015</v>
      </c>
      <c r="CO3" s="2">
        <f t="shared" si="0"/>
        <v>2016</v>
      </c>
      <c r="CP3" s="2">
        <f t="shared" si="0"/>
        <v>2017</v>
      </c>
      <c r="CQ3" s="2">
        <f t="shared" si="0"/>
        <v>2018</v>
      </c>
      <c r="CR3" s="2">
        <f t="shared" si="0"/>
        <v>2019</v>
      </c>
      <c r="CS3" s="2">
        <f t="shared" si="0"/>
        <v>2020</v>
      </c>
      <c r="CT3" s="2">
        <f t="shared" si="0"/>
        <v>2021</v>
      </c>
      <c r="CU3" s="2">
        <f t="shared" si="0"/>
        <v>2022</v>
      </c>
      <c r="CV3" s="2">
        <f t="shared" si="0"/>
        <v>2023</v>
      </c>
      <c r="CW3" s="2">
        <f t="shared" si="0"/>
        <v>2024</v>
      </c>
      <c r="CX3" s="34">
        <f t="shared" si="0"/>
        <v>2025</v>
      </c>
      <c r="CY3" s="34">
        <f t="shared" si="0"/>
        <v>2026</v>
      </c>
      <c r="CZ3" s="34">
        <f t="shared" si="0"/>
        <v>2027</v>
      </c>
      <c r="DA3" s="34">
        <f t="shared" si="0"/>
        <v>2028</v>
      </c>
      <c r="DB3" s="34">
        <f t="shared" si="0"/>
        <v>2029</v>
      </c>
      <c r="DC3" s="34">
        <f t="shared" si="0"/>
        <v>2030</v>
      </c>
      <c r="DD3" s="34">
        <f t="shared" si="0"/>
        <v>2031</v>
      </c>
      <c r="DE3" s="34">
        <f t="shared" si="0"/>
        <v>2032</v>
      </c>
      <c r="DF3" s="34">
        <f t="shared" si="0"/>
        <v>2033</v>
      </c>
      <c r="DG3" s="34">
        <f t="shared" si="0"/>
        <v>2034</v>
      </c>
      <c r="DH3" s="34">
        <f t="shared" si="0"/>
        <v>2035</v>
      </c>
      <c r="DI3" s="34">
        <f t="shared" si="0"/>
        <v>2036</v>
      </c>
      <c r="DJ3" s="34">
        <f t="shared" si="0"/>
        <v>2037</v>
      </c>
      <c r="DK3" s="34">
        <f t="shared" si="0"/>
        <v>2038</v>
      </c>
      <c r="DL3" s="34">
        <f t="shared" si="0"/>
        <v>2039</v>
      </c>
      <c r="DM3" s="34">
        <f t="shared" si="0"/>
        <v>2040</v>
      </c>
      <c r="DN3" s="34">
        <f t="shared" si="0"/>
        <v>2041</v>
      </c>
      <c r="DO3" s="34">
        <f t="shared" si="0"/>
        <v>2042</v>
      </c>
      <c r="DP3" s="34">
        <f t="shared" si="0"/>
        <v>2043</v>
      </c>
      <c r="DQ3" s="34">
        <f t="shared" si="0"/>
        <v>2044</v>
      </c>
      <c r="DR3" s="34">
        <f t="shared" si="0"/>
        <v>2045</v>
      </c>
      <c r="DS3" s="34">
        <f t="shared" si="0"/>
        <v>2046</v>
      </c>
      <c r="DT3" s="34">
        <f t="shared" si="0"/>
        <v>2047</v>
      </c>
      <c r="DU3" s="34">
        <f t="shared" si="0"/>
        <v>2048</v>
      </c>
      <c r="DV3" s="34">
        <f t="shared" si="0"/>
        <v>2049</v>
      </c>
      <c r="DW3" s="34">
        <f t="shared" si="0"/>
        <v>2050</v>
      </c>
      <c r="DX3" s="34">
        <f t="shared" si="0"/>
        <v>2051</v>
      </c>
      <c r="DY3" s="34">
        <f t="shared" si="0"/>
        <v>2052</v>
      </c>
      <c r="DZ3" s="34">
        <f t="shared" si="0"/>
        <v>2053</v>
      </c>
      <c r="EA3" s="34">
        <f t="shared" si="0"/>
        <v>2054</v>
      </c>
      <c r="EB3" s="34">
        <f t="shared" si="0"/>
        <v>2055</v>
      </c>
      <c r="EC3" s="34">
        <f t="shared" si="0"/>
        <v>2056</v>
      </c>
      <c r="ED3" s="34">
        <f t="shared" si="0"/>
        <v>2057</v>
      </c>
      <c r="EE3" s="34">
        <f t="shared" si="0"/>
        <v>2058</v>
      </c>
      <c r="EF3" s="34">
        <f t="shared" si="0"/>
        <v>2059</v>
      </c>
      <c r="EG3" s="34">
        <f t="shared" si="0"/>
        <v>2060</v>
      </c>
      <c r="EH3" s="34">
        <f t="shared" si="0"/>
        <v>2061</v>
      </c>
      <c r="EI3" s="34">
        <f t="shared" si="0"/>
        <v>2062</v>
      </c>
      <c r="EJ3" s="34">
        <f t="shared" si="0"/>
        <v>2063</v>
      </c>
      <c r="EK3" s="34">
        <f t="shared" si="0"/>
        <v>2064</v>
      </c>
      <c r="EL3" s="34">
        <f t="shared" si="0"/>
        <v>2065</v>
      </c>
      <c r="EM3" s="34">
        <f t="shared" si="0"/>
        <v>2066</v>
      </c>
      <c r="EN3" s="34">
        <f t="shared" si="0"/>
        <v>2067</v>
      </c>
      <c r="EO3" s="34">
        <f t="shared" si="0"/>
        <v>2068</v>
      </c>
      <c r="EP3" s="34">
        <f t="shared" si="0"/>
        <v>2069</v>
      </c>
      <c r="EQ3" s="34">
        <f t="shared" si="0"/>
        <v>2070</v>
      </c>
      <c r="ER3" s="34">
        <f t="shared" si="0"/>
        <v>2071</v>
      </c>
      <c r="ES3" s="34">
        <f t="shared" si="0"/>
        <v>2072</v>
      </c>
      <c r="ET3" s="34">
        <f t="shared" si="0"/>
        <v>2073</v>
      </c>
      <c r="EU3" s="34">
        <f t="shared" ref="EU3:FE3" si="1">ET3+1</f>
        <v>2074</v>
      </c>
      <c r="EV3" s="34">
        <f t="shared" si="1"/>
        <v>2075</v>
      </c>
      <c r="EW3" s="34">
        <f t="shared" si="1"/>
        <v>2076</v>
      </c>
      <c r="EX3" s="34">
        <f t="shared" si="1"/>
        <v>2077</v>
      </c>
      <c r="EY3" s="34">
        <f t="shared" si="1"/>
        <v>2078</v>
      </c>
      <c r="EZ3" s="34">
        <f t="shared" si="1"/>
        <v>2079</v>
      </c>
      <c r="FA3" s="34">
        <f t="shared" si="1"/>
        <v>2080</v>
      </c>
      <c r="FB3" s="34">
        <f t="shared" si="1"/>
        <v>2081</v>
      </c>
      <c r="FC3" s="34">
        <f t="shared" si="1"/>
        <v>2082</v>
      </c>
      <c r="FD3" s="34">
        <f t="shared" si="1"/>
        <v>2083</v>
      </c>
      <c r="FE3" s="34">
        <f t="shared" si="1"/>
        <v>2084</v>
      </c>
      <c r="FF3" s="2"/>
      <c r="FG3" s="2"/>
      <c r="FH3" s="2"/>
    </row>
    <row r="4" spans="2:164">
      <c r="B4" s="36" t="s">
        <v>230</v>
      </c>
      <c r="AW4" s="1">
        <v>24502</v>
      </c>
      <c r="AX4" s="1">
        <v>21319</v>
      </c>
      <c r="AY4" s="1">
        <v>26338</v>
      </c>
      <c r="AZ4" s="1">
        <f>104062-SUM(AW4:AY4)</f>
        <v>31903</v>
      </c>
      <c r="BA4" s="1">
        <v>31879</v>
      </c>
      <c r="BB4" s="1">
        <v>35845</v>
      </c>
      <c r="BC4" s="1">
        <v>37926</v>
      </c>
      <c r="BD4" s="1">
        <f>148951-SUM(BA4:BC4)</f>
        <v>43301</v>
      </c>
      <c r="BE4" s="1">
        <v>39618</v>
      </c>
      <c r="BF4" s="1">
        <v>40689</v>
      </c>
      <c r="BG4" s="1">
        <v>39539</v>
      </c>
      <c r="BH4" s="1">
        <f>162450-SUM(BE4:BG4)</f>
        <v>42604</v>
      </c>
      <c r="BI4" s="1">
        <v>40359</v>
      </c>
      <c r="BJ4" s="1">
        <v>42628</v>
      </c>
      <c r="BK4" s="1">
        <v>44026</v>
      </c>
      <c r="BL4" s="1">
        <f>175033-SUM(BI4:BK4)</f>
        <v>48020</v>
      </c>
      <c r="BM4" s="1">
        <v>46156</v>
      </c>
      <c r="BN4" s="1">
        <v>48509</v>
      </c>
      <c r="BO4" s="1">
        <v>49385</v>
      </c>
      <c r="BP4" s="1">
        <f>198084-SUM(BM4:BO4)</f>
        <v>54034</v>
      </c>
      <c r="BQ4" s="1">
        <v>50702</v>
      </c>
      <c r="CS4" s="1">
        <f>SUM(AW4:AZ4)</f>
        <v>104062</v>
      </c>
      <c r="CT4" s="1">
        <f>SUM(BA4:BD4)</f>
        <v>148951</v>
      </c>
      <c r="CU4" s="1">
        <f>SUM(BE4:BH4)</f>
        <v>162450</v>
      </c>
      <c r="CV4" s="1">
        <f>SUM(BI4:BL4)</f>
        <v>175033</v>
      </c>
      <c r="CW4" s="1">
        <f>SUM(BM4:BP4)</f>
        <v>198084</v>
      </c>
      <c r="CX4" s="119">
        <f>CW4*(1+CX14)</f>
        <v>214921.13999999998</v>
      </c>
      <c r="CY4" s="119">
        <f t="shared" ref="CY4:DG4" si="2">CX4*(1+CY14)</f>
        <v>232114.83119999999</v>
      </c>
      <c r="CZ4" s="119">
        <f t="shared" si="2"/>
        <v>242559.99860399996</v>
      </c>
      <c r="DA4" s="119">
        <f t="shared" si="2"/>
        <v>252868.79854466996</v>
      </c>
      <c r="DB4" s="119">
        <f t="shared" si="2"/>
        <v>262983.55048645678</v>
      </c>
      <c r="DC4" s="119">
        <f t="shared" si="2"/>
        <v>272187.97475348273</v>
      </c>
      <c r="DD4" s="119">
        <f t="shared" si="2"/>
        <v>280353.61399608722</v>
      </c>
      <c r="DE4" s="119">
        <f t="shared" si="2"/>
        <v>287362.45434598939</v>
      </c>
      <c r="DF4" s="119">
        <f t="shared" si="2"/>
        <v>293109.70343290915</v>
      </c>
      <c r="DG4" s="119">
        <f t="shared" si="2"/>
        <v>297506.34898440278</v>
      </c>
    </row>
    <row r="5" spans="2:164">
      <c r="B5" s="36" t="s">
        <v>231</v>
      </c>
      <c r="AW5" s="1">
        <v>4038</v>
      </c>
      <c r="AX5" s="1">
        <v>3812</v>
      </c>
      <c r="AY5" s="1">
        <v>5037</v>
      </c>
      <c r="AZ5" s="1">
        <f>19772-SUM(AW5:AY5)</f>
        <v>6885</v>
      </c>
      <c r="BA5" s="1">
        <v>6005</v>
      </c>
      <c r="BB5" s="1">
        <v>7002</v>
      </c>
      <c r="BC5" s="1">
        <v>7205</v>
      </c>
      <c r="BD5" s="1">
        <f>28845-SUM(BA5:BC5)</f>
        <v>8633</v>
      </c>
      <c r="BE5" s="1">
        <v>6869</v>
      </c>
      <c r="BF5" s="1">
        <v>7340</v>
      </c>
      <c r="BG5" s="1">
        <v>7071</v>
      </c>
      <c r="BH5" s="1">
        <f>29243-SUM(BE5:BG5)</f>
        <v>7963</v>
      </c>
      <c r="BI5" s="1">
        <v>6693</v>
      </c>
      <c r="BJ5" s="1">
        <v>7665</v>
      </c>
      <c r="BK5" s="1">
        <v>7952</v>
      </c>
      <c r="BL5" s="1">
        <f>31510-SUM(BI5:BK5)</f>
        <v>9200</v>
      </c>
      <c r="BM5" s="1">
        <v>8090</v>
      </c>
      <c r="BN5" s="1">
        <v>8663</v>
      </c>
      <c r="BO5" s="1">
        <v>8921</v>
      </c>
      <c r="BP5" s="1">
        <f>36147-SUM(BM5:BO5)</f>
        <v>10473</v>
      </c>
      <c r="BQ5" s="1">
        <v>8927</v>
      </c>
      <c r="CS5" s="1">
        <f t="shared" ref="CS5:CS12" si="3">SUM(AW5:AZ5)</f>
        <v>19772</v>
      </c>
      <c r="CT5" s="1">
        <f t="shared" ref="CT5:CT12" si="4">SUM(BA5:BD5)</f>
        <v>28845</v>
      </c>
      <c r="CU5" s="1">
        <f t="shared" ref="CU5:CU12" si="5">SUM(BE5:BH5)</f>
        <v>29243</v>
      </c>
      <c r="CV5" s="1">
        <f t="shared" ref="CV5:CV12" si="6">SUM(BI5:BL5)</f>
        <v>31510</v>
      </c>
      <c r="CW5" s="1">
        <f t="shared" ref="CW5:CW12" si="7">SUM(BM5:BP5)</f>
        <v>36147</v>
      </c>
      <c r="CX5" s="119">
        <f>CW5*(1+CX15)</f>
        <v>41207.58</v>
      </c>
      <c r="CY5" s="119">
        <f t="shared" ref="CY5:DG5" si="8">CX5*(1+CY15)</f>
        <v>47388.716999999997</v>
      </c>
      <c r="CZ5" s="119">
        <f t="shared" si="8"/>
        <v>54497.024549999995</v>
      </c>
      <c r="DA5" s="119">
        <f t="shared" si="8"/>
        <v>61036.667496000002</v>
      </c>
      <c r="DB5" s="119">
        <f t="shared" si="8"/>
        <v>67140.33424560001</v>
      </c>
      <c r="DC5" s="119">
        <f t="shared" si="8"/>
        <v>73182.964327704016</v>
      </c>
      <c r="DD5" s="119">
        <f t="shared" si="8"/>
        <v>79037.601473920338</v>
      </c>
      <c r="DE5" s="119">
        <f t="shared" si="8"/>
        <v>84570.233577094768</v>
      </c>
      <c r="DF5" s="119">
        <f t="shared" si="8"/>
        <v>89644.447591720455</v>
      </c>
      <c r="DG5" s="119">
        <f t="shared" si="8"/>
        <v>94126.669971306488</v>
      </c>
    </row>
    <row r="6" spans="2:164">
      <c r="B6" s="36" t="s">
        <v>232</v>
      </c>
      <c r="AW6" s="1">
        <v>5223</v>
      </c>
      <c r="AX6" s="1">
        <v>4736</v>
      </c>
      <c r="AY6" s="1">
        <v>5720</v>
      </c>
      <c r="AZ6" s="1">
        <f>23090-SUM(AW6:AY6)</f>
        <v>7411</v>
      </c>
      <c r="BA6" s="1">
        <v>6800</v>
      </c>
      <c r="BB6" s="1">
        <v>7597</v>
      </c>
      <c r="BC6" s="1">
        <v>7999</v>
      </c>
      <c r="BD6" s="1">
        <f>31701-SUM(BA6:BC6)</f>
        <v>9305</v>
      </c>
      <c r="BE6" s="1">
        <v>8174</v>
      </c>
      <c r="BF6" s="1">
        <v>8259</v>
      </c>
      <c r="BG6" s="1">
        <v>7872</v>
      </c>
      <c r="BH6" s="1">
        <f>32780-SUM(BE6:BG6)</f>
        <v>8475</v>
      </c>
      <c r="BI6" s="1">
        <v>7496</v>
      </c>
      <c r="BJ6" s="1">
        <v>7850</v>
      </c>
      <c r="BK6" s="1">
        <v>7669</v>
      </c>
      <c r="BL6" s="1">
        <f>31312-SUM(BI6:BK6)</f>
        <v>8297</v>
      </c>
      <c r="BM6" s="1">
        <v>7413</v>
      </c>
      <c r="BN6" s="1">
        <v>7444</v>
      </c>
      <c r="BO6" s="1">
        <v>7548</v>
      </c>
      <c r="BP6" s="1">
        <f>30359-SUM(BM6:BO6)</f>
        <v>7954</v>
      </c>
      <c r="BQ6" s="1">
        <v>7256</v>
      </c>
      <c r="CS6" s="1">
        <f t="shared" si="3"/>
        <v>23090</v>
      </c>
      <c r="CT6" s="1">
        <f t="shared" si="4"/>
        <v>31701</v>
      </c>
      <c r="CU6" s="1">
        <f t="shared" si="5"/>
        <v>32780</v>
      </c>
      <c r="CV6" s="1">
        <f t="shared" si="6"/>
        <v>31312</v>
      </c>
      <c r="CW6" s="1">
        <f t="shared" si="7"/>
        <v>30359</v>
      </c>
      <c r="CX6" s="119">
        <f>CW6*(1+CX16)</f>
        <v>30662.59</v>
      </c>
      <c r="CY6" s="119">
        <f t="shared" ref="CY6:DG6" si="9">CX6*(1+CY16)</f>
        <v>30969.215899999999</v>
      </c>
      <c r="CZ6" s="119">
        <f t="shared" si="9"/>
        <v>31588.600218</v>
      </c>
      <c r="DA6" s="119">
        <f t="shared" si="9"/>
        <v>32536.258224540001</v>
      </c>
      <c r="DB6" s="119">
        <f t="shared" si="9"/>
        <v>33837.708553521603</v>
      </c>
      <c r="DC6" s="119">
        <f t="shared" si="9"/>
        <v>35529.593981197686</v>
      </c>
      <c r="DD6" s="119">
        <f t="shared" si="9"/>
        <v>37306.07368025757</v>
      </c>
      <c r="DE6" s="119">
        <f t="shared" si="9"/>
        <v>39171.377364270447</v>
      </c>
      <c r="DF6" s="119">
        <f t="shared" si="9"/>
        <v>41129.94623248397</v>
      </c>
      <c r="DG6" s="119">
        <f t="shared" si="9"/>
        <v>43186.443544108173</v>
      </c>
    </row>
    <row r="7" spans="2:164" s="2" customFormat="1" ht="15">
      <c r="B7" s="49" t="s">
        <v>233</v>
      </c>
      <c r="AW7" s="2">
        <f t="shared" ref="AW7:BL7" si="10">SUM(AW4:AW6)</f>
        <v>33763</v>
      </c>
      <c r="AX7" s="2">
        <f t="shared" si="10"/>
        <v>29867</v>
      </c>
      <c r="AY7" s="2">
        <f t="shared" si="10"/>
        <v>37095</v>
      </c>
      <c r="AZ7" s="2">
        <f t="shared" si="10"/>
        <v>46199</v>
      </c>
      <c r="BA7" s="2">
        <f t="shared" si="10"/>
        <v>44684</v>
      </c>
      <c r="BB7" s="2">
        <f t="shared" si="10"/>
        <v>50444</v>
      </c>
      <c r="BC7" s="2">
        <f t="shared" si="10"/>
        <v>53130</v>
      </c>
      <c r="BD7" s="2">
        <f t="shared" si="10"/>
        <v>61239</v>
      </c>
      <c r="BE7" s="2">
        <f t="shared" si="10"/>
        <v>54661</v>
      </c>
      <c r="BF7" s="2">
        <f t="shared" si="10"/>
        <v>56288</v>
      </c>
      <c r="BG7" s="2">
        <f t="shared" si="10"/>
        <v>54482</v>
      </c>
      <c r="BH7" s="2">
        <f t="shared" si="10"/>
        <v>59042</v>
      </c>
      <c r="BI7" s="2">
        <f t="shared" si="10"/>
        <v>54548</v>
      </c>
      <c r="BJ7" s="2">
        <f t="shared" si="10"/>
        <v>58143</v>
      </c>
      <c r="BK7" s="2">
        <f t="shared" si="10"/>
        <v>59647</v>
      </c>
      <c r="BL7" s="2">
        <f t="shared" si="10"/>
        <v>65517</v>
      </c>
      <c r="BM7" s="2">
        <f>SUM(BM4:BM6)</f>
        <v>61659</v>
      </c>
      <c r="BN7" s="2">
        <f t="shared" ref="BN7:BQ7" si="11">SUM(BN4:BN6)</f>
        <v>64616</v>
      </c>
      <c r="BO7" s="2">
        <f t="shared" si="11"/>
        <v>65854</v>
      </c>
      <c r="BP7" s="2">
        <f t="shared" si="11"/>
        <v>72461</v>
      </c>
      <c r="BQ7" s="2">
        <f t="shared" si="11"/>
        <v>66885</v>
      </c>
      <c r="BR7" s="34"/>
      <c r="BS7" s="34"/>
      <c r="BT7" s="34"/>
      <c r="BU7" s="34"/>
      <c r="BV7" s="34"/>
      <c r="BW7" s="34"/>
      <c r="BX7" s="34"/>
      <c r="BY7" s="34"/>
      <c r="BZ7" s="34"/>
      <c r="CA7" s="34"/>
      <c r="CB7" s="34"/>
      <c r="CC7" s="34"/>
      <c r="CS7" s="2">
        <f t="shared" si="3"/>
        <v>146924</v>
      </c>
      <c r="CT7" s="2">
        <f t="shared" si="4"/>
        <v>209497</v>
      </c>
      <c r="CU7" s="2">
        <f t="shared" si="5"/>
        <v>224473</v>
      </c>
      <c r="CV7" s="2">
        <f t="shared" si="6"/>
        <v>237855</v>
      </c>
      <c r="CW7" s="2">
        <f t="shared" si="7"/>
        <v>264590</v>
      </c>
      <c r="CX7" s="120">
        <f>SUM(CX4:CX6)</f>
        <v>286791.31</v>
      </c>
      <c r="CY7" s="120">
        <f t="shared" ref="CY7:DG7" si="12">SUM(CY4:CY6)</f>
        <v>310472.76409999997</v>
      </c>
      <c r="CZ7" s="120">
        <f t="shared" si="12"/>
        <v>328645.62337199994</v>
      </c>
      <c r="DA7" s="120">
        <f t="shared" si="12"/>
        <v>346441.72426520992</v>
      </c>
      <c r="DB7" s="120">
        <f t="shared" si="12"/>
        <v>363961.59328557836</v>
      </c>
      <c r="DC7" s="120">
        <f t="shared" si="12"/>
        <v>380900.53306238446</v>
      </c>
      <c r="DD7" s="120">
        <f t="shared" si="12"/>
        <v>396697.28915026516</v>
      </c>
      <c r="DE7" s="120">
        <f t="shared" si="12"/>
        <v>411104.06528735458</v>
      </c>
      <c r="DF7" s="120">
        <f t="shared" si="12"/>
        <v>423884.09725711355</v>
      </c>
      <c r="DG7" s="120">
        <f t="shared" si="12"/>
        <v>434819.46249981748</v>
      </c>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row>
    <row r="8" spans="2:164">
      <c r="B8" s="36" t="s">
        <v>241</v>
      </c>
      <c r="AW8" s="1">
        <v>4435</v>
      </c>
      <c r="AX8" s="1">
        <v>5124</v>
      </c>
      <c r="AY8" s="1">
        <v>5478</v>
      </c>
      <c r="AZ8" s="1">
        <f>21711-SUM(AW8:AY8)</f>
        <v>6674</v>
      </c>
      <c r="BA8" s="1">
        <v>6494</v>
      </c>
      <c r="BB8" s="1">
        <v>6623</v>
      </c>
      <c r="BC8" s="1">
        <v>6754</v>
      </c>
      <c r="BD8" s="1">
        <f>28032-SUM(BA8:BC8)</f>
        <v>8161</v>
      </c>
      <c r="BE8" s="1">
        <v>6811</v>
      </c>
      <c r="BF8" s="1">
        <v>6553</v>
      </c>
      <c r="BG8" s="1">
        <v>6895</v>
      </c>
      <c r="BH8" s="1">
        <f>29055-SUM(BE8:BG8)</f>
        <v>8796</v>
      </c>
      <c r="BI8" s="1">
        <v>7413</v>
      </c>
      <c r="BJ8" s="1">
        <v>8142</v>
      </c>
      <c r="BK8" s="1">
        <v>8339</v>
      </c>
      <c r="BL8" s="1">
        <f>34688-SUM(BI8:BK8)</f>
        <v>10794</v>
      </c>
      <c r="BM8" s="1">
        <v>8739</v>
      </c>
      <c r="BN8" s="1">
        <v>9312</v>
      </c>
      <c r="BO8" s="1">
        <v>10656</v>
      </c>
      <c r="BP8" s="1">
        <f>40340-SUM(BM8:BO8)</f>
        <v>11633</v>
      </c>
      <c r="BQ8" s="1">
        <v>10379</v>
      </c>
      <c r="CS8" s="1">
        <f t="shared" si="3"/>
        <v>21711</v>
      </c>
      <c r="CT8" s="1">
        <f t="shared" si="4"/>
        <v>28032</v>
      </c>
      <c r="CU8" s="1">
        <f t="shared" si="5"/>
        <v>29055</v>
      </c>
      <c r="CV8" s="1">
        <f t="shared" si="6"/>
        <v>34688</v>
      </c>
      <c r="CW8" s="1">
        <f t="shared" si="7"/>
        <v>40340</v>
      </c>
      <c r="CX8" s="119">
        <f>CW8*(1+CX18)</f>
        <v>45987.600000000006</v>
      </c>
      <c r="CY8" s="119">
        <f t="shared" ref="CY8:DG8" si="13">CX8*(1+CY18)</f>
        <v>51965.988000000005</v>
      </c>
      <c r="CZ8" s="119">
        <f t="shared" si="13"/>
        <v>58201.90656000001</v>
      </c>
      <c r="DA8" s="119">
        <f t="shared" si="13"/>
        <v>64604.116281600014</v>
      </c>
      <c r="DB8" s="119">
        <f t="shared" si="13"/>
        <v>71064.527909760014</v>
      </c>
      <c r="DC8" s="119">
        <f t="shared" si="13"/>
        <v>78170.980700736021</v>
      </c>
      <c r="DD8" s="119">
        <f t="shared" si="13"/>
        <v>85988.078770809632</v>
      </c>
      <c r="DE8" s="119">
        <f t="shared" si="13"/>
        <v>94586.886647890598</v>
      </c>
      <c r="DF8" s="119">
        <f t="shared" si="13"/>
        <v>104045.57531267966</v>
      </c>
      <c r="DG8" s="119">
        <f t="shared" si="13"/>
        <v>114450.13284394763</v>
      </c>
    </row>
    <row r="9" spans="2:164">
      <c r="B9" s="36" t="s">
        <v>234</v>
      </c>
      <c r="AW9" s="1">
        <v>2777</v>
      </c>
      <c r="AX9" s="1">
        <v>3007</v>
      </c>
      <c r="AY9" s="1">
        <v>3444</v>
      </c>
      <c r="AZ9" s="1">
        <f>13059-SUM(AW9:AY9)</f>
        <v>3831</v>
      </c>
      <c r="BA9" s="1">
        <v>4047</v>
      </c>
      <c r="BB9" s="1">
        <v>4628</v>
      </c>
      <c r="BC9" s="1">
        <v>4990</v>
      </c>
      <c r="BD9" s="1">
        <f>19206-SUM(BA9:BC9)</f>
        <v>5541</v>
      </c>
      <c r="BE9" s="1">
        <v>5821</v>
      </c>
      <c r="BF9" s="1">
        <v>6276</v>
      </c>
      <c r="BG9" s="1">
        <v>6868</v>
      </c>
      <c r="BH9" s="1">
        <f>26280-SUM(BE9:BG9)</f>
        <v>7315</v>
      </c>
      <c r="BI9" s="1">
        <v>7454</v>
      </c>
      <c r="BJ9" s="1">
        <v>8031</v>
      </c>
      <c r="BK9" s="1">
        <v>8411</v>
      </c>
      <c r="BL9" s="1">
        <f>33088-SUM(BI9:BK9)</f>
        <v>9192</v>
      </c>
      <c r="BM9" s="1">
        <v>9574</v>
      </c>
      <c r="BN9" s="1">
        <v>10347</v>
      </c>
      <c r="BO9" s="1">
        <v>11353</v>
      </c>
      <c r="BP9" s="1">
        <f>43229-SUM(BM9:BO9)</f>
        <v>11955</v>
      </c>
      <c r="BQ9" s="1">
        <v>12260</v>
      </c>
      <c r="CS9" s="1">
        <f t="shared" si="3"/>
        <v>13059</v>
      </c>
      <c r="CT9" s="1">
        <f t="shared" si="4"/>
        <v>19206</v>
      </c>
      <c r="CU9" s="1">
        <f t="shared" si="5"/>
        <v>26280</v>
      </c>
      <c r="CV9" s="1">
        <f t="shared" si="6"/>
        <v>33088</v>
      </c>
      <c r="CW9" s="1">
        <f t="shared" si="7"/>
        <v>43229</v>
      </c>
      <c r="CX9" s="119">
        <f>CW9*(1+CX19)</f>
        <v>52739.38</v>
      </c>
      <c r="CY9" s="119">
        <f t="shared" ref="CY9:DG9" si="14">CX9*(1+CY19)</f>
        <v>63023.559099999999</v>
      </c>
      <c r="CZ9" s="119">
        <f t="shared" si="14"/>
        <v>73107.328555999993</v>
      </c>
      <c r="DA9" s="119">
        <f t="shared" si="14"/>
        <v>84073.427839399985</v>
      </c>
      <c r="DB9" s="119">
        <f t="shared" si="14"/>
        <v>95002.97345852197</v>
      </c>
      <c r="DC9" s="119">
        <f t="shared" si="14"/>
        <v>106403.33027354462</v>
      </c>
      <c r="DD9" s="119">
        <f t="shared" si="14"/>
        <v>118639.71325500225</v>
      </c>
      <c r="DE9" s="119">
        <f t="shared" si="14"/>
        <v>131690.0817130525</v>
      </c>
      <c r="DF9" s="119">
        <f t="shared" si="14"/>
        <v>145517.54029292302</v>
      </c>
      <c r="DG9" s="119">
        <f t="shared" si="14"/>
        <v>160069.29432221534</v>
      </c>
    </row>
    <row r="10" spans="2:164">
      <c r="B10" s="36" t="s">
        <v>165</v>
      </c>
      <c r="AW10" s="1">
        <v>135</v>
      </c>
      <c r="AX10" s="1">
        <v>148</v>
      </c>
      <c r="AY10" s="1">
        <v>178</v>
      </c>
      <c r="AZ10" s="1">
        <f>657-SUM(AW10:AY10)</f>
        <v>196</v>
      </c>
      <c r="BA10" s="1">
        <v>198</v>
      </c>
      <c r="BB10" s="1">
        <v>192</v>
      </c>
      <c r="BC10" s="1">
        <v>182</v>
      </c>
      <c r="BD10" s="1">
        <f>753-SUM(BA10:BC10)</f>
        <v>181</v>
      </c>
      <c r="BE10" s="1">
        <v>440</v>
      </c>
      <c r="BF10" s="1">
        <v>193</v>
      </c>
      <c r="BG10" s="1">
        <v>209</v>
      </c>
      <c r="BH10" s="1">
        <f>1068-SUM(BE10:BG10)</f>
        <v>226</v>
      </c>
      <c r="BI10" s="1">
        <v>288</v>
      </c>
      <c r="BJ10" s="1">
        <v>285</v>
      </c>
      <c r="BK10" s="1">
        <v>297</v>
      </c>
      <c r="BL10" s="1">
        <f>1527-SUM(BI10:BK10)</f>
        <v>657</v>
      </c>
      <c r="BM10" s="1">
        <v>495</v>
      </c>
      <c r="BN10" s="1">
        <v>365</v>
      </c>
      <c r="BO10" s="1">
        <v>388</v>
      </c>
      <c r="BP10" s="1">
        <f>1648-SUM(BM10:BO10)</f>
        <v>400</v>
      </c>
      <c r="BQ10" s="1">
        <v>450</v>
      </c>
      <c r="CS10" s="1">
        <f t="shared" si="3"/>
        <v>657</v>
      </c>
      <c r="CT10" s="1">
        <f t="shared" si="4"/>
        <v>753</v>
      </c>
      <c r="CU10" s="1">
        <f t="shared" si="5"/>
        <v>1068</v>
      </c>
      <c r="CV10" s="1">
        <f t="shared" si="6"/>
        <v>1527</v>
      </c>
      <c r="CW10" s="1">
        <f t="shared" si="7"/>
        <v>1648</v>
      </c>
      <c r="CX10" s="119">
        <f>CW10*(1+CX20)</f>
        <v>1895.1999999999998</v>
      </c>
      <c r="CY10" s="119">
        <f t="shared" ref="CY10:DG10" si="15">CX10*(1+CY20)</f>
        <v>2226.8599999999997</v>
      </c>
      <c r="CZ10" s="119">
        <f t="shared" si="15"/>
        <v>2672.2319999999995</v>
      </c>
      <c r="DA10" s="119">
        <f t="shared" si="15"/>
        <v>3073.0667999999991</v>
      </c>
      <c r="DB10" s="119">
        <f t="shared" si="15"/>
        <v>3457.2001499999992</v>
      </c>
      <c r="DC10" s="119">
        <f t="shared" si="15"/>
        <v>3802.9201649999995</v>
      </c>
      <c r="DD10" s="119">
        <f t="shared" si="15"/>
        <v>4107.1537781999996</v>
      </c>
      <c r="DE10" s="119">
        <f t="shared" si="15"/>
        <v>4353.5830048919997</v>
      </c>
      <c r="DF10" s="119">
        <f t="shared" si="15"/>
        <v>4527.7263250876795</v>
      </c>
      <c r="DG10" s="119">
        <f t="shared" si="15"/>
        <v>4708.8353780911866</v>
      </c>
    </row>
    <row r="11" spans="2:164">
      <c r="B11" s="36" t="s">
        <v>235</v>
      </c>
      <c r="AW11" s="1">
        <v>49</v>
      </c>
      <c r="AX11" s="1">
        <v>151</v>
      </c>
      <c r="AY11" s="1">
        <v>-22</v>
      </c>
      <c r="AZ11" s="1">
        <f>176-SUM(AW11:AY11)</f>
        <v>-2</v>
      </c>
      <c r="BA11" s="1">
        <v>-109</v>
      </c>
      <c r="BB11" s="1">
        <v>-7</v>
      </c>
      <c r="BC11" s="1">
        <v>62</v>
      </c>
      <c r="BD11" s="1">
        <f>149-SUM(BA11:BC11)</f>
        <v>203</v>
      </c>
      <c r="BE11" s="1">
        <v>278</v>
      </c>
      <c r="BF11" s="1">
        <v>375</v>
      </c>
      <c r="BG11" s="1">
        <v>638</v>
      </c>
      <c r="BH11" s="1">
        <f>1960-SUM(BE11:BG11)</f>
        <v>669</v>
      </c>
      <c r="BI11" s="1">
        <v>84</v>
      </c>
      <c r="BJ11" s="1">
        <v>3</v>
      </c>
      <c r="BK11" s="1">
        <v>-1</v>
      </c>
      <c r="BL11" s="1">
        <f>236-SUM(BI11:BK11)</f>
        <v>150</v>
      </c>
      <c r="BM11" s="1">
        <v>72</v>
      </c>
      <c r="BN11" s="1">
        <v>102</v>
      </c>
      <c r="BO11" s="1">
        <v>17</v>
      </c>
      <c r="BP11" s="1">
        <f>211-SUM(BM11:BO11)</f>
        <v>20</v>
      </c>
      <c r="BQ11" s="1">
        <v>260</v>
      </c>
      <c r="CS11" s="1">
        <f t="shared" si="3"/>
        <v>176</v>
      </c>
      <c r="CT11" s="1">
        <f t="shared" si="4"/>
        <v>149</v>
      </c>
      <c r="CU11" s="1">
        <f t="shared" si="5"/>
        <v>1960</v>
      </c>
      <c r="CV11" s="1">
        <f t="shared" si="6"/>
        <v>236</v>
      </c>
      <c r="CW11" s="1">
        <f t="shared" si="7"/>
        <v>211</v>
      </c>
      <c r="CX11" s="119">
        <f>CW11*1.02</f>
        <v>215.22</v>
      </c>
      <c r="CY11" s="119">
        <f t="shared" ref="CY11:DG11" si="16">CX11*1.02</f>
        <v>219.52440000000001</v>
      </c>
      <c r="CZ11" s="119">
        <f t="shared" si="16"/>
        <v>223.91488800000002</v>
      </c>
      <c r="DA11" s="119">
        <f t="shared" si="16"/>
        <v>228.39318576000002</v>
      </c>
      <c r="DB11" s="119">
        <f t="shared" si="16"/>
        <v>232.96104947520001</v>
      </c>
      <c r="DC11" s="119">
        <f t="shared" si="16"/>
        <v>237.62027046470402</v>
      </c>
      <c r="DD11" s="119">
        <f t="shared" si="16"/>
        <v>242.37267587399811</v>
      </c>
      <c r="DE11" s="119">
        <f t="shared" si="16"/>
        <v>247.22012939147808</v>
      </c>
      <c r="DF11" s="119">
        <f t="shared" si="16"/>
        <v>252.16453197930764</v>
      </c>
      <c r="DG11" s="119">
        <f t="shared" si="16"/>
        <v>257.20782261889377</v>
      </c>
    </row>
    <row r="12" spans="2:164" s="2" customFormat="1" ht="15">
      <c r="B12" s="33" t="s">
        <v>54</v>
      </c>
      <c r="AW12" s="2">
        <f t="shared" ref="AW12:BP12" si="17">SUM(AW7:AW11)</f>
        <v>41159</v>
      </c>
      <c r="AX12" s="2">
        <f t="shared" si="17"/>
        <v>38297</v>
      </c>
      <c r="AY12" s="2">
        <f t="shared" si="17"/>
        <v>46173</v>
      </c>
      <c r="AZ12" s="2">
        <f t="shared" si="17"/>
        <v>56898</v>
      </c>
      <c r="BA12" s="2">
        <f t="shared" si="17"/>
        <v>55314</v>
      </c>
      <c r="BB12" s="2">
        <f t="shared" si="17"/>
        <v>61880</v>
      </c>
      <c r="BC12" s="2">
        <f t="shared" si="17"/>
        <v>65118</v>
      </c>
      <c r="BD12" s="2">
        <f t="shared" si="17"/>
        <v>75325</v>
      </c>
      <c r="BE12" s="2">
        <f t="shared" si="17"/>
        <v>68011</v>
      </c>
      <c r="BF12" s="2">
        <f t="shared" si="17"/>
        <v>69685</v>
      </c>
      <c r="BG12" s="2">
        <f t="shared" si="17"/>
        <v>69092</v>
      </c>
      <c r="BH12" s="2">
        <f t="shared" si="17"/>
        <v>76048</v>
      </c>
      <c r="BI12" s="2">
        <f t="shared" si="17"/>
        <v>69787</v>
      </c>
      <c r="BJ12" s="2">
        <f t="shared" si="17"/>
        <v>74604</v>
      </c>
      <c r="BK12" s="2">
        <f t="shared" si="17"/>
        <v>76693</v>
      </c>
      <c r="BL12" s="2">
        <f t="shared" si="17"/>
        <v>86310</v>
      </c>
      <c r="BM12" s="2">
        <f t="shared" si="17"/>
        <v>80539</v>
      </c>
      <c r="BN12" s="2">
        <f t="shared" si="17"/>
        <v>84742</v>
      </c>
      <c r="BO12" s="2">
        <f t="shared" si="17"/>
        <v>88268</v>
      </c>
      <c r="BP12" s="2">
        <f t="shared" si="17"/>
        <v>96469</v>
      </c>
      <c r="BQ12" s="2">
        <f>SUM(BQ7:BQ11)</f>
        <v>90234</v>
      </c>
      <c r="BR12" s="34"/>
      <c r="BS12" s="34"/>
      <c r="BT12" s="34"/>
      <c r="BU12" s="34"/>
      <c r="BV12" s="34"/>
      <c r="BW12" s="34"/>
      <c r="BX12" s="34"/>
      <c r="BY12" s="34"/>
      <c r="BZ12" s="34"/>
      <c r="CA12" s="34"/>
      <c r="CB12" s="34"/>
      <c r="CC12" s="34"/>
      <c r="CS12" s="2">
        <f t="shared" si="3"/>
        <v>182527</v>
      </c>
      <c r="CT12" s="2">
        <f t="shared" si="4"/>
        <v>257637</v>
      </c>
      <c r="CU12" s="2">
        <f t="shared" si="5"/>
        <v>282836</v>
      </c>
      <c r="CV12" s="2">
        <f t="shared" si="6"/>
        <v>307394</v>
      </c>
      <c r="CW12" s="2">
        <f t="shared" si="7"/>
        <v>350018</v>
      </c>
      <c r="CX12" s="120">
        <f>SUM(CX8:CX11)+CX7</f>
        <v>387628.71</v>
      </c>
      <c r="CY12" s="120">
        <f t="shared" ref="CY12:DG12" si="18">SUM(CY8:CY11)+CY7</f>
        <v>427908.69559999998</v>
      </c>
      <c r="CZ12" s="120">
        <f t="shared" si="18"/>
        <v>462851.00537599996</v>
      </c>
      <c r="DA12" s="120">
        <f t="shared" si="18"/>
        <v>498420.72837196989</v>
      </c>
      <c r="DB12" s="120">
        <f t="shared" si="18"/>
        <v>533719.25585333561</v>
      </c>
      <c r="DC12" s="120">
        <f t="shared" si="18"/>
        <v>569515.38447212987</v>
      </c>
      <c r="DD12" s="120">
        <f t="shared" si="18"/>
        <v>605674.60763015109</v>
      </c>
      <c r="DE12" s="120">
        <f t="shared" si="18"/>
        <v>641981.83678258117</v>
      </c>
      <c r="DF12" s="120">
        <f t="shared" si="18"/>
        <v>678227.10371978325</v>
      </c>
      <c r="DG12" s="120">
        <f t="shared" si="18"/>
        <v>714304.93286669056</v>
      </c>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row>
    <row r="13" spans="2:164">
      <c r="B13" s="36"/>
    </row>
    <row r="14" spans="2:164">
      <c r="B14" s="37" t="s">
        <v>236</v>
      </c>
      <c r="BA14" s="50">
        <f t="shared" ref="BA14:BP14" si="19">BA4/AW4-1</f>
        <v>0.30107746306423966</v>
      </c>
      <c r="BB14" s="50">
        <f t="shared" si="19"/>
        <v>0.68136404146535945</v>
      </c>
      <c r="BC14" s="50">
        <f t="shared" si="19"/>
        <v>0.43997266307236682</v>
      </c>
      <c r="BD14" s="50">
        <f t="shared" si="19"/>
        <v>0.35727047613077145</v>
      </c>
      <c r="BE14" s="50">
        <f t="shared" si="19"/>
        <v>0.24276169265033398</v>
      </c>
      <c r="BF14" s="50">
        <f t="shared" si="19"/>
        <v>0.13513739712651684</v>
      </c>
      <c r="BG14" s="50">
        <f t="shared" si="19"/>
        <v>4.2530190370722032E-2</v>
      </c>
      <c r="BH14" s="50">
        <f t="shared" si="19"/>
        <v>-1.6096625943973542E-2</v>
      </c>
      <c r="BI14" s="50">
        <f t="shared" si="19"/>
        <v>1.8703619566863505E-2</v>
      </c>
      <c r="BJ14" s="50">
        <f t="shared" si="19"/>
        <v>4.7654157143208309E-2</v>
      </c>
      <c r="BK14" s="50">
        <f t="shared" si="19"/>
        <v>0.11348289031083225</v>
      </c>
      <c r="BL14" s="50">
        <f t="shared" si="19"/>
        <v>0.12712421368885551</v>
      </c>
      <c r="BM14" s="50">
        <f t="shared" si="19"/>
        <v>0.14363586808394668</v>
      </c>
      <c r="BN14" s="50">
        <f t="shared" si="19"/>
        <v>0.13796096462419061</v>
      </c>
      <c r="BO14" s="50">
        <f t="shared" si="19"/>
        <v>0.12172352700676869</v>
      </c>
      <c r="BP14" s="50">
        <f t="shared" si="19"/>
        <v>0.12523948354852155</v>
      </c>
      <c r="BQ14" s="50">
        <f t="shared" ref="BQ14:BQ20" si="20">BQ4/BM4-1</f>
        <v>9.8492070370049367E-2</v>
      </c>
      <c r="CT14" s="50">
        <f t="shared" ref="CT14:CV20" si="21">CT4/CS4-1</f>
        <v>0.43136783840402826</v>
      </c>
      <c r="CU14" s="50">
        <f t="shared" si="21"/>
        <v>9.0627118985438182E-2</v>
      </c>
      <c r="CV14" s="50">
        <f t="shared" si="21"/>
        <v>7.7457679285934056E-2</v>
      </c>
      <c r="CW14" s="50">
        <f>CW4/CV4-1</f>
        <v>0.13169516605440124</v>
      </c>
      <c r="CX14" s="117">
        <v>8.5000000000000006E-2</v>
      </c>
      <c r="CY14" s="117">
        <v>0.08</v>
      </c>
      <c r="CZ14" s="117">
        <v>4.4999999999999998E-2</v>
      </c>
      <c r="DA14" s="117">
        <v>4.2500000000000003E-2</v>
      </c>
      <c r="DB14" s="117">
        <v>0.04</v>
      </c>
      <c r="DC14" s="117">
        <v>3.5000000000000003E-2</v>
      </c>
      <c r="DD14" s="117">
        <v>0.03</v>
      </c>
      <c r="DE14" s="117">
        <v>2.5000000000000001E-2</v>
      </c>
      <c r="DF14" s="117">
        <v>0.02</v>
      </c>
      <c r="DG14" s="117">
        <v>1.4999999999999999E-2</v>
      </c>
    </row>
    <row r="15" spans="2:164">
      <c r="B15" s="37" t="s">
        <v>237</v>
      </c>
      <c r="BA15" s="50">
        <f t="shared" ref="BA15:BP15" si="22">BA5/AW5-1</f>
        <v>0.48712233779098568</v>
      </c>
      <c r="BB15" s="50">
        <f t="shared" si="22"/>
        <v>0.83683105981112282</v>
      </c>
      <c r="BC15" s="50">
        <f t="shared" si="22"/>
        <v>0.4304149295215407</v>
      </c>
      <c r="BD15" s="50">
        <f t="shared" si="22"/>
        <v>0.25388525780682647</v>
      </c>
      <c r="BE15" s="50">
        <f t="shared" si="22"/>
        <v>0.143880099916736</v>
      </c>
      <c r="BF15" s="50">
        <f t="shared" si="22"/>
        <v>4.8271922307911996E-2</v>
      </c>
      <c r="BG15" s="50">
        <f t="shared" si="22"/>
        <v>-1.8598195697432374E-2</v>
      </c>
      <c r="BH15" s="50">
        <f t="shared" si="22"/>
        <v>-7.7609174099386058E-2</v>
      </c>
      <c r="BI15" s="50">
        <f t="shared" si="22"/>
        <v>-2.5622361333527466E-2</v>
      </c>
      <c r="BJ15" s="50">
        <f t="shared" si="22"/>
        <v>4.4277929155313256E-2</v>
      </c>
      <c r="BK15" s="50">
        <f t="shared" si="22"/>
        <v>0.12459340970159816</v>
      </c>
      <c r="BL15" s="50">
        <f t="shared" si="22"/>
        <v>0.15534346351877426</v>
      </c>
      <c r="BM15" s="50">
        <f t="shared" si="22"/>
        <v>0.20872553414014638</v>
      </c>
      <c r="BN15" s="50">
        <f t="shared" si="22"/>
        <v>0.13020221787345077</v>
      </c>
      <c r="BO15" s="50">
        <f t="shared" si="22"/>
        <v>0.12185613682092544</v>
      </c>
      <c r="BP15" s="50">
        <f t="shared" si="22"/>
        <v>0.1383695652173913</v>
      </c>
      <c r="BQ15" s="50">
        <f t="shared" si="20"/>
        <v>0.10346106304079106</v>
      </c>
      <c r="CT15" s="50">
        <f t="shared" si="21"/>
        <v>0.45888124620675708</v>
      </c>
      <c r="CU15" s="50">
        <f t="shared" si="21"/>
        <v>1.3797885248743258E-2</v>
      </c>
      <c r="CV15" s="50">
        <f t="shared" si="21"/>
        <v>7.7522825975447018E-2</v>
      </c>
      <c r="CW15" s="50">
        <f t="shared" ref="CW15:CW20" si="23">CW5/CV5-1</f>
        <v>0.14715963186290071</v>
      </c>
      <c r="CX15" s="117">
        <v>0.14000000000000001</v>
      </c>
      <c r="CY15" s="117">
        <v>0.15</v>
      </c>
      <c r="CZ15" s="117">
        <v>0.15</v>
      </c>
      <c r="DA15" s="117">
        <v>0.12</v>
      </c>
      <c r="DB15" s="117">
        <v>0.1</v>
      </c>
      <c r="DC15" s="117">
        <v>0.09</v>
      </c>
      <c r="DD15" s="117">
        <v>0.08</v>
      </c>
      <c r="DE15" s="117">
        <v>7.0000000000000007E-2</v>
      </c>
      <c r="DF15" s="117">
        <v>0.06</v>
      </c>
      <c r="DG15" s="117">
        <v>0.05</v>
      </c>
    </row>
    <row r="16" spans="2:164">
      <c r="B16" s="37" t="s">
        <v>238</v>
      </c>
      <c r="BA16" s="50">
        <f t="shared" ref="BA16:BP16" si="24">BA6/AW6-1</f>
        <v>0.30193375454719518</v>
      </c>
      <c r="BB16" s="50">
        <f t="shared" si="24"/>
        <v>0.60409628378378377</v>
      </c>
      <c r="BC16" s="50">
        <f t="shared" si="24"/>
        <v>0.3984265734265735</v>
      </c>
      <c r="BD16" s="50">
        <f t="shared" si="24"/>
        <v>0.25556605046552416</v>
      </c>
      <c r="BE16" s="50">
        <f t="shared" si="24"/>
        <v>0.20205882352941185</v>
      </c>
      <c r="BF16" s="50">
        <f t="shared" si="24"/>
        <v>8.7139660392260065E-2</v>
      </c>
      <c r="BG16" s="50">
        <f t="shared" si="24"/>
        <v>-1.587698462307785E-2</v>
      </c>
      <c r="BH16" s="50">
        <f t="shared" si="24"/>
        <v>-8.9199355185384244E-2</v>
      </c>
      <c r="BI16" s="50">
        <f t="shared" si="24"/>
        <v>-8.294592610716911E-2</v>
      </c>
      <c r="BJ16" s="50">
        <f t="shared" si="24"/>
        <v>-4.9521733866085493E-2</v>
      </c>
      <c r="BK16" s="50">
        <f t="shared" si="24"/>
        <v>-2.5787601626016232E-2</v>
      </c>
      <c r="BL16" s="50">
        <f t="shared" si="24"/>
        <v>-2.1002949852507391E-2</v>
      </c>
      <c r="BM16" s="50">
        <f t="shared" si="24"/>
        <v>-1.1072572038420492E-2</v>
      </c>
      <c r="BN16" s="50">
        <f t="shared" si="24"/>
        <v>-5.1719745222929991E-2</v>
      </c>
      <c r="BO16" s="50">
        <f t="shared" si="24"/>
        <v>-1.5777806754466051E-2</v>
      </c>
      <c r="BP16" s="50">
        <f t="shared" si="24"/>
        <v>-4.1340243461492121E-2</v>
      </c>
      <c r="BQ16" s="50">
        <f t="shared" si="20"/>
        <v>-2.1179009847565045E-2</v>
      </c>
      <c r="CT16" s="50">
        <f t="shared" si="21"/>
        <v>0.37293200519705505</v>
      </c>
      <c r="CU16" s="50">
        <f t="shared" si="21"/>
        <v>3.4036781174095365E-2</v>
      </c>
      <c r="CV16" s="50">
        <f t="shared" si="21"/>
        <v>-4.4783404514948111E-2</v>
      </c>
      <c r="CW16" s="50">
        <f t="shared" si="23"/>
        <v>-3.0435615738375055E-2</v>
      </c>
      <c r="CX16" s="117">
        <v>0.01</v>
      </c>
      <c r="CY16" s="117">
        <v>0.01</v>
      </c>
      <c r="CZ16" s="117">
        <v>0.02</v>
      </c>
      <c r="DA16" s="117">
        <v>0.03</v>
      </c>
      <c r="DB16" s="117">
        <v>0.04</v>
      </c>
      <c r="DC16" s="117">
        <v>0.05</v>
      </c>
      <c r="DD16" s="117">
        <v>0.05</v>
      </c>
      <c r="DE16" s="117">
        <v>0.05</v>
      </c>
      <c r="DF16" s="117">
        <v>0.05</v>
      </c>
      <c r="DG16" s="117">
        <v>0.05</v>
      </c>
    </row>
    <row r="17" spans="2:161" s="2" customFormat="1" ht="15">
      <c r="B17" s="33" t="s">
        <v>239</v>
      </c>
      <c r="BA17" s="51">
        <f t="shared" ref="BA17:BP17" si="25">BA7/AW7-1</f>
        <v>0.32346059295678709</v>
      </c>
      <c r="BB17" s="51">
        <f t="shared" si="25"/>
        <v>0.68895436434861224</v>
      </c>
      <c r="BC17" s="51">
        <f t="shared" si="25"/>
        <v>0.43226849979781634</v>
      </c>
      <c r="BD17" s="51">
        <f t="shared" si="25"/>
        <v>0.32554817203835573</v>
      </c>
      <c r="BE17" s="51">
        <f t="shared" si="25"/>
        <v>0.22327902604959271</v>
      </c>
      <c r="BF17" s="51">
        <f t="shared" si="25"/>
        <v>0.11585124098009669</v>
      </c>
      <c r="BG17" s="51">
        <f t="shared" si="25"/>
        <v>2.5447016751364515E-2</v>
      </c>
      <c r="BH17" s="51">
        <f t="shared" si="25"/>
        <v>-3.5875830761442851E-2</v>
      </c>
      <c r="BI17" s="51">
        <f t="shared" si="25"/>
        <v>-2.0672874627247761E-3</v>
      </c>
      <c r="BJ17" s="51">
        <f t="shared" si="25"/>
        <v>3.2955514496873173E-2</v>
      </c>
      <c r="BK17" s="51">
        <f t="shared" si="25"/>
        <v>9.4801952938585288E-2</v>
      </c>
      <c r="BL17" s="51">
        <f t="shared" si="25"/>
        <v>0.10966769418380129</v>
      </c>
      <c r="BM17" s="51">
        <f t="shared" si="25"/>
        <v>0.13036224976167787</v>
      </c>
      <c r="BN17" s="51">
        <f t="shared" si="25"/>
        <v>0.11132896479369836</v>
      </c>
      <c r="BO17" s="51">
        <f t="shared" si="25"/>
        <v>0.10406223280299098</v>
      </c>
      <c r="BP17" s="51">
        <f t="shared" si="25"/>
        <v>0.10598775890226975</v>
      </c>
      <c r="BQ17" s="51">
        <f t="shared" si="20"/>
        <v>8.4756483238456637E-2</v>
      </c>
      <c r="BR17" s="34"/>
      <c r="BS17" s="34"/>
      <c r="BT17" s="34"/>
      <c r="BU17" s="34"/>
      <c r="BV17" s="34"/>
      <c r="BW17" s="34"/>
      <c r="BX17" s="34"/>
      <c r="BY17" s="34"/>
      <c r="BZ17" s="34"/>
      <c r="CA17" s="34"/>
      <c r="CB17" s="34"/>
      <c r="CC17" s="34"/>
      <c r="CT17" s="50">
        <f t="shared" si="21"/>
        <v>0.42588685306689178</v>
      </c>
      <c r="CU17" s="50">
        <f t="shared" si="21"/>
        <v>7.14855105323704E-2</v>
      </c>
      <c r="CV17" s="50">
        <f t="shared" si="21"/>
        <v>5.9615187572670258E-2</v>
      </c>
      <c r="CW17" s="50">
        <f t="shared" si="23"/>
        <v>0.11240041201572382</v>
      </c>
      <c r="CX17" s="118">
        <f>CX7/CW7-1</f>
        <v>8.3908348766015273E-2</v>
      </c>
      <c r="CY17" s="118">
        <f t="shared" ref="CY17:DG17" si="26">CY7/CX7-1</f>
        <v>8.2573820315545721E-2</v>
      </c>
      <c r="CZ17" s="118">
        <f t="shared" si="26"/>
        <v>5.8532861407922576E-2</v>
      </c>
      <c r="DA17" s="118">
        <f t="shared" si="26"/>
        <v>5.4149818611965106E-2</v>
      </c>
      <c r="DB17" s="118">
        <f t="shared" si="26"/>
        <v>5.0570897767950429E-2</v>
      </c>
      <c r="DC17" s="118">
        <f t="shared" si="26"/>
        <v>4.6540459458630723E-2</v>
      </c>
      <c r="DD17" s="118">
        <f t="shared" si="26"/>
        <v>4.1472129116956413E-2</v>
      </c>
      <c r="DE17" s="118">
        <f t="shared" si="26"/>
        <v>3.631680006674376E-2</v>
      </c>
      <c r="DF17" s="118">
        <f t="shared" si="26"/>
        <v>3.108709703667345E-2</v>
      </c>
      <c r="DG17" s="118">
        <f t="shared" si="26"/>
        <v>2.5798007789074706E-2</v>
      </c>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row>
    <row r="18" spans="2:161">
      <c r="B18" s="37" t="s">
        <v>240</v>
      </c>
      <c r="BA18" s="50">
        <f t="shared" ref="BA18:BP18" si="27">BA8/AW8-1</f>
        <v>0.46426155580608786</v>
      </c>
      <c r="BB18" s="50">
        <f t="shared" si="27"/>
        <v>0.29254488680718183</v>
      </c>
      <c r="BC18" s="50">
        <f t="shared" si="27"/>
        <v>0.23293172690763053</v>
      </c>
      <c r="BD18" s="50">
        <f t="shared" si="27"/>
        <v>0.22280491459394658</v>
      </c>
      <c r="BE18" s="50">
        <f t="shared" si="27"/>
        <v>4.8814290113951442E-2</v>
      </c>
      <c r="BF18" s="50">
        <f t="shared" si="27"/>
        <v>-1.0569228446323464E-2</v>
      </c>
      <c r="BG18" s="50">
        <f t="shared" si="27"/>
        <v>2.0876517619188739E-2</v>
      </c>
      <c r="BH18" s="50">
        <f t="shared" si="27"/>
        <v>7.7809092023036319E-2</v>
      </c>
      <c r="BI18" s="50">
        <f t="shared" si="27"/>
        <v>8.8386433710174739E-2</v>
      </c>
      <c r="BJ18" s="50">
        <f t="shared" si="27"/>
        <v>0.24248435830917137</v>
      </c>
      <c r="BK18" s="50">
        <f t="shared" si="27"/>
        <v>0.20942712110224804</v>
      </c>
      <c r="BL18" s="50">
        <f t="shared" si="27"/>
        <v>0.22714870395634379</v>
      </c>
      <c r="BM18" s="50">
        <f t="shared" si="27"/>
        <v>0.17887494941319293</v>
      </c>
      <c r="BN18" s="50">
        <f t="shared" si="27"/>
        <v>0.14369933677229185</v>
      </c>
      <c r="BO18" s="50">
        <f t="shared" si="27"/>
        <v>0.2778510612783307</v>
      </c>
      <c r="BP18" s="50">
        <f t="shared" si="27"/>
        <v>7.772836761163604E-2</v>
      </c>
      <c r="BQ18" s="50">
        <f t="shared" si="20"/>
        <v>0.18766449250486317</v>
      </c>
      <c r="CT18" s="50">
        <f t="shared" si="21"/>
        <v>0.29114273870388274</v>
      </c>
      <c r="CU18" s="50">
        <f t="shared" si="21"/>
        <v>3.6494006849315141E-2</v>
      </c>
      <c r="CV18" s="50">
        <f t="shared" si="21"/>
        <v>0.19387368783341929</v>
      </c>
      <c r="CW18" s="50">
        <f t="shared" si="23"/>
        <v>0.16293819188191883</v>
      </c>
      <c r="CX18" s="117">
        <v>0.14000000000000001</v>
      </c>
      <c r="CY18" s="117">
        <v>0.13</v>
      </c>
      <c r="CZ18" s="117">
        <v>0.12</v>
      </c>
      <c r="DA18" s="117">
        <v>0.11</v>
      </c>
      <c r="DB18" s="117">
        <v>0.1</v>
      </c>
      <c r="DC18" s="117">
        <v>0.1</v>
      </c>
      <c r="DD18" s="117">
        <v>0.1</v>
      </c>
      <c r="DE18" s="117">
        <v>0.1</v>
      </c>
      <c r="DF18" s="117">
        <v>0.1</v>
      </c>
      <c r="DG18" s="117">
        <v>0.1</v>
      </c>
    </row>
    <row r="19" spans="2:161">
      <c r="B19" s="37" t="s">
        <v>242</v>
      </c>
      <c r="BA19" s="50">
        <f t="shared" ref="BA19:BP19" si="28">BA9/AW9-1</f>
        <v>0.4573280518545193</v>
      </c>
      <c r="BB19" s="50">
        <f t="shared" si="28"/>
        <v>0.53907549052211512</v>
      </c>
      <c r="BC19" s="50">
        <f t="shared" si="28"/>
        <v>0.44889663182346107</v>
      </c>
      <c r="BD19" s="50">
        <f t="shared" si="28"/>
        <v>0.44635865309318712</v>
      </c>
      <c r="BE19" s="50">
        <f t="shared" si="28"/>
        <v>0.4383493946132937</v>
      </c>
      <c r="BF19" s="50">
        <f t="shared" si="28"/>
        <v>0.35609334485738975</v>
      </c>
      <c r="BG19" s="50">
        <f t="shared" si="28"/>
        <v>0.37635270541082155</v>
      </c>
      <c r="BH19" s="50">
        <f t="shared" si="28"/>
        <v>0.3201588160981772</v>
      </c>
      <c r="BI19" s="50">
        <f t="shared" si="28"/>
        <v>0.28053599037965982</v>
      </c>
      <c r="BJ19" s="50">
        <f t="shared" si="28"/>
        <v>0.2796367112810707</v>
      </c>
      <c r="BK19" s="50">
        <f t="shared" si="28"/>
        <v>0.22466511357018049</v>
      </c>
      <c r="BL19" s="50">
        <f t="shared" si="28"/>
        <v>0.25659603554340404</v>
      </c>
      <c r="BM19" s="50">
        <f t="shared" si="28"/>
        <v>0.28441105446740012</v>
      </c>
      <c r="BN19" s="50">
        <f t="shared" si="28"/>
        <v>0.28838251774374291</v>
      </c>
      <c r="BO19" s="50">
        <f t="shared" si="28"/>
        <v>0.34978004993460954</v>
      </c>
      <c r="BP19" s="50">
        <f t="shared" si="28"/>
        <v>0.3005874673629243</v>
      </c>
      <c r="BQ19" s="50">
        <f t="shared" si="20"/>
        <v>0.28055149362857734</v>
      </c>
      <c r="CT19" s="50">
        <f t="shared" si="21"/>
        <v>0.47070985527222597</v>
      </c>
      <c r="CU19" s="50">
        <f t="shared" si="21"/>
        <v>0.36832239925023424</v>
      </c>
      <c r="CV19" s="50">
        <f t="shared" si="21"/>
        <v>0.25905631659056327</v>
      </c>
      <c r="CW19" s="50">
        <f t="shared" si="23"/>
        <v>0.30648573500967125</v>
      </c>
      <c r="CX19" s="117">
        <v>0.22</v>
      </c>
      <c r="CY19" s="117">
        <v>0.19500000000000001</v>
      </c>
      <c r="CZ19" s="117">
        <v>0.16</v>
      </c>
      <c r="DA19" s="117">
        <v>0.15</v>
      </c>
      <c r="DB19" s="117">
        <v>0.13</v>
      </c>
      <c r="DC19" s="117">
        <v>0.12</v>
      </c>
      <c r="DD19" s="117">
        <v>0.115</v>
      </c>
      <c r="DE19" s="117">
        <v>0.11</v>
      </c>
      <c r="DF19" s="117">
        <v>0.105</v>
      </c>
      <c r="DG19" s="117">
        <v>0.1</v>
      </c>
    </row>
    <row r="20" spans="2:161">
      <c r="B20" s="37" t="s">
        <v>243</v>
      </c>
      <c r="BA20" s="50">
        <f t="shared" ref="BA20:BP20" si="29">BA10/AW10-1</f>
        <v>0.46666666666666656</v>
      </c>
      <c r="BB20" s="50">
        <f t="shared" si="29"/>
        <v>0.29729729729729737</v>
      </c>
      <c r="BC20" s="50">
        <f t="shared" si="29"/>
        <v>2.2471910112359605E-2</v>
      </c>
      <c r="BD20" s="50">
        <f t="shared" si="29"/>
        <v>-7.6530612244897989E-2</v>
      </c>
      <c r="BE20" s="50">
        <f t="shared" si="29"/>
        <v>1.2222222222222223</v>
      </c>
      <c r="BF20" s="50">
        <f t="shared" si="29"/>
        <v>5.2083333333332593E-3</v>
      </c>
      <c r="BG20" s="50">
        <f t="shared" si="29"/>
        <v>0.14835164835164827</v>
      </c>
      <c r="BH20" s="50">
        <f t="shared" si="29"/>
        <v>0.24861878453038666</v>
      </c>
      <c r="BI20" s="50">
        <f t="shared" si="29"/>
        <v>-0.34545454545454546</v>
      </c>
      <c r="BJ20" s="50">
        <f t="shared" si="29"/>
        <v>0.47668393782383411</v>
      </c>
      <c r="BK20" s="50">
        <f t="shared" si="29"/>
        <v>0.42105263157894735</v>
      </c>
      <c r="BL20" s="50">
        <f t="shared" si="29"/>
        <v>1.9070796460176993</v>
      </c>
      <c r="BM20" s="50">
        <f t="shared" si="29"/>
        <v>0.71875</v>
      </c>
      <c r="BN20" s="50">
        <f t="shared" si="29"/>
        <v>0.2807017543859649</v>
      </c>
      <c r="BO20" s="50">
        <f t="shared" si="29"/>
        <v>0.30639730639730645</v>
      </c>
      <c r="BP20" s="50">
        <f t="shared" si="29"/>
        <v>-0.39117199391171997</v>
      </c>
      <c r="BQ20" s="50">
        <f t="shared" si="20"/>
        <v>-9.0909090909090939E-2</v>
      </c>
      <c r="CT20" s="50">
        <f t="shared" si="21"/>
        <v>0.14611872146118721</v>
      </c>
      <c r="CU20" s="50">
        <f t="shared" si="21"/>
        <v>0.41832669322709171</v>
      </c>
      <c r="CV20" s="50">
        <f t="shared" si="21"/>
        <v>0.4297752808988764</v>
      </c>
      <c r="CW20" s="50">
        <f t="shared" si="23"/>
        <v>7.9240340537000575E-2</v>
      </c>
      <c r="CX20" s="117">
        <v>0.15</v>
      </c>
      <c r="CY20" s="117">
        <v>0.17499999999999999</v>
      </c>
      <c r="CZ20" s="117">
        <v>0.2</v>
      </c>
      <c r="DA20" s="117">
        <v>0.15</v>
      </c>
      <c r="DB20" s="117">
        <v>0.125</v>
      </c>
      <c r="DC20" s="117">
        <v>0.1</v>
      </c>
      <c r="DD20" s="117">
        <v>0.08</v>
      </c>
      <c r="DE20" s="117">
        <v>0.06</v>
      </c>
      <c r="DF20" s="117">
        <v>0.04</v>
      </c>
      <c r="DG20" s="117">
        <v>0.04</v>
      </c>
    </row>
    <row r="21" spans="2:161" s="2" customFormat="1" ht="15">
      <c r="B21" s="33" t="s">
        <v>244</v>
      </c>
      <c r="BA21" s="51">
        <f t="shared" ref="BA21:BQ21" si="30">BA12/AW12-1</f>
        <v>0.34391020189994892</v>
      </c>
      <c r="BB21" s="51">
        <f t="shared" si="30"/>
        <v>0.61579235971486024</v>
      </c>
      <c r="BC21" s="51">
        <f t="shared" si="30"/>
        <v>0.41030472353973102</v>
      </c>
      <c r="BD21" s="51">
        <f t="shared" si="30"/>
        <v>0.32386024113325607</v>
      </c>
      <c r="BE21" s="51">
        <f t="shared" si="30"/>
        <v>0.22954405756228069</v>
      </c>
      <c r="BF21" s="51">
        <f t="shared" si="30"/>
        <v>0.12613122171945701</v>
      </c>
      <c r="BG21" s="51">
        <f t="shared" si="30"/>
        <v>6.1027672840074931E-2</v>
      </c>
      <c r="BH21" s="51">
        <f t="shared" si="30"/>
        <v>9.5984069034185104E-3</v>
      </c>
      <c r="BI21" s="51">
        <f t="shared" si="30"/>
        <v>2.6113422828660138E-2</v>
      </c>
      <c r="BJ21" s="51">
        <f t="shared" si="30"/>
        <v>7.0589079428858392E-2</v>
      </c>
      <c r="BK21" s="51">
        <f t="shared" si="30"/>
        <v>0.11001273664100042</v>
      </c>
      <c r="BL21" s="51">
        <f t="shared" si="30"/>
        <v>0.13494108983799702</v>
      </c>
      <c r="BM21" s="51">
        <f t="shared" si="30"/>
        <v>0.15406880937710454</v>
      </c>
      <c r="BN21" s="51">
        <f t="shared" si="30"/>
        <v>0.13589083695244231</v>
      </c>
      <c r="BO21" s="51">
        <f t="shared" si="30"/>
        <v>0.15092642092498654</v>
      </c>
      <c r="BP21" s="51">
        <f t="shared" si="30"/>
        <v>0.11770362646275045</v>
      </c>
      <c r="BQ21" s="51">
        <f t="shared" si="30"/>
        <v>0.12037646357665222</v>
      </c>
      <c r="BR21" s="34"/>
      <c r="BS21" s="34"/>
      <c r="BT21" s="34"/>
      <c r="BU21" s="34"/>
      <c r="BV21" s="34"/>
      <c r="BW21" s="34"/>
      <c r="BX21" s="34"/>
      <c r="BY21" s="34"/>
      <c r="BZ21" s="34"/>
      <c r="CA21" s="34"/>
      <c r="CB21" s="34"/>
      <c r="CC21" s="34"/>
      <c r="CT21" s="50">
        <f t="shared" ref="CT21:CV21" si="31">CT12/CS12-1</f>
        <v>0.41150076427049154</v>
      </c>
      <c r="CU21" s="50">
        <f t="shared" si="31"/>
        <v>9.7808156437157789E-2</v>
      </c>
      <c r="CV21" s="50">
        <f t="shared" si="31"/>
        <v>8.6827702272695095E-2</v>
      </c>
      <c r="CW21" s="50">
        <f>CW12/CV12-1</f>
        <v>0.13866243322901561</v>
      </c>
      <c r="CX21" s="118">
        <f>CX12/CW12-1</f>
        <v>0.1074536452411019</v>
      </c>
      <c r="CY21" s="118">
        <f t="shared" ref="CY21:DG21" si="32">CY12/CX12-1</f>
        <v>0.10391383445256142</v>
      </c>
      <c r="CZ21" s="118">
        <f t="shared" si="32"/>
        <v>8.1658330703013648E-2</v>
      </c>
      <c r="DA21" s="118">
        <f t="shared" si="32"/>
        <v>7.6849185986048951E-2</v>
      </c>
      <c r="DB21" s="118">
        <f t="shared" si="32"/>
        <v>7.0820745350346881E-2</v>
      </c>
      <c r="DC21" s="118">
        <f t="shared" si="32"/>
        <v>6.7069209563296983E-2</v>
      </c>
      <c r="DD21" s="118">
        <f t="shared" si="32"/>
        <v>6.3491214010902075E-2</v>
      </c>
      <c r="DE21" s="118">
        <f t="shared" si="32"/>
        <v>5.9945106984905516E-2</v>
      </c>
      <c r="DF21" s="118">
        <f t="shared" si="32"/>
        <v>5.6458399382219859E-2</v>
      </c>
      <c r="DG21" s="118">
        <f t="shared" si="32"/>
        <v>5.3194319349722186E-2</v>
      </c>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row>
    <row r="23" spans="2:161">
      <c r="B23" s="37" t="s">
        <v>245</v>
      </c>
      <c r="AW23" s="50">
        <f t="shared" ref="AW23:BP23" si="33">AW4/AW12</f>
        <v>0.5953011492018756</v>
      </c>
      <c r="AX23" s="50">
        <f t="shared" si="33"/>
        <v>0.55667545760764547</v>
      </c>
      <c r="AY23" s="50">
        <f t="shared" si="33"/>
        <v>0.57041994239057459</v>
      </c>
      <c r="AZ23" s="50">
        <f t="shared" si="33"/>
        <v>0.56070512144539353</v>
      </c>
      <c r="BA23" s="50">
        <f t="shared" si="33"/>
        <v>0.57632787359438842</v>
      </c>
      <c r="BB23" s="50">
        <f t="shared" si="33"/>
        <v>0.57926632191338079</v>
      </c>
      <c r="BC23" s="50">
        <f t="shared" si="33"/>
        <v>0.58241960748180222</v>
      </c>
      <c r="BD23" s="50">
        <f t="shared" si="33"/>
        <v>0.5748556256223033</v>
      </c>
      <c r="BE23" s="50">
        <f t="shared" si="33"/>
        <v>0.58252341532987306</v>
      </c>
      <c r="BF23" s="50">
        <f t="shared" si="33"/>
        <v>0.58389897395422252</v>
      </c>
      <c r="BG23" s="50">
        <f t="shared" si="33"/>
        <v>0.57226596422161757</v>
      </c>
      <c r="BH23" s="50">
        <f t="shared" si="33"/>
        <v>0.56022512097622557</v>
      </c>
      <c r="BI23" s="50">
        <f t="shared" si="33"/>
        <v>0.57831687850172664</v>
      </c>
      <c r="BJ23" s="50">
        <f t="shared" si="33"/>
        <v>0.57139027397994746</v>
      </c>
      <c r="BK23" s="50">
        <f t="shared" si="33"/>
        <v>0.574054998500515</v>
      </c>
      <c r="BL23" s="50">
        <f t="shared" si="33"/>
        <v>0.55636658556366581</v>
      </c>
      <c r="BM23" s="50">
        <f t="shared" si="33"/>
        <v>0.57308881411490087</v>
      </c>
      <c r="BN23" s="50">
        <f t="shared" si="33"/>
        <v>0.57243161596374881</v>
      </c>
      <c r="BO23" s="50">
        <f t="shared" si="33"/>
        <v>0.55948928263923503</v>
      </c>
      <c r="BP23" s="50">
        <f t="shared" si="33"/>
        <v>0.5601177580362604</v>
      </c>
      <c r="CS23" s="50">
        <f t="shared" ref="CS23:CV23" si="34">BM4/BM12</f>
        <v>0.57308881411490087</v>
      </c>
      <c r="CT23" s="50">
        <f t="shared" si="34"/>
        <v>0.57243161596374881</v>
      </c>
      <c r="CU23" s="50">
        <f t="shared" si="34"/>
        <v>0.55948928263923503</v>
      </c>
      <c r="CV23" s="50">
        <f t="shared" si="34"/>
        <v>0.5601177580362604</v>
      </c>
      <c r="CW23" s="50">
        <f>BQ4/BQ12</f>
        <v>0.56189462951880664</v>
      </c>
    </row>
    <row r="24" spans="2:161">
      <c r="B24" s="37" t="s">
        <v>246</v>
      </c>
      <c r="AW24" s="50">
        <f t="shared" ref="AW24:BP24" si="35">AW8/AW12</f>
        <v>0.10775286085667776</v>
      </c>
      <c r="AX24" s="50">
        <f t="shared" si="35"/>
        <v>0.13379638091756535</v>
      </c>
      <c r="AY24" s="50">
        <f t="shared" si="35"/>
        <v>0.11864076408290559</v>
      </c>
      <c r="AZ24" s="50">
        <f t="shared" si="35"/>
        <v>0.11729762030299835</v>
      </c>
      <c r="BA24" s="50">
        <f t="shared" si="35"/>
        <v>0.11740246592182811</v>
      </c>
      <c r="BB24" s="50">
        <f t="shared" si="35"/>
        <v>0.10702973497091144</v>
      </c>
      <c r="BC24" s="50">
        <f t="shared" si="35"/>
        <v>0.10371940170152646</v>
      </c>
      <c r="BD24" s="50">
        <f t="shared" si="35"/>
        <v>0.10834384334550282</v>
      </c>
      <c r="BE24" s="50">
        <f t="shared" si="35"/>
        <v>0.10014556468806517</v>
      </c>
      <c r="BF24" s="50">
        <f t="shared" si="35"/>
        <v>9.4037454258448727E-2</v>
      </c>
      <c r="BG24" s="50">
        <f t="shared" si="35"/>
        <v>9.9794476929311648E-2</v>
      </c>
      <c r="BH24" s="50">
        <f t="shared" si="35"/>
        <v>0.11566379128971176</v>
      </c>
      <c r="BI24" s="50">
        <f t="shared" si="35"/>
        <v>0.10622322209007408</v>
      </c>
      <c r="BJ24" s="50">
        <f t="shared" si="35"/>
        <v>0.10913623934373493</v>
      </c>
      <c r="BK24" s="50">
        <f t="shared" si="35"/>
        <v>0.10873221806423011</v>
      </c>
      <c r="BL24" s="50">
        <f t="shared" si="35"/>
        <v>0.12506082725060827</v>
      </c>
      <c r="BM24" s="50">
        <f t="shared" si="35"/>
        <v>0.10850643787481841</v>
      </c>
      <c r="BN24" s="50">
        <f t="shared" si="35"/>
        <v>0.10988647895966581</v>
      </c>
      <c r="BO24" s="50">
        <f t="shared" si="35"/>
        <v>0.12072325191462364</v>
      </c>
      <c r="BP24" s="50">
        <f t="shared" si="35"/>
        <v>0.12058796089935626</v>
      </c>
      <c r="CS24" s="50">
        <f t="shared" ref="CS24:CV24" si="36">BM8/BM12</f>
        <v>0.10850643787481841</v>
      </c>
      <c r="CT24" s="50">
        <f t="shared" si="36"/>
        <v>0.10988647895966581</v>
      </c>
      <c r="CU24" s="50">
        <f t="shared" si="36"/>
        <v>0.12072325191462364</v>
      </c>
      <c r="CV24" s="50">
        <f t="shared" si="36"/>
        <v>0.12058796089935626</v>
      </c>
      <c r="CW24" s="50">
        <f>BQ8/BQ12</f>
        <v>0.11502316200101957</v>
      </c>
    </row>
    <row r="25" spans="2:161">
      <c r="B25" s="37" t="s">
        <v>247</v>
      </c>
      <c r="AW25" s="50">
        <f t="shared" ref="AW25:BP25" si="37">AW9/AW12</f>
        <v>6.7470055151971617E-2</v>
      </c>
      <c r="AX25" s="50">
        <f t="shared" si="37"/>
        <v>7.8517899574379199E-2</v>
      </c>
      <c r="AY25" s="50">
        <f t="shared" si="37"/>
        <v>7.4589045546098368E-2</v>
      </c>
      <c r="AZ25" s="50">
        <f t="shared" si="37"/>
        <v>6.7331013392386382E-2</v>
      </c>
      <c r="BA25" s="50">
        <f t="shared" si="37"/>
        <v>7.3164117583251975E-2</v>
      </c>
      <c r="BB25" s="50">
        <f t="shared" si="37"/>
        <v>7.4789915966386553E-2</v>
      </c>
      <c r="BC25" s="50">
        <f t="shared" si="37"/>
        <v>7.6630117632605424E-2</v>
      </c>
      <c r="BD25" s="50">
        <f t="shared" si="37"/>
        <v>7.3561234649850649E-2</v>
      </c>
      <c r="BE25" s="50">
        <f t="shared" si="37"/>
        <v>8.5589095881548574E-2</v>
      </c>
      <c r="BF25" s="50">
        <f t="shared" si="37"/>
        <v>9.0062423764081218E-2</v>
      </c>
      <c r="BG25" s="50">
        <f t="shared" si="37"/>
        <v>9.9403693625890119E-2</v>
      </c>
      <c r="BH25" s="50">
        <f t="shared" si="37"/>
        <v>9.6189248895434468E-2</v>
      </c>
      <c r="BI25" s="50">
        <f t="shared" si="37"/>
        <v>0.10681072406035508</v>
      </c>
      <c r="BJ25" s="50">
        <f t="shared" si="37"/>
        <v>0.10764838346469358</v>
      </c>
      <c r="BK25" s="50">
        <f t="shared" si="37"/>
        <v>0.10967102603888229</v>
      </c>
      <c r="BL25" s="50">
        <f t="shared" si="37"/>
        <v>0.10649982620785541</v>
      </c>
      <c r="BM25" s="50">
        <f t="shared" si="37"/>
        <v>0.11887408584660848</v>
      </c>
      <c r="BN25" s="50">
        <f t="shared" si="37"/>
        <v>0.1221000212409431</v>
      </c>
      <c r="BO25" s="50">
        <f t="shared" si="37"/>
        <v>0.12861965831331854</v>
      </c>
      <c r="BP25" s="50">
        <f t="shared" si="37"/>
        <v>0.12392582072997543</v>
      </c>
      <c r="CS25" s="50">
        <f t="shared" ref="CS25:CV25" si="38">BM9/BM12</f>
        <v>0.11887408584660848</v>
      </c>
      <c r="CT25" s="50">
        <f t="shared" si="38"/>
        <v>0.1221000212409431</v>
      </c>
      <c r="CU25" s="50">
        <f t="shared" si="38"/>
        <v>0.12861965831331854</v>
      </c>
      <c r="CV25" s="50">
        <f t="shared" si="38"/>
        <v>0.12392582072997543</v>
      </c>
      <c r="CW25" s="50">
        <f>BQ9/BQ12</f>
        <v>0.13586896291863376</v>
      </c>
    </row>
    <row r="26" spans="2:161">
      <c r="B26" s="37" t="s">
        <v>248</v>
      </c>
      <c r="AW26" s="50">
        <f t="shared" ref="AW26:BP26" si="39">AW10/AW12</f>
        <v>3.2799630700454338E-3</v>
      </c>
      <c r="AX26" s="50">
        <f t="shared" si="39"/>
        <v>3.8645324699062588E-3</v>
      </c>
      <c r="AY26" s="50">
        <f t="shared" si="39"/>
        <v>3.8550668139388819E-3</v>
      </c>
      <c r="AZ26" s="50">
        <f t="shared" si="39"/>
        <v>3.4447608000281204E-3</v>
      </c>
      <c r="BA26" s="50">
        <f t="shared" si="39"/>
        <v>3.5795639440286365E-3</v>
      </c>
      <c r="BB26" s="50">
        <f t="shared" si="39"/>
        <v>3.1027795733678085E-3</v>
      </c>
      <c r="BC26" s="50">
        <f t="shared" si="39"/>
        <v>2.7949261340950273E-3</v>
      </c>
      <c r="BD26" s="50">
        <f t="shared" si="39"/>
        <v>2.4029206770660471E-3</v>
      </c>
      <c r="BE26" s="50">
        <f t="shared" si="39"/>
        <v>6.4695416917851523E-3</v>
      </c>
      <c r="BF26" s="50">
        <f t="shared" si="39"/>
        <v>2.7696060845232118E-3</v>
      </c>
      <c r="BG26" s="50">
        <f t="shared" si="39"/>
        <v>3.0249522375962487E-3</v>
      </c>
      <c r="BH26" s="50">
        <f t="shared" si="39"/>
        <v>2.9718072796128762E-3</v>
      </c>
      <c r="BI26" s="50">
        <f t="shared" si="39"/>
        <v>4.1268431083153019E-3</v>
      </c>
      <c r="BJ26" s="50">
        <f t="shared" si="39"/>
        <v>3.8201705002412741E-3</v>
      </c>
      <c r="BK26" s="50">
        <f t="shared" si="39"/>
        <v>3.8725828954402617E-3</v>
      </c>
      <c r="BL26" s="50">
        <f t="shared" si="39"/>
        <v>7.6120959332638162E-3</v>
      </c>
      <c r="BM26" s="50">
        <f t="shared" si="39"/>
        <v>6.1460907138156671E-3</v>
      </c>
      <c r="BN26" s="50">
        <f t="shared" si="39"/>
        <v>4.3071912392910246E-3</v>
      </c>
      <c r="BO26" s="50">
        <f t="shared" si="39"/>
        <v>4.395703992386822E-3</v>
      </c>
      <c r="BP26" s="50">
        <f t="shared" si="39"/>
        <v>4.146409727477221E-3</v>
      </c>
      <c r="CS26" s="50">
        <f t="shared" ref="CS26:CV26" si="40">BM10/BM12</f>
        <v>6.1460907138156671E-3</v>
      </c>
      <c r="CT26" s="50">
        <f t="shared" si="40"/>
        <v>4.3071912392910246E-3</v>
      </c>
      <c r="CU26" s="50">
        <f t="shared" si="40"/>
        <v>4.395703992386822E-3</v>
      </c>
      <c r="CV26" s="50">
        <f t="shared" si="40"/>
        <v>4.146409727477221E-3</v>
      </c>
      <c r="CW26" s="50">
        <f>BQ10/BQ12</f>
        <v>4.9870337123478952E-3</v>
      </c>
    </row>
    <row r="27" spans="2:161">
      <c r="B27" s="37" t="s">
        <v>249</v>
      </c>
      <c r="AW27" s="50">
        <f t="shared" ref="AW27:BP27" si="41">AW11/AW12</f>
        <v>1.190505114312787E-3</v>
      </c>
      <c r="AX27" s="50">
        <f t="shared" si="41"/>
        <v>3.9428675875394937E-3</v>
      </c>
      <c r="AY27" s="50">
        <f t="shared" si="41"/>
        <v>-4.7646893205986182E-4</v>
      </c>
      <c r="AZ27" s="50">
        <f t="shared" si="41"/>
        <v>-3.5150620408450207E-5</v>
      </c>
      <c r="BA27" s="50">
        <f t="shared" si="41"/>
        <v>-1.9705680297935424E-3</v>
      </c>
      <c r="BB27" s="50">
        <f t="shared" si="41"/>
        <v>-1.1312217194570136E-4</v>
      </c>
      <c r="BC27" s="50">
        <f t="shared" si="41"/>
        <v>9.5211769403237198E-4</v>
      </c>
      <c r="BD27" s="50">
        <f t="shared" si="41"/>
        <v>2.6949883836707603E-3</v>
      </c>
      <c r="BE27" s="50">
        <f t="shared" si="41"/>
        <v>4.0875740689006188E-3</v>
      </c>
      <c r="BF27" s="50">
        <f t="shared" si="41"/>
        <v>5.3813589725191938E-3</v>
      </c>
      <c r="BG27" s="50">
        <f t="shared" si="41"/>
        <v>9.2340647252938113E-3</v>
      </c>
      <c r="BH27" s="50">
        <f t="shared" si="41"/>
        <v>8.7970755312434257E-3</v>
      </c>
      <c r="BI27" s="50">
        <f t="shared" si="41"/>
        <v>1.2036625732586299E-3</v>
      </c>
      <c r="BJ27" s="50">
        <f t="shared" si="41"/>
        <v>4.0212321055171307E-5</v>
      </c>
      <c r="BK27" s="50">
        <f t="shared" si="41"/>
        <v>-1.303899964794701E-5</v>
      </c>
      <c r="BL27" s="50">
        <f t="shared" si="41"/>
        <v>1.7379214459506431E-3</v>
      </c>
      <c r="BM27" s="50">
        <f t="shared" si="41"/>
        <v>8.9397683110046069E-4</v>
      </c>
      <c r="BN27" s="50">
        <f t="shared" si="41"/>
        <v>1.2036534422128343E-3</v>
      </c>
      <c r="BO27" s="50">
        <f t="shared" si="41"/>
        <v>1.9259527801694838E-4</v>
      </c>
      <c r="BP27" s="50">
        <f t="shared" si="41"/>
        <v>2.0732048637386104E-4</v>
      </c>
      <c r="CS27" s="50">
        <f t="shared" ref="CS27:CV27" si="42">BM11/BM12</f>
        <v>8.9397683110046069E-4</v>
      </c>
      <c r="CT27" s="50">
        <f t="shared" si="42"/>
        <v>1.2036534422128343E-3</v>
      </c>
      <c r="CU27" s="50">
        <f t="shared" si="42"/>
        <v>1.9259527801694838E-4</v>
      </c>
      <c r="CV27" s="50">
        <f t="shared" si="42"/>
        <v>2.0732048637386104E-4</v>
      </c>
      <c r="CW27" s="50">
        <f>BQ11/BQ12</f>
        <v>2.8813972560232286E-3</v>
      </c>
    </row>
    <row r="29" spans="2:161">
      <c r="B29" s="36" t="s">
        <v>56</v>
      </c>
      <c r="AW29" s="1">
        <v>18870</v>
      </c>
      <c r="AX29" s="1">
        <v>17999</v>
      </c>
      <c r="AY29" s="1">
        <v>21442</v>
      </c>
      <c r="AZ29" s="1">
        <f>85014-SUM(AW29:AY29)</f>
        <v>26703</v>
      </c>
      <c r="BA29" s="1">
        <v>25032</v>
      </c>
      <c r="BB29" s="1">
        <v>28208</v>
      </c>
      <c r="BC29" s="1">
        <v>29824</v>
      </c>
      <c r="BD29" s="1">
        <f>117854-SUM(BA29:BC29)</f>
        <v>34790</v>
      </c>
      <c r="BE29" s="1">
        <v>31733</v>
      </c>
      <c r="BF29" s="1">
        <v>32727</v>
      </c>
      <c r="BG29" s="1">
        <v>33372</v>
      </c>
      <c r="BH29" s="1">
        <f>134814-SUM(BE29:BG29)</f>
        <v>36982</v>
      </c>
      <c r="BI29" s="1">
        <v>32864</v>
      </c>
      <c r="BJ29" s="1">
        <v>35073</v>
      </c>
      <c r="BK29" s="1">
        <v>36354</v>
      </c>
      <c r="BL29" s="1">
        <f>146286-SUM(BI29:BK29)</f>
        <v>41995</v>
      </c>
      <c r="BM29" s="1">
        <v>38737</v>
      </c>
      <c r="BN29" s="1">
        <v>41196</v>
      </c>
      <c r="BO29" s="1">
        <v>43139</v>
      </c>
      <c r="BP29" s="1">
        <f>170447-SUM(BM29:BO29)</f>
        <v>47375</v>
      </c>
      <c r="BQ29" s="1">
        <v>43964</v>
      </c>
      <c r="CS29" s="1">
        <f t="shared" ref="CS29:CS34" si="43">SUM(AW29:AZ29)</f>
        <v>85014</v>
      </c>
      <c r="CT29" s="1">
        <f t="shared" ref="CT29:CT34" si="44">SUM(BA29:BD29)</f>
        <v>117854</v>
      </c>
      <c r="CU29" s="1">
        <f t="shared" ref="CU29:CU34" si="45">SUM(BE29:BH29)</f>
        <v>134814</v>
      </c>
      <c r="CV29" s="1">
        <f t="shared" ref="CV29:CV34" si="46">SUM(BI29:BL29)</f>
        <v>146286</v>
      </c>
      <c r="CW29" s="1">
        <f t="shared" ref="CW29:CW34" si="47">SUM(BM29:BP29)</f>
        <v>170447</v>
      </c>
    </row>
    <row r="30" spans="2:161">
      <c r="B30" s="36" t="s">
        <v>250</v>
      </c>
      <c r="AW30" s="1">
        <v>12845</v>
      </c>
      <c r="AX30" s="1">
        <v>11363</v>
      </c>
      <c r="AY30" s="1">
        <v>13924</v>
      </c>
      <c r="AZ30" s="1">
        <f>55370-SUM(AW30:AY30)</f>
        <v>17238</v>
      </c>
      <c r="BA30" s="1">
        <v>17031</v>
      </c>
      <c r="BB30" s="1">
        <v>19084</v>
      </c>
      <c r="BC30" s="1">
        <v>19839</v>
      </c>
      <c r="BD30" s="1">
        <f>79107-SUM(BA30:BC30)</f>
        <v>23153</v>
      </c>
      <c r="BE30" s="1">
        <v>20317</v>
      </c>
      <c r="BF30" s="1">
        <v>20533</v>
      </c>
      <c r="BG30" s="1">
        <v>19450</v>
      </c>
      <c r="BH30" s="1">
        <f>82062-SUM(BE30:BG30)</f>
        <v>21762</v>
      </c>
      <c r="BI30" s="1">
        <v>21078</v>
      </c>
      <c r="BJ30" s="1">
        <v>22289</v>
      </c>
      <c r="BK30" s="1">
        <v>22661</v>
      </c>
      <c r="BL30" s="1">
        <f>91038-SUM(BI30:BK30)</f>
        <v>25010</v>
      </c>
      <c r="BM30" s="1">
        <v>23788</v>
      </c>
      <c r="BN30" s="1">
        <v>24683</v>
      </c>
      <c r="BO30" s="1">
        <v>25472</v>
      </c>
      <c r="BP30" s="1">
        <f>102127-SUM(BM30:BO30)</f>
        <v>28184</v>
      </c>
      <c r="BQ30" s="1">
        <v>25923</v>
      </c>
      <c r="CS30" s="1">
        <f t="shared" si="43"/>
        <v>55370</v>
      </c>
      <c r="CT30" s="1">
        <f t="shared" si="44"/>
        <v>79107</v>
      </c>
      <c r="CU30" s="1">
        <f t="shared" si="45"/>
        <v>82062</v>
      </c>
      <c r="CV30" s="1">
        <f t="shared" si="46"/>
        <v>91038</v>
      </c>
      <c r="CW30" s="1">
        <f t="shared" si="47"/>
        <v>102127</v>
      </c>
    </row>
    <row r="31" spans="2:161">
      <c r="B31" s="36" t="s">
        <v>251</v>
      </c>
      <c r="AW31" s="1">
        <v>7238</v>
      </c>
      <c r="AX31" s="1">
        <v>6945</v>
      </c>
      <c r="AY31" s="1">
        <v>8458</v>
      </c>
      <c r="AZ31" s="1">
        <f>32550-SUM(AW31:AY31)</f>
        <v>9909</v>
      </c>
      <c r="BA31" s="1">
        <v>10455</v>
      </c>
      <c r="BB31" s="1">
        <v>11231</v>
      </c>
      <c r="BC31" s="1">
        <v>11705</v>
      </c>
      <c r="BD31" s="1">
        <f>46123-SUM(BA31:BC31)</f>
        <v>12732</v>
      </c>
      <c r="BE31" s="1">
        <v>11841</v>
      </c>
      <c r="BF31" s="1">
        <v>11710</v>
      </c>
      <c r="BG31" s="1">
        <v>11494</v>
      </c>
      <c r="BH31" s="1">
        <f>47024-SUM(BE31:BG31)</f>
        <v>11979</v>
      </c>
      <c r="BI31" s="1">
        <v>11681</v>
      </c>
      <c r="BJ31" s="1">
        <v>12728</v>
      </c>
      <c r="BK31" s="1">
        <v>13126</v>
      </c>
      <c r="BL31" s="1">
        <f>51514-SUM(BI31:BK31)</f>
        <v>13979</v>
      </c>
      <c r="BM31" s="1">
        <v>13289</v>
      </c>
      <c r="BN31" s="1">
        <v>13823</v>
      </c>
      <c r="BO31" s="1">
        <v>14547</v>
      </c>
      <c r="BP31" s="1">
        <f>56815-SUM(BM31:BO31)</f>
        <v>15156</v>
      </c>
      <c r="BQ31" s="1">
        <v>14854</v>
      </c>
      <c r="CS31" s="1">
        <f t="shared" si="43"/>
        <v>32550</v>
      </c>
      <c r="CT31" s="1">
        <f t="shared" si="44"/>
        <v>46123</v>
      </c>
      <c r="CU31" s="1">
        <f t="shared" si="45"/>
        <v>47024</v>
      </c>
      <c r="CV31" s="1">
        <f t="shared" si="46"/>
        <v>51514</v>
      </c>
      <c r="CW31" s="1">
        <f t="shared" si="47"/>
        <v>56815</v>
      </c>
    </row>
    <row r="32" spans="2:161">
      <c r="B32" s="36" t="s">
        <v>252</v>
      </c>
      <c r="AW32" s="1">
        <v>2157</v>
      </c>
      <c r="AX32" s="1">
        <v>1839</v>
      </c>
      <c r="AY32" s="1">
        <v>2371</v>
      </c>
      <c r="AZ32" s="1">
        <f>9417-SUM(AW32:AY32)</f>
        <v>3050</v>
      </c>
      <c r="BA32" s="1">
        <v>2905</v>
      </c>
      <c r="BB32" s="1">
        <v>3364</v>
      </c>
      <c r="BC32" s="1">
        <v>3688</v>
      </c>
      <c r="BD32" s="1">
        <f>14404-SUM(BA32:BC32)</f>
        <v>4447</v>
      </c>
      <c r="BE32" s="1">
        <v>3842</v>
      </c>
      <c r="BF32" s="1">
        <v>4340</v>
      </c>
      <c r="BG32" s="1">
        <v>4138</v>
      </c>
      <c r="BH32" s="1">
        <f>16976-SUM(BE32:BG32)</f>
        <v>4656</v>
      </c>
      <c r="BI32" s="1">
        <v>4080</v>
      </c>
      <c r="BJ32" s="1">
        <v>4511</v>
      </c>
      <c r="BK32" s="1">
        <v>4553</v>
      </c>
      <c r="BL32" s="1">
        <f>18320-SUM(BI32:BK32)</f>
        <v>5176</v>
      </c>
      <c r="BM32" s="1">
        <v>4653</v>
      </c>
      <c r="BN32" s="1">
        <v>4938</v>
      </c>
      <c r="BO32" s="1">
        <v>5093</v>
      </c>
      <c r="BP32" s="1">
        <f>20418-SUM(BM32:BO32)</f>
        <v>5734</v>
      </c>
      <c r="BQ32" s="1">
        <v>5233</v>
      </c>
      <c r="CS32" s="1">
        <f t="shared" si="43"/>
        <v>9417</v>
      </c>
      <c r="CT32" s="1">
        <f t="shared" si="44"/>
        <v>14404</v>
      </c>
      <c r="CU32" s="1">
        <f t="shared" si="45"/>
        <v>16976</v>
      </c>
      <c r="CV32" s="1">
        <f t="shared" si="46"/>
        <v>18320</v>
      </c>
      <c r="CW32" s="1">
        <f t="shared" si="47"/>
        <v>20418</v>
      </c>
    </row>
    <row r="33" spans="2:161">
      <c r="B33" s="36" t="s">
        <v>235</v>
      </c>
      <c r="AW33" s="1">
        <v>49</v>
      </c>
      <c r="AX33" s="1">
        <v>151</v>
      </c>
      <c r="AY33" s="1">
        <v>-22</v>
      </c>
      <c r="AZ33" s="1">
        <f>176-SUM(AW33:AY33)</f>
        <v>-2</v>
      </c>
      <c r="BA33" s="1">
        <v>-109</v>
      </c>
      <c r="BB33" s="1">
        <v>-7</v>
      </c>
      <c r="BC33" s="1">
        <v>62</v>
      </c>
      <c r="BD33" s="1">
        <f>149-SUM(BA33:BC33)</f>
        <v>203</v>
      </c>
      <c r="BE33" s="1">
        <v>278</v>
      </c>
      <c r="BF33" s="1">
        <v>375</v>
      </c>
      <c r="BG33" s="1">
        <v>638</v>
      </c>
      <c r="BH33" s="1">
        <f>1960-SUM(BE33:BG33)</f>
        <v>669</v>
      </c>
      <c r="BI33" s="1">
        <v>84</v>
      </c>
      <c r="BJ33" s="1">
        <v>3</v>
      </c>
      <c r="BK33" s="1">
        <v>-1</v>
      </c>
      <c r="BL33" s="1">
        <f>236-SUM(BI33:BK33)</f>
        <v>150</v>
      </c>
      <c r="BM33" s="1">
        <v>72</v>
      </c>
      <c r="BN33" s="1">
        <v>102</v>
      </c>
      <c r="BO33" s="1">
        <v>17</v>
      </c>
      <c r="BP33" s="1">
        <f>211-SUM(BM33:BO33)</f>
        <v>20</v>
      </c>
      <c r="BQ33" s="1">
        <v>260</v>
      </c>
      <c r="CS33" s="1">
        <f t="shared" si="43"/>
        <v>176</v>
      </c>
      <c r="CT33" s="1">
        <f t="shared" si="44"/>
        <v>149</v>
      </c>
      <c r="CU33" s="1">
        <f t="shared" si="45"/>
        <v>1960</v>
      </c>
      <c r="CV33" s="1">
        <f t="shared" si="46"/>
        <v>236</v>
      </c>
      <c r="CW33" s="1">
        <f t="shared" si="47"/>
        <v>211</v>
      </c>
    </row>
    <row r="34" spans="2:161" s="2" customFormat="1" ht="15">
      <c r="B34" s="33" t="s">
        <v>54</v>
      </c>
      <c r="AW34" s="2">
        <f t="shared" ref="AW34:BP34" si="48">SUM(AW29:AW33)</f>
        <v>41159</v>
      </c>
      <c r="AX34" s="2">
        <f t="shared" si="48"/>
        <v>38297</v>
      </c>
      <c r="AY34" s="2">
        <f t="shared" si="48"/>
        <v>46173</v>
      </c>
      <c r="AZ34" s="2">
        <f t="shared" si="48"/>
        <v>56898</v>
      </c>
      <c r="BA34" s="2">
        <f t="shared" si="48"/>
        <v>55314</v>
      </c>
      <c r="BB34" s="2">
        <f t="shared" si="48"/>
        <v>61880</v>
      </c>
      <c r="BC34" s="2">
        <f t="shared" si="48"/>
        <v>65118</v>
      </c>
      <c r="BD34" s="2">
        <f t="shared" si="48"/>
        <v>75325</v>
      </c>
      <c r="BE34" s="2">
        <f t="shared" si="48"/>
        <v>68011</v>
      </c>
      <c r="BF34" s="2">
        <f t="shared" si="48"/>
        <v>69685</v>
      </c>
      <c r="BG34" s="2">
        <f t="shared" si="48"/>
        <v>69092</v>
      </c>
      <c r="BH34" s="2">
        <f t="shared" si="48"/>
        <v>76048</v>
      </c>
      <c r="BI34" s="2">
        <f t="shared" si="48"/>
        <v>69787</v>
      </c>
      <c r="BJ34" s="2">
        <f t="shared" si="48"/>
        <v>74604</v>
      </c>
      <c r="BK34" s="2">
        <f t="shared" si="48"/>
        <v>76693</v>
      </c>
      <c r="BL34" s="2">
        <f t="shared" si="48"/>
        <v>86310</v>
      </c>
      <c r="BM34" s="2">
        <f t="shared" si="48"/>
        <v>80539</v>
      </c>
      <c r="BN34" s="2">
        <f t="shared" si="48"/>
        <v>84742</v>
      </c>
      <c r="BO34" s="2">
        <f t="shared" si="48"/>
        <v>88268</v>
      </c>
      <c r="BP34" s="2">
        <f t="shared" si="48"/>
        <v>96469</v>
      </c>
      <c r="BQ34" s="2">
        <f>SUM(BQ29:BQ33)</f>
        <v>90234</v>
      </c>
      <c r="BR34" s="34"/>
      <c r="BS34" s="34"/>
      <c r="BT34" s="34"/>
      <c r="BU34" s="34"/>
      <c r="BV34" s="34"/>
      <c r="BW34" s="34"/>
      <c r="BX34" s="34"/>
      <c r="BY34" s="34"/>
      <c r="BZ34" s="34"/>
      <c r="CA34" s="34"/>
      <c r="CB34" s="34"/>
      <c r="CC34" s="34"/>
      <c r="CS34" s="2">
        <f t="shared" si="43"/>
        <v>182527</v>
      </c>
      <c r="CT34" s="2">
        <f t="shared" si="44"/>
        <v>257637</v>
      </c>
      <c r="CU34" s="2">
        <f t="shared" si="45"/>
        <v>282836</v>
      </c>
      <c r="CV34" s="2">
        <f t="shared" si="46"/>
        <v>307394</v>
      </c>
      <c r="CW34" s="2">
        <f t="shared" si="47"/>
        <v>350018</v>
      </c>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row>
    <row r="36" spans="2:161">
      <c r="B36" s="1" t="s">
        <v>58</v>
      </c>
      <c r="BA36" s="50">
        <f t="shared" ref="BA36:BP36" si="49">BA29/AW29-1</f>
        <v>0.32655007949125592</v>
      </c>
      <c r="BB36" s="50">
        <f t="shared" si="49"/>
        <v>0.56719817767653757</v>
      </c>
      <c r="BC36" s="50">
        <f t="shared" si="49"/>
        <v>0.39091502658334121</v>
      </c>
      <c r="BD36" s="50">
        <f t="shared" si="49"/>
        <v>0.30284986705613592</v>
      </c>
      <c r="BE36" s="50">
        <f t="shared" si="49"/>
        <v>0.26769734739533391</v>
      </c>
      <c r="BF36" s="50">
        <f t="shared" si="49"/>
        <v>0.1602027793533749</v>
      </c>
      <c r="BG36" s="50">
        <f t="shared" si="49"/>
        <v>0.11896459227467804</v>
      </c>
      <c r="BH36" s="50">
        <f t="shared" si="49"/>
        <v>6.3006611095142384E-2</v>
      </c>
      <c r="BI36" s="50">
        <f t="shared" si="49"/>
        <v>3.5641130684145761E-2</v>
      </c>
      <c r="BJ36" s="50">
        <f t="shared" si="49"/>
        <v>7.1683930699422582E-2</v>
      </c>
      <c r="BK36" s="50">
        <f t="shared" si="49"/>
        <v>8.935634663789993E-2</v>
      </c>
      <c r="BL36" s="50">
        <f t="shared" si="49"/>
        <v>0.13555243091233571</v>
      </c>
      <c r="BM36" s="50">
        <f t="shared" si="49"/>
        <v>0.17870618305744879</v>
      </c>
      <c r="BN36" s="50">
        <f t="shared" si="49"/>
        <v>0.17457873577965954</v>
      </c>
      <c r="BO36" s="50">
        <f t="shared" si="49"/>
        <v>0.18663695879408038</v>
      </c>
      <c r="BP36" s="50">
        <f t="shared" si="49"/>
        <v>0.12811048934396951</v>
      </c>
      <c r="BQ36" s="50">
        <f>BQ29/BM29-1</f>
        <v>0.13493559129514421</v>
      </c>
      <c r="CT36" s="50">
        <f t="shared" ref="CT36:CV36" si="50">CT29/CS29-1</f>
        <v>0.38628931705366165</v>
      </c>
      <c r="CU36" s="50">
        <f t="shared" si="50"/>
        <v>0.14390686781950546</v>
      </c>
      <c r="CV36" s="50">
        <f t="shared" si="50"/>
        <v>8.5095019805064842E-2</v>
      </c>
      <c r="CW36" s="50">
        <f>CW29/CV29-1</f>
        <v>0.16516276335397784</v>
      </c>
    </row>
    <row r="37" spans="2:161">
      <c r="B37" s="1" t="s">
        <v>253</v>
      </c>
      <c r="BA37" s="50">
        <f t="shared" ref="BA37:BP37" si="51">BA30/AW30-1</f>
        <v>0.32588555858310619</v>
      </c>
      <c r="BB37" s="50">
        <f t="shared" si="51"/>
        <v>0.67948605121886829</v>
      </c>
      <c r="BC37" s="50">
        <f t="shared" si="51"/>
        <v>0.42480609020396431</v>
      </c>
      <c r="BD37" s="50">
        <f t="shared" si="51"/>
        <v>0.34313725490196068</v>
      </c>
      <c r="BE37" s="50">
        <f t="shared" si="51"/>
        <v>0.19294228172156647</v>
      </c>
      <c r="BF37" s="50">
        <f t="shared" si="51"/>
        <v>7.592747851603443E-2</v>
      </c>
      <c r="BG37" s="50">
        <f t="shared" si="51"/>
        <v>-1.9607843137254943E-2</v>
      </c>
      <c r="BH37" s="50">
        <f t="shared" si="51"/>
        <v>-6.0078607523862959E-2</v>
      </c>
      <c r="BI37" s="50">
        <f t="shared" si="51"/>
        <v>3.7456317369690462E-2</v>
      </c>
      <c r="BJ37" s="50">
        <f t="shared" si="51"/>
        <v>8.5520868845273545E-2</v>
      </c>
      <c r="BK37" s="50">
        <f t="shared" si="51"/>
        <v>0.16508997429305916</v>
      </c>
      <c r="BL37" s="50">
        <f t="shared" si="51"/>
        <v>0.14925098796066538</v>
      </c>
      <c r="BM37" s="50">
        <f t="shared" si="51"/>
        <v>0.12857007306196033</v>
      </c>
      <c r="BN37" s="50">
        <f t="shared" si="51"/>
        <v>0.1074072412400735</v>
      </c>
      <c r="BO37" s="50">
        <f t="shared" si="51"/>
        <v>0.1240457173116809</v>
      </c>
      <c r="BP37" s="50">
        <f t="shared" si="51"/>
        <v>0.12690923630547779</v>
      </c>
      <c r="BQ37" s="50">
        <f>BQ30/BM30-1</f>
        <v>8.9751135026063578E-2</v>
      </c>
      <c r="CT37" s="50">
        <f t="shared" ref="CT37:CV37" si="52">CT30/CS30-1</f>
        <v>0.42869785082174472</v>
      </c>
      <c r="CU37" s="50">
        <f t="shared" si="52"/>
        <v>3.7354469263150003E-2</v>
      </c>
      <c r="CV37" s="50">
        <f t="shared" si="52"/>
        <v>0.10938071214447609</v>
      </c>
      <c r="CW37" s="50">
        <f>CW30/CV30-1</f>
        <v>0.12180627869680793</v>
      </c>
    </row>
    <row r="38" spans="2:161">
      <c r="B38" s="1" t="s">
        <v>254</v>
      </c>
      <c r="BA38" s="50">
        <f t="shared" ref="BA38:BP38" si="53">BA31/AW31-1</f>
        <v>0.44445979552362536</v>
      </c>
      <c r="BB38" s="50">
        <f t="shared" si="53"/>
        <v>0.61713462922966156</v>
      </c>
      <c r="BC38" s="50">
        <f t="shared" si="53"/>
        <v>0.38389690234097906</v>
      </c>
      <c r="BD38" s="50">
        <f t="shared" si="53"/>
        <v>0.28489252194974268</v>
      </c>
      <c r="BE38" s="50">
        <f t="shared" si="53"/>
        <v>0.13256814921090387</v>
      </c>
      <c r="BF38" s="50">
        <f t="shared" si="53"/>
        <v>4.2649808565577318E-2</v>
      </c>
      <c r="BG38" s="50">
        <f t="shared" si="53"/>
        <v>-1.8026484408372512E-2</v>
      </c>
      <c r="BH38" s="50">
        <f t="shared" si="53"/>
        <v>-5.9142318567389274E-2</v>
      </c>
      <c r="BI38" s="50">
        <f t="shared" si="53"/>
        <v>-1.3512372265855888E-2</v>
      </c>
      <c r="BJ38" s="50">
        <f t="shared" si="53"/>
        <v>8.6934244235695957E-2</v>
      </c>
      <c r="BK38" s="50">
        <f t="shared" si="53"/>
        <v>0.14198712371672184</v>
      </c>
      <c r="BL38" s="50">
        <f t="shared" si="53"/>
        <v>0.16695884464479516</v>
      </c>
      <c r="BM38" s="50">
        <f t="shared" si="53"/>
        <v>0.13765944696515708</v>
      </c>
      <c r="BN38" s="50">
        <f t="shared" si="53"/>
        <v>8.6030798240100514E-2</v>
      </c>
      <c r="BO38" s="50">
        <f t="shared" si="53"/>
        <v>0.10825841840621675</v>
      </c>
      <c r="BP38" s="50">
        <f t="shared" si="53"/>
        <v>8.4197725159167236E-2</v>
      </c>
      <c r="BQ38" s="50">
        <f>BQ31/BM31-1</f>
        <v>0.11776657385807821</v>
      </c>
      <c r="CT38" s="50">
        <f t="shared" ref="CT38:CV38" si="54">CT31/CS31-1</f>
        <v>0.41698924731182796</v>
      </c>
      <c r="CU38" s="50">
        <f t="shared" si="54"/>
        <v>1.9534722372785751E-2</v>
      </c>
      <c r="CV38" s="50">
        <f t="shared" si="54"/>
        <v>9.5483157536577101E-2</v>
      </c>
      <c r="CW38" s="50">
        <f>CW31/CV31-1</f>
        <v>0.10290406491439219</v>
      </c>
    </row>
    <row r="39" spans="2:161">
      <c r="B39" s="1" t="s">
        <v>255</v>
      </c>
      <c r="BA39" s="50">
        <f t="shared" ref="BA39:BP39" si="55">BA32/AW32-1</f>
        <v>0.34677793231339815</v>
      </c>
      <c r="BB39" s="50">
        <f t="shared" si="55"/>
        <v>0.82925502990755851</v>
      </c>
      <c r="BC39" s="50">
        <f t="shared" si="55"/>
        <v>0.55546183045128639</v>
      </c>
      <c r="BD39" s="50">
        <f t="shared" si="55"/>
        <v>0.45803278688524585</v>
      </c>
      <c r="BE39" s="50">
        <f t="shared" si="55"/>
        <v>0.32254733218588649</v>
      </c>
      <c r="BF39" s="50">
        <f t="shared" si="55"/>
        <v>0.29013079667063013</v>
      </c>
      <c r="BG39" s="50">
        <f t="shared" si="55"/>
        <v>0.12201735357917576</v>
      </c>
      <c r="BH39" s="50">
        <f t="shared" si="55"/>
        <v>4.6997976163705824E-2</v>
      </c>
      <c r="BI39" s="50">
        <f t="shared" si="55"/>
        <v>6.1946902654867353E-2</v>
      </c>
      <c r="BJ39" s="50">
        <f t="shared" si="55"/>
        <v>3.9400921658986121E-2</v>
      </c>
      <c r="BK39" s="50">
        <f t="shared" si="55"/>
        <v>0.1002899951667473</v>
      </c>
      <c r="BL39" s="50">
        <f t="shared" si="55"/>
        <v>0.11168384879725091</v>
      </c>
      <c r="BM39" s="50">
        <f t="shared" si="55"/>
        <v>0.14044117647058818</v>
      </c>
      <c r="BN39" s="50">
        <f t="shared" si="55"/>
        <v>9.4657503879405969E-2</v>
      </c>
      <c r="BO39" s="50">
        <f t="shared" si="55"/>
        <v>0.11860311882275432</v>
      </c>
      <c r="BP39" s="50">
        <f t="shared" si="55"/>
        <v>0.10780525502318383</v>
      </c>
      <c r="BQ39" s="50">
        <f>BQ32/BM32-1</f>
        <v>0.12465076294863531</v>
      </c>
      <c r="CT39" s="50">
        <f t="shared" ref="CT39:CV39" si="56">CT32/CS32-1</f>
        <v>0.52957417436550913</v>
      </c>
      <c r="CU39" s="50">
        <f t="shared" si="56"/>
        <v>0.17856151069147463</v>
      </c>
      <c r="CV39" s="50">
        <f t="shared" si="56"/>
        <v>7.9170593779453347E-2</v>
      </c>
      <c r="CW39" s="50">
        <f>CW32/CV32-1</f>
        <v>0.1145196506550219</v>
      </c>
    </row>
    <row r="40" spans="2:161" ht="15">
      <c r="B40" s="2" t="s">
        <v>244</v>
      </c>
      <c r="BA40" s="50">
        <f>BA34/AW34-1</f>
        <v>0.34391020189994892</v>
      </c>
      <c r="BB40" s="50">
        <f>BB34/AX34-1</f>
        <v>0.61579235971486024</v>
      </c>
      <c r="BC40" s="50">
        <f>BC34/AY34-1</f>
        <v>0.41030472353973102</v>
      </c>
      <c r="BD40" s="50">
        <f>BD34/AZ34-1</f>
        <v>0.32386024113325607</v>
      </c>
      <c r="BE40" s="50">
        <f>BE34/BA34-1</f>
        <v>0.22954405756228069</v>
      </c>
      <c r="BF40" s="50">
        <f>BF34/BB34-1</f>
        <v>0.12613122171945701</v>
      </c>
      <c r="BG40" s="50">
        <f>BG34/BC34-1</f>
        <v>6.1027672840074931E-2</v>
      </c>
      <c r="BH40" s="50">
        <f>BH34/BD34-1</f>
        <v>9.5984069034185104E-3</v>
      </c>
      <c r="BI40" s="50">
        <f>BI34/BE34-1</f>
        <v>2.6113422828660138E-2</v>
      </c>
      <c r="BJ40" s="50">
        <f>BJ34/BF34-1</f>
        <v>7.0589079428858392E-2</v>
      </c>
      <c r="BK40" s="50">
        <f>BK34/BG34-1</f>
        <v>0.11001273664100042</v>
      </c>
      <c r="BL40" s="50">
        <f>BL34/BH34-1</f>
        <v>0.13494108983799702</v>
      </c>
      <c r="BM40" s="50">
        <f>BM34/BI34-1</f>
        <v>0.15406880937710454</v>
      </c>
      <c r="BN40" s="50">
        <f>BN34/BJ34-1</f>
        <v>0.13589083695244231</v>
      </c>
      <c r="BO40" s="50">
        <f>BO34/BK34-1</f>
        <v>0.15092642092498654</v>
      </c>
      <c r="BP40" s="50">
        <f>BP34/BL34-1</f>
        <v>0.11770362646275045</v>
      </c>
      <c r="BQ40" s="50">
        <f>BQ34/BM34-1</f>
        <v>0.12037646357665222</v>
      </c>
      <c r="CT40" s="50">
        <f t="shared" ref="CT40:CV40" si="57">CT34/CS34-1</f>
        <v>0.41150076427049154</v>
      </c>
      <c r="CU40" s="50">
        <f t="shared" si="57"/>
        <v>9.7808156437157789E-2</v>
      </c>
      <c r="CV40" s="50">
        <f t="shared" si="57"/>
        <v>8.6827702272695095E-2</v>
      </c>
      <c r="CW40" s="50">
        <f>CW34/CV34-1</f>
        <v>0.13866243322901561</v>
      </c>
    </row>
    <row r="42" spans="2:161">
      <c r="B42" s="38" t="s">
        <v>57</v>
      </c>
      <c r="AW42" s="50">
        <f t="shared" ref="AW42:BP42" si="58">AW29/AW34</f>
        <v>0.45846594912412836</v>
      </c>
      <c r="AX42" s="50">
        <f t="shared" si="58"/>
        <v>0.4699845940935321</v>
      </c>
      <c r="AY42" s="50">
        <f t="shared" si="58"/>
        <v>0.46438394732852534</v>
      </c>
      <c r="AZ42" s="50">
        <f t="shared" si="58"/>
        <v>0.46931350838342295</v>
      </c>
      <c r="BA42" s="50">
        <f t="shared" si="58"/>
        <v>0.45254365983295369</v>
      </c>
      <c r="BB42" s="50">
        <f t="shared" si="58"/>
        <v>0.45585003232062055</v>
      </c>
      <c r="BC42" s="50">
        <f t="shared" si="58"/>
        <v>0.45799932430357199</v>
      </c>
      <c r="BD42" s="50">
        <f t="shared" si="58"/>
        <v>0.46186525058081646</v>
      </c>
      <c r="BE42" s="50">
        <f t="shared" si="58"/>
        <v>0.46658628751231418</v>
      </c>
      <c r="BF42" s="50">
        <f t="shared" si="58"/>
        <v>0.46964196024969507</v>
      </c>
      <c r="BG42" s="50">
        <f t="shared" si="58"/>
        <v>0.48300816302900479</v>
      </c>
      <c r="BH42" s="50">
        <f t="shared" si="58"/>
        <v>0.48629812749842205</v>
      </c>
      <c r="BI42" s="50">
        <f t="shared" si="58"/>
        <v>0.4709186524710906</v>
      </c>
      <c r="BJ42" s="50">
        <f t="shared" si="58"/>
        <v>0.47012224545600773</v>
      </c>
      <c r="BK42" s="50">
        <f t="shared" si="58"/>
        <v>0.47401979320146559</v>
      </c>
      <c r="BL42" s="50">
        <f t="shared" si="58"/>
        <v>0.48656007415131503</v>
      </c>
      <c r="BM42" s="50">
        <f t="shared" si="58"/>
        <v>0.48097195147692423</v>
      </c>
      <c r="BN42" s="50">
        <f t="shared" si="58"/>
        <v>0.48613438436666589</v>
      </c>
      <c r="BO42" s="50">
        <f t="shared" si="58"/>
        <v>0.48872751166900802</v>
      </c>
      <c r="BP42" s="50">
        <f t="shared" si="58"/>
        <v>0.4910904020980833</v>
      </c>
      <c r="BQ42" s="50">
        <f>BQ29/BQ34</f>
        <v>0.48722211139925081</v>
      </c>
      <c r="CS42" s="50">
        <f t="shared" ref="CS42:CV42" si="59">CS29/CS34</f>
        <v>0.46576122984544754</v>
      </c>
      <c r="CT42" s="50">
        <f t="shared" si="59"/>
        <v>0.45744205995256892</v>
      </c>
      <c r="CU42" s="50">
        <f t="shared" si="59"/>
        <v>0.47665077995728972</v>
      </c>
      <c r="CV42" s="50">
        <f t="shared" si="59"/>
        <v>0.47589087620448023</v>
      </c>
      <c r="CW42" s="50">
        <f>CW29/CW34</f>
        <v>0.48696638458593561</v>
      </c>
    </row>
    <row r="43" spans="2:161">
      <c r="B43" s="1" t="s">
        <v>256</v>
      </c>
      <c r="AW43" s="50">
        <f t="shared" ref="AW43:BP43" si="60">AW30/AW34</f>
        <v>0.31208241210913773</v>
      </c>
      <c r="AX43" s="50">
        <f t="shared" si="60"/>
        <v>0.29670731388881638</v>
      </c>
      <c r="AY43" s="50">
        <f t="shared" si="60"/>
        <v>0.30156151863643255</v>
      </c>
      <c r="AZ43" s="50">
        <f t="shared" si="60"/>
        <v>0.30296319730043236</v>
      </c>
      <c r="BA43" s="50">
        <f t="shared" si="60"/>
        <v>0.3078967350037965</v>
      </c>
      <c r="BB43" s="50">
        <f t="shared" si="60"/>
        <v>0.30840336134453783</v>
      </c>
      <c r="BC43" s="50">
        <f t="shared" si="60"/>
        <v>0.30466230535335853</v>
      </c>
      <c r="BD43" s="50">
        <f t="shared" si="60"/>
        <v>0.30737470959176899</v>
      </c>
      <c r="BE43" s="50">
        <f t="shared" si="60"/>
        <v>0.2987310876181794</v>
      </c>
      <c r="BF43" s="50">
        <f t="shared" si="60"/>
        <v>0.29465451675396426</v>
      </c>
      <c r="BG43" s="50">
        <f t="shared" si="60"/>
        <v>0.28150871302032071</v>
      </c>
      <c r="BH43" s="50">
        <f t="shared" si="60"/>
        <v>0.2861613717652009</v>
      </c>
      <c r="BI43" s="50">
        <f t="shared" si="60"/>
        <v>0.30203332998982618</v>
      </c>
      <c r="BJ43" s="50">
        <f t="shared" si="60"/>
        <v>0.29876414133290441</v>
      </c>
      <c r="BK43" s="50">
        <f t="shared" si="60"/>
        <v>0.29547677102212716</v>
      </c>
      <c r="BL43" s="50">
        <f t="shared" si="60"/>
        <v>0.28976943575483721</v>
      </c>
      <c r="BM43" s="50">
        <f t="shared" si="60"/>
        <v>0.29536001191969108</v>
      </c>
      <c r="BN43" s="50">
        <f t="shared" si="60"/>
        <v>0.29127233249156265</v>
      </c>
      <c r="BO43" s="50">
        <f t="shared" si="60"/>
        <v>0.28857570127339466</v>
      </c>
      <c r="BP43" s="50">
        <f t="shared" si="60"/>
        <v>0.29215602939804497</v>
      </c>
      <c r="BQ43" s="50">
        <f>BQ30/BQ34</f>
        <v>0.28728638872265444</v>
      </c>
      <c r="CS43" s="50">
        <f t="shared" ref="CS43:CV43" si="61">CS30/CS34</f>
        <v>0.30335238074367082</v>
      </c>
      <c r="CT43" s="50">
        <f t="shared" si="61"/>
        <v>0.30704828887155183</v>
      </c>
      <c r="CU43" s="50">
        <f t="shared" si="61"/>
        <v>0.29013986904071615</v>
      </c>
      <c r="CV43" s="50">
        <f t="shared" si="61"/>
        <v>0.29616062772858287</v>
      </c>
      <c r="CW43" s="50">
        <f>CW30/CW34</f>
        <v>0.29177642292682093</v>
      </c>
    </row>
    <row r="44" spans="2:161">
      <c r="B44" s="1" t="s">
        <v>257</v>
      </c>
      <c r="AW44" s="50">
        <f t="shared" ref="AW44:BP44" si="62">AW31/AW34</f>
        <v>0.17585461259991739</v>
      </c>
      <c r="AX44" s="50">
        <f t="shared" si="62"/>
        <v>0.18134579732093897</v>
      </c>
      <c r="AY44" s="50">
        <f t="shared" si="62"/>
        <v>0.18318064669828688</v>
      </c>
      <c r="AZ44" s="50">
        <f t="shared" si="62"/>
        <v>0.17415374881366655</v>
      </c>
      <c r="BA44" s="50">
        <f t="shared" si="62"/>
        <v>0.18901182340817876</v>
      </c>
      <c r="BB44" s="50">
        <f t="shared" si="62"/>
        <v>0.18149644473173884</v>
      </c>
      <c r="BC44" s="50">
        <f t="shared" si="62"/>
        <v>0.17975060659111153</v>
      </c>
      <c r="BD44" s="50">
        <f t="shared" si="62"/>
        <v>0.16902754729505476</v>
      </c>
      <c r="BE44" s="50">
        <f t="shared" si="62"/>
        <v>0.17410418902824543</v>
      </c>
      <c r="BF44" s="50">
        <f t="shared" si="62"/>
        <v>0.16804190284853268</v>
      </c>
      <c r="BG44" s="50">
        <f t="shared" si="62"/>
        <v>0.16635789961211139</v>
      </c>
      <c r="BH44" s="50">
        <f t="shared" si="62"/>
        <v>0.15751893540921524</v>
      </c>
      <c r="BI44" s="50">
        <f t="shared" si="62"/>
        <v>0.16738074426469113</v>
      </c>
      <c r="BJ44" s="50">
        <f t="shared" si="62"/>
        <v>0.17060747413007346</v>
      </c>
      <c r="BK44" s="50">
        <f t="shared" si="62"/>
        <v>0.17114990937895244</v>
      </c>
      <c r="BL44" s="50">
        <f t="shared" si="62"/>
        <v>0.16196269261962692</v>
      </c>
      <c r="BM44" s="50">
        <f t="shared" si="62"/>
        <v>0.16500080706241696</v>
      </c>
      <c r="BN44" s="50">
        <f t="shared" si="62"/>
        <v>0.16311864246772556</v>
      </c>
      <c r="BO44" s="50">
        <f t="shared" si="62"/>
        <v>0.16480491231250283</v>
      </c>
      <c r="BP44" s="50">
        <f t="shared" si="62"/>
        <v>0.1571074645741119</v>
      </c>
      <c r="BQ44" s="50">
        <f>BQ31/BQ34</f>
        <v>0.16461644169603476</v>
      </c>
      <c r="CS44" s="50">
        <f t="shared" ref="CS44:CV44" si="63">CS31/CS34</f>
        <v>0.17832978134741709</v>
      </c>
      <c r="CT44" s="50">
        <f t="shared" si="63"/>
        <v>0.17902319930755287</v>
      </c>
      <c r="CU44" s="50">
        <f t="shared" si="63"/>
        <v>0.16625889207880185</v>
      </c>
      <c r="CV44" s="50">
        <f t="shared" si="63"/>
        <v>0.16758297169105449</v>
      </c>
      <c r="CW44" s="50">
        <f>CW31/CW34</f>
        <v>0.16232022353136125</v>
      </c>
    </row>
    <row r="45" spans="2:161">
      <c r="B45" s="1" t="s">
        <v>258</v>
      </c>
      <c r="AW45" s="50">
        <f t="shared" ref="AW45:BP45" si="64">AW32/AW34</f>
        <v>5.2406521052503707E-2</v>
      </c>
      <c r="AX45" s="50">
        <f t="shared" si="64"/>
        <v>4.8019427109173042E-2</v>
      </c>
      <c r="AY45" s="50">
        <f t="shared" si="64"/>
        <v>5.1350356268815109E-2</v>
      </c>
      <c r="AZ45" s="50">
        <f t="shared" si="64"/>
        <v>5.3604696122886569E-2</v>
      </c>
      <c r="BA45" s="50">
        <f t="shared" si="64"/>
        <v>5.2518349784864589E-2</v>
      </c>
      <c r="BB45" s="50">
        <f t="shared" si="64"/>
        <v>5.4363283775048482E-2</v>
      </c>
      <c r="BC45" s="50">
        <f t="shared" si="64"/>
        <v>5.6635646057925614E-2</v>
      </c>
      <c r="BD45" s="50">
        <f t="shared" si="64"/>
        <v>5.9037504148689017E-2</v>
      </c>
      <c r="BE45" s="50">
        <f t="shared" si="64"/>
        <v>5.6490861772360353E-2</v>
      </c>
      <c r="BF45" s="50">
        <f t="shared" si="64"/>
        <v>6.2280261175288801E-2</v>
      </c>
      <c r="BG45" s="50">
        <f t="shared" si="64"/>
        <v>5.9891159613269261E-2</v>
      </c>
      <c r="BH45" s="50">
        <f t="shared" si="64"/>
        <v>6.1224489795918366E-2</v>
      </c>
      <c r="BI45" s="50">
        <f t="shared" si="64"/>
        <v>5.8463610701133449E-2</v>
      </c>
      <c r="BJ45" s="50">
        <f t="shared" si="64"/>
        <v>6.0465926759959251E-2</v>
      </c>
      <c r="BK45" s="50">
        <f t="shared" si="64"/>
        <v>5.9366565397102736E-2</v>
      </c>
      <c r="BL45" s="50">
        <f t="shared" si="64"/>
        <v>5.996987602827019E-2</v>
      </c>
      <c r="BM45" s="50">
        <f t="shared" si="64"/>
        <v>5.7773252709867266E-2</v>
      </c>
      <c r="BN45" s="50">
        <f t="shared" si="64"/>
        <v>5.8270987231833091E-2</v>
      </c>
      <c r="BO45" s="50">
        <f t="shared" si="64"/>
        <v>5.7699279467077536E-2</v>
      </c>
      <c r="BP45" s="50">
        <f t="shared" si="64"/>
        <v>5.9438783443385955E-2</v>
      </c>
      <c r="BQ45" s="50">
        <f>BQ32/BQ34</f>
        <v>5.799366092603675E-2</v>
      </c>
      <c r="CS45" s="50">
        <f t="shared" ref="CS45:CV45" si="65">CS32/CS34</f>
        <v>5.159236715663984E-2</v>
      </c>
      <c r="CT45" s="50">
        <f t="shared" si="65"/>
        <v>5.5908118787285986E-2</v>
      </c>
      <c r="CU45" s="50">
        <f t="shared" si="65"/>
        <v>6.0020648008032924E-2</v>
      </c>
      <c r="CV45" s="50">
        <f t="shared" si="65"/>
        <v>5.9597780047756302E-2</v>
      </c>
      <c r="CW45" s="50">
        <f>CW32/CW34</f>
        <v>5.8334142815512344E-2</v>
      </c>
    </row>
    <row r="46" spans="2:161">
      <c r="B46" s="1" t="s">
        <v>259</v>
      </c>
      <c r="AW46" s="50">
        <f t="shared" ref="AW46:BP46" si="66">AW33/AW34</f>
        <v>1.190505114312787E-3</v>
      </c>
      <c r="AX46" s="50">
        <f t="shared" si="66"/>
        <v>3.9428675875394937E-3</v>
      </c>
      <c r="AY46" s="50">
        <f t="shared" si="66"/>
        <v>-4.7646893205986182E-4</v>
      </c>
      <c r="AZ46" s="50">
        <f t="shared" si="66"/>
        <v>-3.5150620408450207E-5</v>
      </c>
      <c r="BA46" s="50">
        <f t="shared" si="66"/>
        <v>-1.9705680297935424E-3</v>
      </c>
      <c r="BB46" s="50">
        <f t="shared" si="66"/>
        <v>-1.1312217194570136E-4</v>
      </c>
      <c r="BC46" s="50">
        <f t="shared" si="66"/>
        <v>9.5211769403237198E-4</v>
      </c>
      <c r="BD46" s="50">
        <f t="shared" si="66"/>
        <v>2.6949883836707603E-3</v>
      </c>
      <c r="BE46" s="50">
        <f t="shared" si="66"/>
        <v>4.0875740689006188E-3</v>
      </c>
      <c r="BF46" s="50">
        <f t="shared" si="66"/>
        <v>5.3813589725191938E-3</v>
      </c>
      <c r="BG46" s="50">
        <f t="shared" si="66"/>
        <v>9.2340647252938113E-3</v>
      </c>
      <c r="BH46" s="50">
        <f t="shared" si="66"/>
        <v>8.7970755312434257E-3</v>
      </c>
      <c r="BI46" s="50">
        <f t="shared" si="66"/>
        <v>1.2036625732586299E-3</v>
      </c>
      <c r="BJ46" s="50">
        <f t="shared" si="66"/>
        <v>4.0212321055171307E-5</v>
      </c>
      <c r="BK46" s="50">
        <f t="shared" si="66"/>
        <v>-1.303899964794701E-5</v>
      </c>
      <c r="BL46" s="50">
        <f t="shared" si="66"/>
        <v>1.7379214459506431E-3</v>
      </c>
      <c r="BM46" s="50">
        <f t="shared" si="66"/>
        <v>8.9397683110046069E-4</v>
      </c>
      <c r="BN46" s="50">
        <f t="shared" si="66"/>
        <v>1.2036534422128343E-3</v>
      </c>
      <c r="BO46" s="50">
        <f t="shared" si="66"/>
        <v>1.9259527801694838E-4</v>
      </c>
      <c r="BP46" s="50">
        <f t="shared" si="66"/>
        <v>2.0732048637386104E-4</v>
      </c>
      <c r="BQ46" s="50">
        <f>BQ33/BQ34</f>
        <v>2.8813972560232286E-3</v>
      </c>
      <c r="CS46" s="50">
        <f t="shared" ref="CS46:CV46" si="67">CS33/CS34</f>
        <v>9.6424090682474377E-4</v>
      </c>
      <c r="CT46" s="50">
        <f t="shared" si="67"/>
        <v>5.783330810403785E-4</v>
      </c>
      <c r="CU46" s="50">
        <f t="shared" si="67"/>
        <v>6.9298109151593153E-3</v>
      </c>
      <c r="CV46" s="50">
        <f t="shared" si="67"/>
        <v>7.6774432812611829E-4</v>
      </c>
      <c r="CW46" s="50">
        <f>CW33/CW34</f>
        <v>6.0282614036992379E-4</v>
      </c>
    </row>
    <row r="48" spans="2:161" s="2" customFormat="1" ht="15">
      <c r="B48" s="2" t="s">
        <v>53</v>
      </c>
      <c r="C48" s="2">
        <v>5367</v>
      </c>
      <c r="D48" s="2">
        <v>5541</v>
      </c>
      <c r="E48" s="2">
        <v>5509</v>
      </c>
      <c r="F48" s="2">
        <v>5523</v>
      </c>
      <c r="G48" s="2">
        <v>5945</v>
      </c>
      <c r="H48" s="2">
        <v>6674</v>
      </c>
      <c r="I48" s="2">
        <v>6775</v>
      </c>
      <c r="J48" s="2">
        <v>6820</v>
      </c>
      <c r="K48" s="2">
        <v>7286</v>
      </c>
      <c r="L48" s="2">
        <v>8440</v>
      </c>
      <c r="M48" s="2">
        <v>8575</v>
      </c>
      <c r="N48" s="2">
        <v>9026</v>
      </c>
      <c r="O48" s="2">
        <v>9720</v>
      </c>
      <c r="P48" s="2">
        <v>10584</v>
      </c>
      <c r="Q48" s="2">
        <v>10645</v>
      </c>
      <c r="R48" s="2">
        <v>11807</v>
      </c>
      <c r="S48" s="2">
        <v>13304</v>
      </c>
      <c r="T48" s="2">
        <v>10283</v>
      </c>
      <c r="U48" s="2">
        <v>12951</v>
      </c>
      <c r="V48" s="2">
        <v>13107</v>
      </c>
      <c r="W48" s="2">
        <v>13754</v>
      </c>
      <c r="X48" s="2">
        <v>15707</v>
      </c>
      <c r="Y48" s="2">
        <v>15420</v>
      </c>
      <c r="Z48" s="2">
        <v>15955</v>
      </c>
      <c r="AA48" s="2">
        <v>16523</v>
      </c>
      <c r="AB48" s="2">
        <v>18103</v>
      </c>
      <c r="AC48" s="2">
        <v>17258</v>
      </c>
      <c r="AD48" s="2">
        <v>17727</v>
      </c>
      <c r="AE48" s="2">
        <v>18675</v>
      </c>
      <c r="AF48" s="2">
        <v>21329</v>
      </c>
      <c r="AG48" s="2">
        <v>20257</v>
      </c>
      <c r="AH48" s="2">
        <v>21500</v>
      </c>
      <c r="AI48" s="2">
        <v>22451</v>
      </c>
      <c r="AJ48" s="2">
        <v>26064</v>
      </c>
      <c r="AK48" s="2">
        <v>24750</v>
      </c>
      <c r="AL48" s="2">
        <v>26010</v>
      </c>
      <c r="AM48" s="2">
        <v>27772</v>
      </c>
      <c r="AN48" s="2">
        <v>32323</v>
      </c>
      <c r="AO48" s="2">
        <v>31146</v>
      </c>
      <c r="AP48" s="2">
        <v>32657</v>
      </c>
      <c r="AQ48" s="2">
        <v>33740</v>
      </c>
      <c r="AR48" s="2">
        <v>39276</v>
      </c>
      <c r="AS48" s="2">
        <v>36339</v>
      </c>
      <c r="AT48" s="2">
        <v>38944</v>
      </c>
      <c r="AU48" s="2">
        <v>40499</v>
      </c>
      <c r="AV48" s="2">
        <v>46075</v>
      </c>
      <c r="AW48" s="2">
        <f>AW12</f>
        <v>41159</v>
      </c>
      <c r="AX48" s="2">
        <f>AX12</f>
        <v>38297</v>
      </c>
      <c r="AY48" s="2">
        <f>AY12</f>
        <v>46173</v>
      </c>
      <c r="AZ48" s="2">
        <f>AZ12</f>
        <v>56898</v>
      </c>
      <c r="BA48" s="2">
        <f>BA12</f>
        <v>55314</v>
      </c>
      <c r="BB48" s="2">
        <f>BB12</f>
        <v>61880</v>
      </c>
      <c r="BC48" s="2">
        <f>BC12</f>
        <v>65118</v>
      </c>
      <c r="BD48" s="2">
        <f>BD12</f>
        <v>75325</v>
      </c>
      <c r="BE48" s="2">
        <f>BE12</f>
        <v>68011</v>
      </c>
      <c r="BF48" s="2">
        <f>BF12</f>
        <v>69685</v>
      </c>
      <c r="BG48" s="2">
        <f>BG12</f>
        <v>69092</v>
      </c>
      <c r="BH48" s="2">
        <f>BH12</f>
        <v>76048</v>
      </c>
      <c r="BI48" s="2">
        <f>BI12</f>
        <v>69787</v>
      </c>
      <c r="BJ48" s="2">
        <f>BJ12</f>
        <v>74604</v>
      </c>
      <c r="BK48" s="2">
        <f>BK12</f>
        <v>76693</v>
      </c>
      <c r="BL48" s="2">
        <f>BL12</f>
        <v>86310</v>
      </c>
      <c r="BM48" s="2">
        <f>BM12</f>
        <v>80539</v>
      </c>
      <c r="BN48" s="2">
        <f>BN12</f>
        <v>84742</v>
      </c>
      <c r="BO48" s="2">
        <f>BO12</f>
        <v>88268</v>
      </c>
      <c r="BP48" s="2">
        <f>BP12</f>
        <v>96469</v>
      </c>
      <c r="BQ48" s="2">
        <f>BQ12</f>
        <v>90234</v>
      </c>
      <c r="BR48" s="34">
        <v>93690</v>
      </c>
      <c r="BS48" s="34">
        <v>97060</v>
      </c>
      <c r="BT48" s="34">
        <v>106460</v>
      </c>
      <c r="BU48" s="34">
        <v>99110</v>
      </c>
      <c r="BV48" s="34">
        <v>103130</v>
      </c>
      <c r="BW48" s="34">
        <v>106880</v>
      </c>
      <c r="BX48" s="34">
        <v>117030</v>
      </c>
      <c r="BY48" s="34">
        <v>108560</v>
      </c>
      <c r="BZ48" s="34"/>
      <c r="CA48" s="34"/>
      <c r="CB48" s="34"/>
      <c r="CC48" s="34"/>
      <c r="CH48" s="2">
        <f>SUM(E48:H48)</f>
        <v>23651</v>
      </c>
      <c r="CI48" s="2">
        <f>SUM(I48:L48)</f>
        <v>29321</v>
      </c>
      <c r="CJ48" s="2">
        <f>SUM(M48:P48)</f>
        <v>37905</v>
      </c>
      <c r="CK48" s="2">
        <f>SUM(Q48:T48)</f>
        <v>46039</v>
      </c>
      <c r="CL48" s="2">
        <f>SUM(U48:X48)</f>
        <v>55519</v>
      </c>
      <c r="CM48" s="2">
        <f>SUM(Y48:AB48)</f>
        <v>66001</v>
      </c>
      <c r="CN48" s="2">
        <f>SUM(AC48:AF48)</f>
        <v>74989</v>
      </c>
      <c r="CO48" s="2">
        <f>SUM(AG48:AJ48)</f>
        <v>90272</v>
      </c>
      <c r="CP48" s="2">
        <f>SUM(AK48:AN48)</f>
        <v>110855</v>
      </c>
      <c r="CQ48" s="2">
        <f>SUM(AO48:AR48)</f>
        <v>136819</v>
      </c>
      <c r="CR48" s="2">
        <f>SUM(AS48:AV48)</f>
        <v>161857</v>
      </c>
      <c r="CS48" s="2">
        <f t="shared" ref="CS48:CS61" si="68">SUM(AW48:AZ48)</f>
        <v>182527</v>
      </c>
      <c r="CT48" s="2">
        <f t="shared" ref="CT48:CT61" si="69">SUM(BA48:BD48)</f>
        <v>257637</v>
      </c>
      <c r="CU48" s="2">
        <f t="shared" ref="CU48:CU61" si="70">SUM(BE48:BH48)</f>
        <v>282836</v>
      </c>
      <c r="CV48" s="2">
        <f t="shared" ref="CV48:CV61" si="71">SUM(BI48:BL48)</f>
        <v>307394</v>
      </c>
      <c r="CW48" s="2">
        <f t="shared" ref="CW48:CW61" si="72">SUM(BM48:BP48)</f>
        <v>350018</v>
      </c>
      <c r="CX48" s="120">
        <f>CX12</f>
        <v>387628.71</v>
      </c>
      <c r="CY48" s="120">
        <f t="shared" ref="CY48:DG48" si="73">CY12</f>
        <v>427908.69559999998</v>
      </c>
      <c r="CZ48" s="120">
        <f t="shared" si="73"/>
        <v>462851.00537599996</v>
      </c>
      <c r="DA48" s="120">
        <f t="shared" si="73"/>
        <v>498420.72837196989</v>
      </c>
      <c r="DB48" s="120">
        <f t="shared" si="73"/>
        <v>533719.25585333561</v>
      </c>
      <c r="DC48" s="120">
        <f t="shared" si="73"/>
        <v>569515.38447212987</v>
      </c>
      <c r="DD48" s="120">
        <f t="shared" si="73"/>
        <v>605674.60763015109</v>
      </c>
      <c r="DE48" s="120">
        <f t="shared" si="73"/>
        <v>641981.83678258117</v>
      </c>
      <c r="DF48" s="120">
        <f t="shared" si="73"/>
        <v>678227.10371978325</v>
      </c>
      <c r="DG48" s="120">
        <f t="shared" si="73"/>
        <v>714304.93286669056</v>
      </c>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row>
    <row r="49" spans="2:161">
      <c r="B49" s="1" t="s">
        <v>59</v>
      </c>
      <c r="C49" s="1">
        <v>2148</v>
      </c>
      <c r="D49" s="1">
        <v>2173</v>
      </c>
      <c r="E49" s="1">
        <v>2102</v>
      </c>
      <c r="F49" s="1">
        <v>2108</v>
      </c>
      <c r="G49" s="1">
        <v>2226</v>
      </c>
      <c r="H49" s="1">
        <v>2408</v>
      </c>
      <c r="I49" s="1">
        <v>2452</v>
      </c>
      <c r="J49" s="1">
        <v>2467</v>
      </c>
      <c r="K49" s="1">
        <v>2552</v>
      </c>
      <c r="L49" s="1">
        <v>2946</v>
      </c>
      <c r="M49" s="1">
        <v>2936</v>
      </c>
      <c r="N49" s="1">
        <v>3172</v>
      </c>
      <c r="O49" s="1">
        <v>3378</v>
      </c>
      <c r="P49" s="1">
        <v>3702</v>
      </c>
      <c r="Q49" s="1">
        <v>3789</v>
      </c>
      <c r="R49" s="1">
        <v>4677</v>
      </c>
      <c r="S49" s="1">
        <v>5955</v>
      </c>
      <c r="T49" s="1">
        <v>2755</v>
      </c>
      <c r="U49" s="1">
        <v>5136</v>
      </c>
      <c r="V49" s="1">
        <v>5195</v>
      </c>
      <c r="W49" s="1">
        <v>5409</v>
      </c>
      <c r="X49" s="1">
        <v>6253</v>
      </c>
      <c r="Y49" s="1">
        <v>5961</v>
      </c>
      <c r="Z49" s="1">
        <v>6114</v>
      </c>
      <c r="AA49" s="1">
        <v>6695</v>
      </c>
      <c r="AB49" s="1">
        <v>6921</v>
      </c>
      <c r="AC49" s="1">
        <v>6356</v>
      </c>
      <c r="AD49" s="1">
        <v>6583</v>
      </c>
      <c r="AE49" s="1">
        <v>7037</v>
      </c>
      <c r="AF49" s="1">
        <v>8188</v>
      </c>
      <c r="AG49" s="1">
        <v>7648</v>
      </c>
      <c r="AH49" s="1">
        <v>8130</v>
      </c>
      <c r="AI49" s="1">
        <v>8699</v>
      </c>
      <c r="AJ49" s="1">
        <v>10661</v>
      </c>
      <c r="AK49" s="1">
        <v>9795</v>
      </c>
      <c r="AL49" s="1">
        <v>10373</v>
      </c>
      <c r="AM49" s="1">
        <v>11148</v>
      </c>
      <c r="AN49" s="1">
        <v>14267</v>
      </c>
      <c r="AO49" s="1">
        <v>13467</v>
      </c>
      <c r="AP49" s="1">
        <v>13883</v>
      </c>
      <c r="AQ49" s="1">
        <v>14281</v>
      </c>
      <c r="AR49" s="1">
        <v>17918</v>
      </c>
      <c r="AS49" s="1">
        <v>16012</v>
      </c>
      <c r="AT49" s="1">
        <v>17296</v>
      </c>
      <c r="AU49" s="1">
        <v>17568</v>
      </c>
      <c r="AV49" s="1">
        <v>21020</v>
      </c>
      <c r="AW49" s="1">
        <v>18982</v>
      </c>
      <c r="AX49" s="1">
        <v>18553</v>
      </c>
      <c r="AY49" s="1">
        <v>21117</v>
      </c>
      <c r="AZ49" s="1">
        <f>84732-SUM(AW49:AY49)</f>
        <v>26080</v>
      </c>
      <c r="BA49" s="1">
        <v>24103</v>
      </c>
      <c r="BB49" s="1">
        <v>26227</v>
      </c>
      <c r="BC49" s="1">
        <v>27621</v>
      </c>
      <c r="BD49" s="1">
        <f>110939-SUM(BA49:BC49)</f>
        <v>32988</v>
      </c>
      <c r="BE49" s="1">
        <v>29599</v>
      </c>
      <c r="BF49" s="1">
        <v>30104</v>
      </c>
      <c r="BG49" s="1">
        <v>31158</v>
      </c>
      <c r="BH49" s="1">
        <f>126203-SUM(BE49:BG49)</f>
        <v>35342</v>
      </c>
      <c r="BI49" s="1">
        <v>30612</v>
      </c>
      <c r="BJ49" s="1">
        <v>31916</v>
      </c>
      <c r="BK49" s="1">
        <v>33229</v>
      </c>
      <c r="BL49" s="1">
        <f>133332-SUM(BI49:BK49)</f>
        <v>37575</v>
      </c>
      <c r="BM49" s="1">
        <v>33712</v>
      </c>
      <c r="BN49" s="1">
        <v>35507</v>
      </c>
      <c r="BO49" s="1">
        <v>36474</v>
      </c>
      <c r="BP49" s="1">
        <f>146306-SUM(BM49:BO49)</f>
        <v>40613</v>
      </c>
      <c r="BQ49" s="1">
        <v>36361</v>
      </c>
      <c r="CH49" s="1">
        <f t="shared" ref="CH49:CH61" si="74">SUM(E49:H49)</f>
        <v>8844</v>
      </c>
      <c r="CI49" s="1">
        <f t="shared" ref="CI49:CI61" si="75">SUM(I49:L49)</f>
        <v>10417</v>
      </c>
      <c r="CJ49" s="1">
        <f t="shared" ref="CJ49:CJ61" si="76">SUM(M49:P49)</f>
        <v>13188</v>
      </c>
      <c r="CK49" s="1">
        <f t="shared" ref="CK49:CK61" si="77">SUM(Q49:T49)</f>
        <v>17176</v>
      </c>
      <c r="CL49" s="1">
        <f t="shared" ref="CL49:CL61" si="78">SUM(U49:X49)</f>
        <v>21993</v>
      </c>
      <c r="CM49" s="1">
        <f t="shared" ref="CM49:CM61" si="79">SUM(Y49:AB49)</f>
        <v>25691</v>
      </c>
      <c r="CN49" s="1">
        <f t="shared" ref="CN49:CN61" si="80">SUM(AC49:AF49)</f>
        <v>28164</v>
      </c>
      <c r="CO49" s="1">
        <f t="shared" ref="CO49:CO61" si="81">SUM(AG49:AJ49)</f>
        <v>35138</v>
      </c>
      <c r="CP49" s="1">
        <f t="shared" ref="CP49:CP61" si="82">SUM(AK49:AN49)</f>
        <v>45583</v>
      </c>
      <c r="CQ49" s="1">
        <f t="shared" ref="CQ49:CQ61" si="83">SUM(AO49:AR49)</f>
        <v>59549</v>
      </c>
      <c r="CR49" s="1">
        <f t="shared" ref="CR49:CR61" si="84">SUM(AS49:AV49)</f>
        <v>71896</v>
      </c>
      <c r="CS49" s="1">
        <f t="shared" si="68"/>
        <v>84732</v>
      </c>
      <c r="CT49" s="1">
        <f t="shared" si="69"/>
        <v>110939</v>
      </c>
      <c r="CU49" s="1">
        <f t="shared" si="70"/>
        <v>126203</v>
      </c>
      <c r="CV49" s="1">
        <f t="shared" si="71"/>
        <v>133332</v>
      </c>
      <c r="CW49" s="1">
        <f t="shared" si="72"/>
        <v>146306</v>
      </c>
      <c r="CX49" s="119">
        <f>CX48*(1-CX63)</f>
        <v>153888.59787000003</v>
      </c>
      <c r="CY49" s="119">
        <f t="shared" ref="CY49:DG49" si="85">CY48*(1-CY63)</f>
        <v>169023.93476199999</v>
      </c>
      <c r="CZ49" s="119">
        <f t="shared" si="85"/>
        <v>181900.44511276798</v>
      </c>
      <c r="DA49" s="119">
        <f t="shared" si="85"/>
        <v>194882.50479344022</v>
      </c>
      <c r="DB49" s="119">
        <f t="shared" si="85"/>
        <v>207616.79052694756</v>
      </c>
      <c r="DC49" s="119">
        <f t="shared" si="85"/>
        <v>220402.45379071427</v>
      </c>
      <c r="DD49" s="119">
        <f t="shared" si="85"/>
        <v>233184.72393760819</v>
      </c>
      <c r="DE49" s="119">
        <f t="shared" si="85"/>
        <v>245879.0434877286</v>
      </c>
      <c r="DF49" s="119">
        <f t="shared" si="85"/>
        <v>258404.52651723742</v>
      </c>
      <c r="DG49" s="119">
        <f t="shared" si="85"/>
        <v>271435.87448934244</v>
      </c>
    </row>
    <row r="50" spans="2:161">
      <c r="B50" s="1" t="s">
        <v>60</v>
      </c>
      <c r="C50" s="1">
        <f t="shared" ref="C50:BO50" si="86">C48-C49</f>
        <v>3219</v>
      </c>
      <c r="D50" s="1">
        <f t="shared" si="86"/>
        <v>3368</v>
      </c>
      <c r="E50" s="1">
        <f t="shared" si="86"/>
        <v>3407</v>
      </c>
      <c r="F50" s="1">
        <f t="shared" si="86"/>
        <v>3415</v>
      </c>
      <c r="G50" s="1">
        <f t="shared" si="86"/>
        <v>3719</v>
      </c>
      <c r="H50" s="1">
        <f t="shared" si="86"/>
        <v>4266</v>
      </c>
      <c r="I50" s="1">
        <f t="shared" si="86"/>
        <v>4323</v>
      </c>
      <c r="J50" s="1">
        <f t="shared" si="86"/>
        <v>4353</v>
      </c>
      <c r="K50" s="1">
        <f t="shared" si="86"/>
        <v>4734</v>
      </c>
      <c r="L50" s="1">
        <f t="shared" si="86"/>
        <v>5494</v>
      </c>
      <c r="M50" s="1">
        <f t="shared" si="86"/>
        <v>5639</v>
      </c>
      <c r="N50" s="1">
        <f t="shared" si="86"/>
        <v>5854</v>
      </c>
      <c r="O50" s="1">
        <f t="shared" si="86"/>
        <v>6342</v>
      </c>
      <c r="P50" s="1">
        <f t="shared" si="86"/>
        <v>6882</v>
      </c>
      <c r="Q50" s="1">
        <f t="shared" si="86"/>
        <v>6856</v>
      </c>
      <c r="R50" s="1">
        <f t="shared" si="86"/>
        <v>7130</v>
      </c>
      <c r="S50" s="1">
        <f t="shared" si="86"/>
        <v>7349</v>
      </c>
      <c r="T50" s="1">
        <f t="shared" si="86"/>
        <v>7528</v>
      </c>
      <c r="U50" s="1">
        <f t="shared" si="86"/>
        <v>7815</v>
      </c>
      <c r="V50" s="1">
        <f t="shared" si="86"/>
        <v>7912</v>
      </c>
      <c r="W50" s="1">
        <f t="shared" si="86"/>
        <v>8345</v>
      </c>
      <c r="X50" s="1">
        <f t="shared" si="86"/>
        <v>9454</v>
      </c>
      <c r="Y50" s="1">
        <f t="shared" si="86"/>
        <v>9459</v>
      </c>
      <c r="Z50" s="1">
        <f t="shared" si="86"/>
        <v>9841</v>
      </c>
      <c r="AA50" s="1">
        <f t="shared" si="86"/>
        <v>9828</v>
      </c>
      <c r="AB50" s="1">
        <f t="shared" si="86"/>
        <v>11182</v>
      </c>
      <c r="AC50" s="1">
        <f t="shared" si="86"/>
        <v>10902</v>
      </c>
      <c r="AD50" s="1">
        <f t="shared" si="86"/>
        <v>11144</v>
      </c>
      <c r="AE50" s="1">
        <f t="shared" si="86"/>
        <v>11638</v>
      </c>
      <c r="AF50" s="1">
        <f t="shared" si="86"/>
        <v>13141</v>
      </c>
      <c r="AG50" s="1">
        <f t="shared" si="86"/>
        <v>12609</v>
      </c>
      <c r="AH50" s="1">
        <f t="shared" si="86"/>
        <v>13370</v>
      </c>
      <c r="AI50" s="1">
        <f t="shared" si="86"/>
        <v>13752</v>
      </c>
      <c r="AJ50" s="1">
        <f t="shared" si="86"/>
        <v>15403</v>
      </c>
      <c r="AK50" s="1">
        <f t="shared" si="86"/>
        <v>14955</v>
      </c>
      <c r="AL50" s="1">
        <f t="shared" si="86"/>
        <v>15637</v>
      </c>
      <c r="AM50" s="1">
        <f t="shared" si="86"/>
        <v>16624</v>
      </c>
      <c r="AN50" s="1">
        <f t="shared" si="86"/>
        <v>18056</v>
      </c>
      <c r="AO50" s="1">
        <f t="shared" si="86"/>
        <v>17679</v>
      </c>
      <c r="AP50" s="1">
        <f t="shared" si="86"/>
        <v>18774</v>
      </c>
      <c r="AQ50" s="1">
        <f t="shared" si="86"/>
        <v>19459</v>
      </c>
      <c r="AR50" s="1">
        <f t="shared" si="86"/>
        <v>21358</v>
      </c>
      <c r="AS50" s="1">
        <f t="shared" si="86"/>
        <v>20327</v>
      </c>
      <c r="AT50" s="1">
        <f t="shared" si="86"/>
        <v>21648</v>
      </c>
      <c r="AU50" s="1">
        <f t="shared" si="86"/>
        <v>22931</v>
      </c>
      <c r="AV50" s="1">
        <f t="shared" si="86"/>
        <v>25055</v>
      </c>
      <c r="AW50" s="1">
        <f t="shared" si="86"/>
        <v>22177</v>
      </c>
      <c r="AX50" s="1">
        <f t="shared" si="86"/>
        <v>19744</v>
      </c>
      <c r="AY50" s="1">
        <f t="shared" si="86"/>
        <v>25056</v>
      </c>
      <c r="AZ50" s="1">
        <f t="shared" si="86"/>
        <v>30818</v>
      </c>
      <c r="BA50" s="1">
        <f t="shared" si="86"/>
        <v>31211</v>
      </c>
      <c r="BB50" s="1">
        <f t="shared" si="86"/>
        <v>35653</v>
      </c>
      <c r="BC50" s="1">
        <f t="shared" si="86"/>
        <v>37497</v>
      </c>
      <c r="BD50" s="1">
        <f t="shared" si="86"/>
        <v>42337</v>
      </c>
      <c r="BE50" s="1">
        <f t="shared" si="86"/>
        <v>38412</v>
      </c>
      <c r="BF50" s="1">
        <f t="shared" si="86"/>
        <v>39581</v>
      </c>
      <c r="BG50" s="1">
        <f t="shared" si="86"/>
        <v>37934</v>
      </c>
      <c r="BH50" s="1">
        <f t="shared" si="86"/>
        <v>40706</v>
      </c>
      <c r="BI50" s="1">
        <f t="shared" si="86"/>
        <v>39175</v>
      </c>
      <c r="BJ50" s="1">
        <f t="shared" si="86"/>
        <v>42688</v>
      </c>
      <c r="BK50" s="1">
        <f t="shared" si="86"/>
        <v>43464</v>
      </c>
      <c r="BL50" s="1">
        <f t="shared" si="86"/>
        <v>48735</v>
      </c>
      <c r="BM50" s="1">
        <f t="shared" si="86"/>
        <v>46827</v>
      </c>
      <c r="BN50" s="1">
        <f t="shared" si="86"/>
        <v>49235</v>
      </c>
      <c r="BO50" s="1">
        <f t="shared" si="86"/>
        <v>51794</v>
      </c>
      <c r="BP50" s="1">
        <f t="shared" ref="BP50" si="87">BP48-BP49</f>
        <v>55856</v>
      </c>
      <c r="BQ50" s="1">
        <f>BQ48-BQ49</f>
        <v>53873</v>
      </c>
      <c r="CH50" s="1">
        <f t="shared" si="74"/>
        <v>14807</v>
      </c>
      <c r="CI50" s="1">
        <f t="shared" si="75"/>
        <v>18904</v>
      </c>
      <c r="CJ50" s="1">
        <f t="shared" si="76"/>
        <v>24717</v>
      </c>
      <c r="CK50" s="1">
        <f t="shared" si="77"/>
        <v>28863</v>
      </c>
      <c r="CL50" s="1">
        <f t="shared" si="78"/>
        <v>33526</v>
      </c>
      <c r="CM50" s="1">
        <f t="shared" si="79"/>
        <v>40310</v>
      </c>
      <c r="CN50" s="1">
        <f t="shared" si="80"/>
        <v>46825</v>
      </c>
      <c r="CO50" s="1">
        <f t="shared" si="81"/>
        <v>55134</v>
      </c>
      <c r="CP50" s="1">
        <f t="shared" si="82"/>
        <v>65272</v>
      </c>
      <c r="CQ50" s="1">
        <f t="shared" si="83"/>
        <v>77270</v>
      </c>
      <c r="CR50" s="1">
        <f t="shared" si="84"/>
        <v>89961</v>
      </c>
      <c r="CS50" s="1">
        <f t="shared" si="68"/>
        <v>97795</v>
      </c>
      <c r="CT50" s="1">
        <f t="shared" si="69"/>
        <v>146698</v>
      </c>
      <c r="CU50" s="1">
        <f t="shared" si="70"/>
        <v>156633</v>
      </c>
      <c r="CV50" s="1">
        <f t="shared" si="71"/>
        <v>174062</v>
      </c>
      <c r="CW50" s="1">
        <f t="shared" si="72"/>
        <v>203712</v>
      </c>
      <c r="CX50" s="119">
        <f>CX48-CX49</f>
        <v>233740.11212999999</v>
      </c>
      <c r="CY50" s="119">
        <f t="shared" ref="CY50:DG50" si="88">CY48-CY49</f>
        <v>258884.76083799999</v>
      </c>
      <c r="CZ50" s="119">
        <f t="shared" si="88"/>
        <v>280950.56026323198</v>
      </c>
      <c r="DA50" s="119">
        <f t="shared" si="88"/>
        <v>303538.22357852967</v>
      </c>
      <c r="DB50" s="119">
        <f t="shared" si="88"/>
        <v>326102.46532638802</v>
      </c>
      <c r="DC50" s="119">
        <f t="shared" si="88"/>
        <v>349112.9306814156</v>
      </c>
      <c r="DD50" s="119">
        <f t="shared" si="88"/>
        <v>372489.88369254291</v>
      </c>
      <c r="DE50" s="119">
        <f t="shared" si="88"/>
        <v>396102.7932948526</v>
      </c>
      <c r="DF50" s="119">
        <f t="shared" si="88"/>
        <v>419822.57720254583</v>
      </c>
      <c r="DG50" s="119">
        <f t="shared" si="88"/>
        <v>442869.05837734812</v>
      </c>
    </row>
    <row r="51" spans="2:161">
      <c r="B51" s="1" t="s">
        <v>269</v>
      </c>
      <c r="C51" s="1">
        <v>681</v>
      </c>
      <c r="D51" s="1">
        <v>705</v>
      </c>
      <c r="E51" s="1">
        <v>642</v>
      </c>
      <c r="F51" s="1">
        <v>708</v>
      </c>
      <c r="G51" s="1">
        <v>758</v>
      </c>
      <c r="H51" s="1">
        <v>735</v>
      </c>
      <c r="I51" s="1">
        <v>818</v>
      </c>
      <c r="J51" s="1">
        <v>898</v>
      </c>
      <c r="K51" s="1">
        <v>994</v>
      </c>
      <c r="L51" s="1">
        <v>1052</v>
      </c>
      <c r="M51" s="1">
        <v>1226</v>
      </c>
      <c r="N51" s="1">
        <v>1234</v>
      </c>
      <c r="O51" s="1">
        <v>1404</v>
      </c>
      <c r="P51" s="1">
        <v>1298</v>
      </c>
      <c r="Q51" s="1">
        <v>1441</v>
      </c>
      <c r="R51" s="1">
        <v>1538</v>
      </c>
      <c r="S51" s="1">
        <v>1879</v>
      </c>
      <c r="T51" s="1">
        <v>1225</v>
      </c>
      <c r="U51" s="1">
        <v>1617</v>
      </c>
      <c r="V51" s="1">
        <v>1766</v>
      </c>
      <c r="W51" s="1">
        <v>1821</v>
      </c>
      <c r="X51" s="1">
        <v>1933</v>
      </c>
      <c r="Y51" s="1">
        <v>2126</v>
      </c>
      <c r="Z51" s="1">
        <v>2238</v>
      </c>
      <c r="AA51" s="1">
        <v>2655</v>
      </c>
      <c r="AB51" s="1">
        <v>2813</v>
      </c>
      <c r="AC51" s="1">
        <v>2753</v>
      </c>
      <c r="AD51" s="1">
        <v>2789</v>
      </c>
      <c r="AE51" s="1">
        <v>3230</v>
      </c>
      <c r="AF51" s="1">
        <v>3510</v>
      </c>
      <c r="AG51" s="1">
        <v>3367</v>
      </c>
      <c r="AH51" s="1">
        <v>3363</v>
      </c>
      <c r="AI51" s="1">
        <v>3596</v>
      </c>
      <c r="AJ51" s="1">
        <v>3622</v>
      </c>
      <c r="AK51" s="1">
        <v>3942</v>
      </c>
      <c r="AL51" s="1">
        <v>4172</v>
      </c>
      <c r="AM51" s="1">
        <v>4205</v>
      </c>
      <c r="AN51" s="1">
        <v>4306</v>
      </c>
      <c r="AO51" s="1">
        <v>5039</v>
      </c>
      <c r="AP51" s="1">
        <v>5114</v>
      </c>
      <c r="AQ51" s="1">
        <v>5232</v>
      </c>
      <c r="AR51" s="1">
        <v>6034</v>
      </c>
      <c r="AS51" s="1">
        <v>6029</v>
      </c>
      <c r="AT51" s="1">
        <v>6213</v>
      </c>
      <c r="AU51" s="1">
        <v>6554</v>
      </c>
      <c r="AV51" s="1">
        <v>7222</v>
      </c>
      <c r="AW51" s="1">
        <v>6820</v>
      </c>
      <c r="AX51" s="1">
        <v>6875</v>
      </c>
      <c r="AY51" s="1">
        <v>6856</v>
      </c>
      <c r="AZ51" s="1">
        <f>27573-SUM(AW51:AY51)</f>
        <v>7022</v>
      </c>
      <c r="BA51" s="1">
        <v>7485</v>
      </c>
      <c r="BB51" s="1">
        <v>7675</v>
      </c>
      <c r="BC51" s="1">
        <v>7694</v>
      </c>
      <c r="BD51" s="1">
        <f>31562-SUM(BA51:BC51)</f>
        <v>8708</v>
      </c>
      <c r="BE51" s="1">
        <v>9119</v>
      </c>
      <c r="BF51" s="1">
        <v>9841</v>
      </c>
      <c r="BG51" s="1">
        <v>10273</v>
      </c>
      <c r="BH51" s="1">
        <f>39500-SUM(BE51:BG51)</f>
        <v>10267</v>
      </c>
      <c r="BI51" s="1">
        <v>11468</v>
      </c>
      <c r="BJ51" s="1">
        <v>10588</v>
      </c>
      <c r="BK51" s="1">
        <v>11258</v>
      </c>
      <c r="BL51" s="1">
        <f>45427-SUM(BI51:BK51)</f>
        <v>12113</v>
      </c>
      <c r="BM51" s="1">
        <v>11903</v>
      </c>
      <c r="BN51" s="1">
        <v>11860</v>
      </c>
      <c r="BO51" s="1">
        <v>12447</v>
      </c>
      <c r="BP51" s="1">
        <f>49326-SUM(BM51:BO51)</f>
        <v>13116</v>
      </c>
      <c r="BQ51" s="1">
        <v>13556</v>
      </c>
      <c r="CH51" s="1">
        <f t="shared" si="74"/>
        <v>2843</v>
      </c>
      <c r="CI51" s="1">
        <f t="shared" si="75"/>
        <v>3762</v>
      </c>
      <c r="CJ51" s="1">
        <f t="shared" si="76"/>
        <v>5162</v>
      </c>
      <c r="CK51" s="1">
        <f t="shared" si="77"/>
        <v>6083</v>
      </c>
      <c r="CL51" s="1">
        <f t="shared" si="78"/>
        <v>7137</v>
      </c>
      <c r="CM51" s="1">
        <f t="shared" si="79"/>
        <v>9832</v>
      </c>
      <c r="CN51" s="1">
        <f t="shared" si="80"/>
        <v>12282</v>
      </c>
      <c r="CO51" s="1">
        <f t="shared" si="81"/>
        <v>13948</v>
      </c>
      <c r="CP51" s="1">
        <f t="shared" si="82"/>
        <v>16625</v>
      </c>
      <c r="CQ51" s="1">
        <f t="shared" si="83"/>
        <v>21419</v>
      </c>
      <c r="CR51" s="1">
        <f t="shared" si="84"/>
        <v>26018</v>
      </c>
      <c r="CS51" s="1">
        <f t="shared" si="68"/>
        <v>27573</v>
      </c>
      <c r="CT51" s="1">
        <f t="shared" si="69"/>
        <v>31562</v>
      </c>
      <c r="CU51" s="1">
        <f t="shared" si="70"/>
        <v>39500</v>
      </c>
      <c r="CV51" s="1">
        <f t="shared" si="71"/>
        <v>45427</v>
      </c>
      <c r="CW51" s="1">
        <f t="shared" si="72"/>
        <v>49326</v>
      </c>
      <c r="CX51" s="119">
        <f>CX48*CX64</f>
        <v>60082.450049999999</v>
      </c>
      <c r="CY51" s="119">
        <f t="shared" ref="CY51:DG51" si="89">CY48*CY64</f>
        <v>68465.391296000002</v>
      </c>
      <c r="CZ51" s="119">
        <f t="shared" si="89"/>
        <v>74056.160860160002</v>
      </c>
      <c r="DA51" s="119">
        <f t="shared" si="89"/>
        <v>74763.109255795483</v>
      </c>
      <c r="DB51" s="119">
        <f t="shared" si="89"/>
        <v>80057.888378000338</v>
      </c>
      <c r="DC51" s="119">
        <f t="shared" si="89"/>
        <v>79732.153826098191</v>
      </c>
      <c r="DD51" s="119">
        <f t="shared" si="89"/>
        <v>84794.445068221161</v>
      </c>
      <c r="DE51" s="119">
        <f t="shared" si="89"/>
        <v>83457.638781735557</v>
      </c>
      <c r="DF51" s="119">
        <f t="shared" si="89"/>
        <v>81387.252446373983</v>
      </c>
      <c r="DG51" s="119">
        <f t="shared" si="89"/>
        <v>85716.591944002867</v>
      </c>
    </row>
    <row r="52" spans="2:161">
      <c r="B52" s="1" t="s">
        <v>271</v>
      </c>
      <c r="C52" s="53">
        <f>1642-C51-C53</f>
        <v>486.1</v>
      </c>
      <c r="D52" s="53">
        <f>1720-D51-D53</f>
        <v>507.9</v>
      </c>
      <c r="E52" s="1">
        <f>1523-E51-E53</f>
        <v>434</v>
      </c>
      <c r="F52" s="1">
        <f>1541-F51-F53</f>
        <v>469</v>
      </c>
      <c r="G52" s="1">
        <f>1645-G51-G53</f>
        <v>498</v>
      </c>
      <c r="H52" s="1">
        <f>1786-H51-H53</f>
        <v>583</v>
      </c>
      <c r="I52" s="1">
        <f>1835-I51-I53</f>
        <v>607</v>
      </c>
      <c r="J52" s="1">
        <f>1988-J51-J53</f>
        <v>629</v>
      </c>
      <c r="K52" s="1">
        <f>2187-K51-K53</f>
        <v>661</v>
      </c>
      <c r="L52" s="1">
        <f>2513-L51-L53</f>
        <v>902</v>
      </c>
      <c r="M52" s="1">
        <f>3343-M51-M53</f>
        <v>1526</v>
      </c>
      <c r="N52" s="1">
        <f>2973-N51-N53</f>
        <v>1091</v>
      </c>
      <c r="O52" s="1">
        <f>3284-O51-O53</f>
        <v>1204</v>
      </c>
      <c r="P52" s="1">
        <f>3375-P51-P53</f>
        <v>1268</v>
      </c>
      <c r="Q52" s="1">
        <f>3467-Q51-Q53</f>
        <v>1269</v>
      </c>
      <c r="R52" s="1">
        <f>3893-R51-R53</f>
        <v>1413</v>
      </c>
      <c r="S52" s="1">
        <f>4609-S51-S53</f>
        <v>1710</v>
      </c>
      <c r="T52" s="1">
        <f>3060-T51-T53</f>
        <v>1073</v>
      </c>
      <c r="U52" s="1">
        <f>4067-U51-U53</f>
        <v>1435</v>
      </c>
      <c r="V52" s="1">
        <f>4447-V51-V53</f>
        <v>1583</v>
      </c>
      <c r="W52" s="1">
        <f>4584-W51-W53</f>
        <v>1628</v>
      </c>
      <c r="X52" s="1">
        <f>5025-X51-X53</f>
        <v>1908</v>
      </c>
      <c r="Y52" s="1">
        <f>5344-Y51-Y53</f>
        <v>1729</v>
      </c>
      <c r="Z52" s="1">
        <f>5583-Z51-Z53</f>
        <v>1941</v>
      </c>
      <c r="AA52" s="1">
        <f>6104-AA51-AA53</f>
        <v>2084</v>
      </c>
      <c r="AB52" s="1">
        <f>6783-AB51-AB53</f>
        <v>2377</v>
      </c>
      <c r="AC52" s="1">
        <f>6455-AC51-AC53</f>
        <v>2065</v>
      </c>
      <c r="AD52" s="1">
        <f>6319-AD51-AD53</f>
        <v>2080</v>
      </c>
      <c r="AE52" s="1">
        <f>6930-AE51-AE53</f>
        <v>2223</v>
      </c>
      <c r="AF52" s="1">
        <f>7761-AF51-AF53</f>
        <v>2679</v>
      </c>
      <c r="AG52" s="1">
        <f>7267-AG51-AG53</f>
        <v>2387</v>
      </c>
      <c r="AH52" s="1">
        <f>7402-AH51-AH53</f>
        <v>2415</v>
      </c>
      <c r="AI52" s="1">
        <f>7985-AI51-AI53</f>
        <v>2565</v>
      </c>
      <c r="AJ52" s="1">
        <f>8764-AJ51-AJ53</f>
        <v>3118</v>
      </c>
      <c r="AK52" s="1">
        <f>8387-AK51-AK53</f>
        <v>2644</v>
      </c>
      <c r="AL52" s="1">
        <f>11505-AL51-AL53</f>
        <v>5633</v>
      </c>
      <c r="AM52" s="1">
        <f>8842-AM51-AM53</f>
        <v>3042</v>
      </c>
      <c r="AN52" s="1">
        <f>10360-AN51-AN53</f>
        <v>4310</v>
      </c>
      <c r="AO52" s="1">
        <f>10046-AO51-AO53</f>
        <v>3604</v>
      </c>
      <c r="AP52" s="1">
        <f>15729-AP51-AP53</f>
        <v>8851</v>
      </c>
      <c r="AQ52" s="1">
        <f>10834-AQ51-AQ53</f>
        <v>3849</v>
      </c>
      <c r="AR52" s="1">
        <f>13137-AR51-AR53</f>
        <v>5100</v>
      </c>
      <c r="AS52" s="1">
        <f>13719-AS51-AS53</f>
        <v>5602</v>
      </c>
      <c r="AT52" s="1">
        <f>12468-AT51-AT53</f>
        <v>4212</v>
      </c>
      <c r="AU52" s="1">
        <f>13754-AU51-AU53</f>
        <v>4609</v>
      </c>
      <c r="AV52" s="1">
        <f>15789-AV51-AV53</f>
        <v>5738</v>
      </c>
      <c r="AW52" s="1">
        <v>4500</v>
      </c>
      <c r="AX52" s="1">
        <v>3901</v>
      </c>
      <c r="AY52" s="1">
        <v>4231</v>
      </c>
      <c r="AZ52" s="1">
        <f>17946-SUM(AW52:AY52)</f>
        <v>5314</v>
      </c>
      <c r="BA52" s="1">
        <v>4516</v>
      </c>
      <c r="BB52" s="1">
        <v>5276</v>
      </c>
      <c r="BC52" s="1">
        <v>5516</v>
      </c>
      <c r="BD52" s="1">
        <f>22912-SUM(BA52:BC52)</f>
        <v>7604</v>
      </c>
      <c r="BE52" s="1">
        <v>5825</v>
      </c>
      <c r="BF52" s="1">
        <v>6630</v>
      </c>
      <c r="BG52" s="1">
        <v>6929</v>
      </c>
      <c r="BH52" s="1">
        <f>26567-SUM(BE52:BG52)</f>
        <v>7183</v>
      </c>
      <c r="BI52" s="1">
        <v>6533</v>
      </c>
      <c r="BJ52" s="1">
        <v>6781</v>
      </c>
      <c r="BK52" s="1">
        <v>6884</v>
      </c>
      <c r="BL52" s="1">
        <f>27917-SUM(BI52:BK52)</f>
        <v>7719</v>
      </c>
      <c r="BM52" s="1">
        <v>6426</v>
      </c>
      <c r="BN52" s="1">
        <v>6792</v>
      </c>
      <c r="BO52" s="1">
        <v>7227</v>
      </c>
      <c r="BP52" s="1">
        <f>27808-SUM(BM52:BO52)</f>
        <v>7363</v>
      </c>
      <c r="BQ52" s="1">
        <v>6172</v>
      </c>
      <c r="CH52" s="1">
        <f t="shared" si="74"/>
        <v>1984</v>
      </c>
      <c r="CI52" s="1">
        <f t="shared" si="75"/>
        <v>2799</v>
      </c>
      <c r="CJ52" s="1">
        <f t="shared" si="76"/>
        <v>5089</v>
      </c>
      <c r="CK52" s="1">
        <f t="shared" si="77"/>
        <v>5465</v>
      </c>
      <c r="CL52" s="1">
        <f t="shared" si="78"/>
        <v>6554</v>
      </c>
      <c r="CM52" s="1">
        <f t="shared" si="79"/>
        <v>8131</v>
      </c>
      <c r="CN52" s="1">
        <f t="shared" si="80"/>
        <v>9047</v>
      </c>
      <c r="CO52" s="1">
        <f t="shared" si="81"/>
        <v>10485</v>
      </c>
      <c r="CP52" s="1">
        <f t="shared" si="82"/>
        <v>15629</v>
      </c>
      <c r="CQ52" s="1">
        <f t="shared" si="83"/>
        <v>21404</v>
      </c>
      <c r="CR52" s="1">
        <f t="shared" si="84"/>
        <v>20161</v>
      </c>
      <c r="CS52" s="1">
        <f t="shared" si="68"/>
        <v>17946</v>
      </c>
      <c r="CT52" s="1">
        <f t="shared" si="69"/>
        <v>22912</v>
      </c>
      <c r="CU52" s="1">
        <f t="shared" si="70"/>
        <v>26567</v>
      </c>
      <c r="CV52" s="1">
        <f t="shared" si="71"/>
        <v>27917</v>
      </c>
      <c r="CW52" s="1">
        <f t="shared" si="72"/>
        <v>27808</v>
      </c>
      <c r="CX52" s="119">
        <f>CX48*CX65</f>
        <v>27134.009700000002</v>
      </c>
      <c r="CY52" s="119">
        <f t="shared" ref="CY52:DG52" si="90">CY48*CY65</f>
        <v>32093.152169999998</v>
      </c>
      <c r="CZ52" s="119">
        <f t="shared" si="90"/>
        <v>35176.676408575993</v>
      </c>
      <c r="DA52" s="119">
        <f t="shared" si="90"/>
        <v>37381.554627897742</v>
      </c>
      <c r="DB52" s="119">
        <f t="shared" si="90"/>
        <v>40028.944189000169</v>
      </c>
      <c r="DC52" s="119">
        <f t="shared" si="90"/>
        <v>42713.653835409736</v>
      </c>
      <c r="DD52" s="119">
        <f t="shared" si="90"/>
        <v>45425.595572261329</v>
      </c>
      <c r="DE52" s="119">
        <f t="shared" si="90"/>
        <v>48148.637758693585</v>
      </c>
      <c r="DF52" s="119">
        <f t="shared" si="90"/>
        <v>50867.032778983739</v>
      </c>
      <c r="DG52" s="119">
        <f t="shared" si="90"/>
        <v>53572.869965001788</v>
      </c>
    </row>
    <row r="53" spans="2:161">
      <c r="B53" s="1" t="s">
        <v>270</v>
      </c>
      <c r="C53" s="53">
        <v>474.9</v>
      </c>
      <c r="D53" s="53">
        <v>507.1</v>
      </c>
      <c r="E53" s="1">
        <v>447</v>
      </c>
      <c r="F53" s="1">
        <v>364</v>
      </c>
      <c r="G53" s="1">
        <v>389</v>
      </c>
      <c r="H53" s="1">
        <v>468</v>
      </c>
      <c r="I53" s="1">
        <v>410</v>
      </c>
      <c r="J53" s="1">
        <v>461</v>
      </c>
      <c r="K53" s="1">
        <v>532</v>
      </c>
      <c r="L53" s="1">
        <v>559</v>
      </c>
      <c r="M53" s="1">
        <v>591</v>
      </c>
      <c r="N53" s="1">
        <v>648</v>
      </c>
      <c r="O53" s="1">
        <v>676</v>
      </c>
      <c r="P53" s="1">
        <v>809</v>
      </c>
      <c r="Q53" s="1">
        <v>757</v>
      </c>
      <c r="R53" s="1">
        <v>942</v>
      </c>
      <c r="S53" s="1">
        <v>1020</v>
      </c>
      <c r="T53" s="1">
        <v>762</v>
      </c>
      <c r="U53" s="1">
        <v>1015</v>
      </c>
      <c r="V53" s="1">
        <v>1098</v>
      </c>
      <c r="W53" s="1">
        <v>1135</v>
      </c>
      <c r="X53" s="1">
        <v>1184</v>
      </c>
      <c r="Y53" s="1">
        <v>1489</v>
      </c>
      <c r="Z53" s="1">
        <v>1404</v>
      </c>
      <c r="AA53" s="1">
        <v>1365</v>
      </c>
      <c r="AB53" s="1">
        <v>1593</v>
      </c>
      <c r="AC53" s="1">
        <v>1637</v>
      </c>
      <c r="AD53" s="1">
        <v>1450</v>
      </c>
      <c r="AE53" s="1">
        <v>1477</v>
      </c>
      <c r="AF53" s="1">
        <v>1572</v>
      </c>
      <c r="AG53" s="1">
        <v>1513</v>
      </c>
      <c r="AH53" s="1">
        <v>1624</v>
      </c>
      <c r="AI53" s="1">
        <v>1824</v>
      </c>
      <c r="AJ53" s="1">
        <v>2024</v>
      </c>
      <c r="AK53" s="1">
        <v>1801</v>
      </c>
      <c r="AL53" s="1">
        <v>1700</v>
      </c>
      <c r="AM53" s="1">
        <v>1595</v>
      </c>
      <c r="AN53" s="1">
        <v>1744</v>
      </c>
      <c r="AO53" s="1">
        <v>1403</v>
      </c>
      <c r="AP53" s="1">
        <v>1764</v>
      </c>
      <c r="AQ53" s="1">
        <v>1753</v>
      </c>
      <c r="AR53" s="1">
        <v>2003</v>
      </c>
      <c r="AS53" s="1">
        <v>2088</v>
      </c>
      <c r="AT53" s="1">
        <v>2043</v>
      </c>
      <c r="AU53" s="1">
        <v>2591</v>
      </c>
      <c r="AV53" s="1">
        <v>2829</v>
      </c>
      <c r="AW53" s="1">
        <v>2880</v>
      </c>
      <c r="AX53" s="1">
        <v>2585</v>
      </c>
      <c r="AY53" s="1">
        <v>2756</v>
      </c>
      <c r="AZ53" s="1">
        <f>11052-SUM(AW53:AY53)</f>
        <v>2831</v>
      </c>
      <c r="BA53" s="1">
        <v>2773</v>
      </c>
      <c r="BB53" s="1">
        <v>3341</v>
      </c>
      <c r="BC53" s="1">
        <v>3256</v>
      </c>
      <c r="BD53" s="1">
        <f>13510-SUM(BA53:BC53)</f>
        <v>4140</v>
      </c>
      <c r="BE53" s="1">
        <v>3374</v>
      </c>
      <c r="BF53" s="1">
        <v>3657</v>
      </c>
      <c r="BG53" s="1">
        <v>3597</v>
      </c>
      <c r="BH53" s="1">
        <f>15724-SUM(BE53:BG53)</f>
        <v>5096</v>
      </c>
      <c r="BI53" s="1">
        <v>3759</v>
      </c>
      <c r="BJ53" s="1">
        <v>3481</v>
      </c>
      <c r="BK53" s="1">
        <v>3979</v>
      </c>
      <c r="BL53" s="1">
        <f>16425-SUM(BI53:BK53)</f>
        <v>5206</v>
      </c>
      <c r="BM53" s="1">
        <v>3026</v>
      </c>
      <c r="BN53" s="1">
        <v>3158</v>
      </c>
      <c r="BO53" s="1">
        <v>3599</v>
      </c>
      <c r="BP53" s="1">
        <f>14188-SUM(BM53:BO53)</f>
        <v>4405</v>
      </c>
      <c r="BQ53" s="1">
        <v>3539</v>
      </c>
      <c r="CH53" s="1">
        <f t="shared" si="74"/>
        <v>1668</v>
      </c>
      <c r="CI53" s="1">
        <f t="shared" si="75"/>
        <v>1962</v>
      </c>
      <c r="CJ53" s="1">
        <f t="shared" si="76"/>
        <v>2724</v>
      </c>
      <c r="CK53" s="1">
        <f t="shared" si="77"/>
        <v>3481</v>
      </c>
      <c r="CL53" s="1">
        <f t="shared" si="78"/>
        <v>4432</v>
      </c>
      <c r="CM53" s="1">
        <f t="shared" si="79"/>
        <v>5851</v>
      </c>
      <c r="CN53" s="1">
        <f t="shared" si="80"/>
        <v>6136</v>
      </c>
      <c r="CO53" s="1">
        <f t="shared" si="81"/>
        <v>6985</v>
      </c>
      <c r="CP53" s="1">
        <f t="shared" si="82"/>
        <v>6840</v>
      </c>
      <c r="CQ53" s="1">
        <f t="shared" si="83"/>
        <v>6923</v>
      </c>
      <c r="CR53" s="1">
        <f t="shared" si="84"/>
        <v>9551</v>
      </c>
      <c r="CS53" s="1">
        <f t="shared" si="68"/>
        <v>11052</v>
      </c>
      <c r="CT53" s="1">
        <f t="shared" si="69"/>
        <v>13510</v>
      </c>
      <c r="CU53" s="1">
        <f t="shared" si="70"/>
        <v>15724</v>
      </c>
      <c r="CV53" s="1">
        <f t="shared" si="71"/>
        <v>16425</v>
      </c>
      <c r="CW53" s="1">
        <f t="shared" si="72"/>
        <v>14188</v>
      </c>
      <c r="CX53" s="119">
        <f>CX48*CX66</f>
        <v>15505.148400000002</v>
      </c>
      <c r="CY53" s="119">
        <f t="shared" ref="CY53:DG53" si="91">CY48*CY66</f>
        <v>18827.982606399997</v>
      </c>
      <c r="CZ53" s="119">
        <f t="shared" si="91"/>
        <v>19902.593231167997</v>
      </c>
      <c r="DA53" s="119">
        <f t="shared" si="91"/>
        <v>21432.091319994703</v>
      </c>
      <c r="DB53" s="119">
        <f t="shared" si="91"/>
        <v>22416.208745840097</v>
      </c>
      <c r="DC53" s="119">
        <f t="shared" si="91"/>
        <v>23350.130763357327</v>
      </c>
      <c r="DD53" s="119">
        <f t="shared" si="91"/>
        <v>24226.984305206042</v>
      </c>
      <c r="DE53" s="119">
        <f t="shared" si="91"/>
        <v>25679.273471303248</v>
      </c>
      <c r="DF53" s="119">
        <f t="shared" si="91"/>
        <v>27129.084148791331</v>
      </c>
      <c r="DG53" s="119">
        <f t="shared" si="91"/>
        <v>28572.197314667625</v>
      </c>
    </row>
    <row r="54" spans="2:161">
      <c r="B54" s="1" t="s">
        <v>272</v>
      </c>
      <c r="C54" s="53">
        <f>SUM(C52:C53)</f>
        <v>961</v>
      </c>
      <c r="D54" s="53">
        <f t="shared" ref="D54:AV54" si="92">SUM(D52:D53)</f>
        <v>1015</v>
      </c>
      <c r="E54" s="53">
        <f t="shared" si="92"/>
        <v>881</v>
      </c>
      <c r="F54" s="53">
        <f t="shared" si="92"/>
        <v>833</v>
      </c>
      <c r="G54" s="53">
        <f t="shared" si="92"/>
        <v>887</v>
      </c>
      <c r="H54" s="53">
        <f t="shared" si="92"/>
        <v>1051</v>
      </c>
      <c r="I54" s="53">
        <f t="shared" si="92"/>
        <v>1017</v>
      </c>
      <c r="J54" s="53">
        <f t="shared" si="92"/>
        <v>1090</v>
      </c>
      <c r="K54" s="53">
        <f t="shared" si="92"/>
        <v>1193</v>
      </c>
      <c r="L54" s="53">
        <f t="shared" si="92"/>
        <v>1461</v>
      </c>
      <c r="M54" s="53">
        <f t="shared" si="92"/>
        <v>2117</v>
      </c>
      <c r="N54" s="53">
        <f t="shared" si="92"/>
        <v>1739</v>
      </c>
      <c r="O54" s="53">
        <f t="shared" si="92"/>
        <v>1880</v>
      </c>
      <c r="P54" s="53">
        <f t="shared" si="92"/>
        <v>2077</v>
      </c>
      <c r="Q54" s="53">
        <f t="shared" si="92"/>
        <v>2026</v>
      </c>
      <c r="R54" s="53">
        <f t="shared" si="92"/>
        <v>2355</v>
      </c>
      <c r="S54" s="53">
        <f t="shared" si="92"/>
        <v>2730</v>
      </c>
      <c r="T54" s="53">
        <f t="shared" si="92"/>
        <v>1835</v>
      </c>
      <c r="U54" s="53">
        <f t="shared" si="92"/>
        <v>2450</v>
      </c>
      <c r="V54" s="53">
        <f t="shared" si="92"/>
        <v>2681</v>
      </c>
      <c r="W54" s="53">
        <f t="shared" si="92"/>
        <v>2763</v>
      </c>
      <c r="X54" s="53">
        <f t="shared" si="92"/>
        <v>3092</v>
      </c>
      <c r="Y54" s="53">
        <f t="shared" si="92"/>
        <v>3218</v>
      </c>
      <c r="Z54" s="53">
        <f t="shared" si="92"/>
        <v>3345</v>
      </c>
      <c r="AA54" s="53">
        <f t="shared" si="92"/>
        <v>3449</v>
      </c>
      <c r="AB54" s="53">
        <f t="shared" si="92"/>
        <v>3970</v>
      </c>
      <c r="AC54" s="53">
        <f t="shared" si="92"/>
        <v>3702</v>
      </c>
      <c r="AD54" s="53">
        <f t="shared" si="92"/>
        <v>3530</v>
      </c>
      <c r="AE54" s="53">
        <f t="shared" si="92"/>
        <v>3700</v>
      </c>
      <c r="AF54" s="53">
        <f t="shared" si="92"/>
        <v>4251</v>
      </c>
      <c r="AG54" s="53">
        <f t="shared" si="92"/>
        <v>3900</v>
      </c>
      <c r="AH54" s="53">
        <f t="shared" si="92"/>
        <v>4039</v>
      </c>
      <c r="AI54" s="53">
        <f t="shared" si="92"/>
        <v>4389</v>
      </c>
      <c r="AJ54" s="53">
        <f t="shared" si="92"/>
        <v>5142</v>
      </c>
      <c r="AK54" s="53">
        <f t="shared" si="92"/>
        <v>4445</v>
      </c>
      <c r="AL54" s="53">
        <f t="shared" si="92"/>
        <v>7333</v>
      </c>
      <c r="AM54" s="53">
        <f t="shared" si="92"/>
        <v>4637</v>
      </c>
      <c r="AN54" s="53">
        <f t="shared" si="92"/>
        <v>6054</v>
      </c>
      <c r="AO54" s="53">
        <f t="shared" si="92"/>
        <v>5007</v>
      </c>
      <c r="AP54" s="53">
        <f t="shared" si="92"/>
        <v>10615</v>
      </c>
      <c r="AQ54" s="53">
        <f t="shared" si="92"/>
        <v>5602</v>
      </c>
      <c r="AR54" s="53">
        <f t="shared" si="92"/>
        <v>7103</v>
      </c>
      <c r="AS54" s="53">
        <f t="shared" si="92"/>
        <v>7690</v>
      </c>
      <c r="AT54" s="53">
        <f t="shared" si="92"/>
        <v>6255</v>
      </c>
      <c r="AU54" s="53">
        <f t="shared" si="92"/>
        <v>7200</v>
      </c>
      <c r="AV54" s="53">
        <f t="shared" si="92"/>
        <v>8567</v>
      </c>
      <c r="AW54" s="53">
        <f t="shared" ref="AW54" si="93">SUM(AW52:AW53)</f>
        <v>7380</v>
      </c>
      <c r="AX54" s="1">
        <f t="shared" ref="AW54:BP54" si="94">AX52+AX53</f>
        <v>6486</v>
      </c>
      <c r="AY54" s="1">
        <f t="shared" si="94"/>
        <v>6987</v>
      </c>
      <c r="AZ54" s="1">
        <f t="shared" si="94"/>
        <v>8145</v>
      </c>
      <c r="BA54" s="1">
        <f t="shared" si="94"/>
        <v>7289</v>
      </c>
      <c r="BB54" s="1">
        <f t="shared" si="94"/>
        <v>8617</v>
      </c>
      <c r="BC54" s="1">
        <f t="shared" si="94"/>
        <v>8772</v>
      </c>
      <c r="BD54" s="1">
        <f t="shared" si="94"/>
        <v>11744</v>
      </c>
      <c r="BE54" s="1">
        <f t="shared" si="94"/>
        <v>9199</v>
      </c>
      <c r="BF54" s="1">
        <f t="shared" si="94"/>
        <v>10287</v>
      </c>
      <c r="BG54" s="1">
        <f t="shared" si="94"/>
        <v>10526</v>
      </c>
      <c r="BH54" s="1">
        <f t="shared" si="94"/>
        <v>12279</v>
      </c>
      <c r="BI54" s="1">
        <f t="shared" si="94"/>
        <v>10292</v>
      </c>
      <c r="BJ54" s="1">
        <f t="shared" si="94"/>
        <v>10262</v>
      </c>
      <c r="BK54" s="1">
        <f t="shared" si="94"/>
        <v>10863</v>
      </c>
      <c r="BL54" s="1">
        <f t="shared" si="94"/>
        <v>12925</v>
      </c>
      <c r="BM54" s="1">
        <f t="shared" si="94"/>
        <v>9452</v>
      </c>
      <c r="BN54" s="1">
        <f t="shared" si="94"/>
        <v>9950</v>
      </c>
      <c r="BO54" s="1">
        <f t="shared" si="94"/>
        <v>10826</v>
      </c>
      <c r="BP54" s="1">
        <f t="shared" si="94"/>
        <v>11768</v>
      </c>
      <c r="BQ54" s="1">
        <f>BQ52+BQ53</f>
        <v>9711</v>
      </c>
      <c r="CH54" s="1">
        <f t="shared" si="74"/>
        <v>3652</v>
      </c>
      <c r="CI54" s="1">
        <f t="shared" si="75"/>
        <v>4761</v>
      </c>
      <c r="CJ54" s="1">
        <f t="shared" si="76"/>
        <v>7813</v>
      </c>
      <c r="CK54" s="1">
        <f t="shared" si="77"/>
        <v>8946</v>
      </c>
      <c r="CL54" s="1">
        <f t="shared" si="78"/>
        <v>10986</v>
      </c>
      <c r="CM54" s="1">
        <f t="shared" si="79"/>
        <v>13982</v>
      </c>
      <c r="CN54" s="1">
        <f t="shared" si="80"/>
        <v>15183</v>
      </c>
      <c r="CO54" s="1">
        <f t="shared" si="81"/>
        <v>17470</v>
      </c>
      <c r="CP54" s="1">
        <f t="shared" si="82"/>
        <v>22469</v>
      </c>
      <c r="CQ54" s="1">
        <f t="shared" si="83"/>
        <v>28327</v>
      </c>
      <c r="CR54" s="1">
        <f t="shared" si="84"/>
        <v>29712</v>
      </c>
      <c r="CS54" s="1">
        <f t="shared" si="68"/>
        <v>28998</v>
      </c>
      <c r="CT54" s="1">
        <f t="shared" si="69"/>
        <v>36422</v>
      </c>
      <c r="CU54" s="1">
        <f t="shared" si="70"/>
        <v>42291</v>
      </c>
      <c r="CV54" s="1">
        <f t="shared" si="71"/>
        <v>44342</v>
      </c>
      <c r="CW54" s="1">
        <f t="shared" si="72"/>
        <v>41996</v>
      </c>
      <c r="CX54" s="119">
        <f>SUM(CX52:CX53)</f>
        <v>42639.158100000001</v>
      </c>
      <c r="CY54" s="119">
        <f t="shared" ref="CY54:DG54" si="95">SUM(CY52:CY53)</f>
        <v>50921.134776399995</v>
      </c>
      <c r="CZ54" s="119">
        <f t="shared" si="95"/>
        <v>55079.269639743987</v>
      </c>
      <c r="DA54" s="119">
        <f t="shared" si="95"/>
        <v>58813.645947892444</v>
      </c>
      <c r="DB54" s="119">
        <f t="shared" si="95"/>
        <v>62445.152934840269</v>
      </c>
      <c r="DC54" s="119">
        <f t="shared" si="95"/>
        <v>66063.784598767059</v>
      </c>
      <c r="DD54" s="119">
        <f t="shared" si="95"/>
        <v>69652.579877467375</v>
      </c>
      <c r="DE54" s="119">
        <f t="shared" si="95"/>
        <v>73827.911229996826</v>
      </c>
      <c r="DF54" s="119">
        <f t="shared" si="95"/>
        <v>77996.116927775074</v>
      </c>
      <c r="DG54" s="119">
        <f t="shared" si="95"/>
        <v>82145.067279669413</v>
      </c>
    </row>
    <row r="55" spans="2:161">
      <c r="B55" s="1" t="s">
        <v>273</v>
      </c>
      <c r="C55" s="53">
        <f t="shared" ref="C55:BN55" si="96">C50-C51-C54</f>
        <v>1577</v>
      </c>
      <c r="D55" s="53">
        <f t="shared" si="96"/>
        <v>1648</v>
      </c>
      <c r="E55" s="1">
        <f t="shared" si="96"/>
        <v>1884</v>
      </c>
      <c r="F55" s="1">
        <f t="shared" si="96"/>
        <v>1874</v>
      </c>
      <c r="G55" s="1">
        <f t="shared" si="96"/>
        <v>2074</v>
      </c>
      <c r="H55" s="1">
        <f t="shared" si="96"/>
        <v>2480</v>
      </c>
      <c r="I55" s="1">
        <f t="shared" si="96"/>
        <v>2488</v>
      </c>
      <c r="J55" s="1">
        <f t="shared" si="96"/>
        <v>2365</v>
      </c>
      <c r="K55" s="1">
        <f t="shared" si="96"/>
        <v>2547</v>
      </c>
      <c r="L55" s="1">
        <f t="shared" si="96"/>
        <v>2981</v>
      </c>
      <c r="M55" s="1">
        <f t="shared" si="96"/>
        <v>2296</v>
      </c>
      <c r="N55" s="1">
        <f t="shared" si="96"/>
        <v>2881</v>
      </c>
      <c r="O55" s="1">
        <f t="shared" si="96"/>
        <v>3058</v>
      </c>
      <c r="P55" s="1">
        <f t="shared" si="96"/>
        <v>3507</v>
      </c>
      <c r="Q55" s="1">
        <f t="shared" si="96"/>
        <v>3389</v>
      </c>
      <c r="R55" s="1">
        <f t="shared" si="96"/>
        <v>3237</v>
      </c>
      <c r="S55" s="1">
        <f t="shared" si="96"/>
        <v>2740</v>
      </c>
      <c r="T55" s="1">
        <f t="shared" si="96"/>
        <v>4468</v>
      </c>
      <c r="U55" s="1">
        <f t="shared" si="96"/>
        <v>3748</v>
      </c>
      <c r="V55" s="1">
        <f t="shared" si="96"/>
        <v>3465</v>
      </c>
      <c r="W55" s="1">
        <f t="shared" si="96"/>
        <v>3761</v>
      </c>
      <c r="X55" s="1">
        <f t="shared" si="96"/>
        <v>4429</v>
      </c>
      <c r="Y55" s="1">
        <f t="shared" si="96"/>
        <v>4115</v>
      </c>
      <c r="Z55" s="1">
        <f t="shared" si="96"/>
        <v>4258</v>
      </c>
      <c r="AA55" s="1">
        <f t="shared" si="96"/>
        <v>3724</v>
      </c>
      <c r="AB55" s="1">
        <f t="shared" si="96"/>
        <v>4399</v>
      </c>
      <c r="AC55" s="1">
        <f t="shared" si="96"/>
        <v>4447</v>
      </c>
      <c r="AD55" s="1">
        <f t="shared" si="96"/>
        <v>4825</v>
      </c>
      <c r="AE55" s="1">
        <f t="shared" si="96"/>
        <v>4708</v>
      </c>
      <c r="AF55" s="1">
        <f t="shared" si="96"/>
        <v>5380</v>
      </c>
      <c r="AG55" s="1">
        <f t="shared" si="96"/>
        <v>5342</v>
      </c>
      <c r="AH55" s="1">
        <f t="shared" si="96"/>
        <v>5968</v>
      </c>
      <c r="AI55" s="1">
        <f t="shared" si="96"/>
        <v>5767</v>
      </c>
      <c r="AJ55" s="1">
        <f t="shared" si="96"/>
        <v>6639</v>
      </c>
      <c r="AK55" s="1">
        <f t="shared" si="96"/>
        <v>6568</v>
      </c>
      <c r="AL55" s="1">
        <f t="shared" si="96"/>
        <v>4132</v>
      </c>
      <c r="AM55" s="1">
        <f t="shared" si="96"/>
        <v>7782</v>
      </c>
      <c r="AN55" s="1">
        <f t="shared" si="96"/>
        <v>7696</v>
      </c>
      <c r="AO55" s="1">
        <f t="shared" si="96"/>
        <v>7633</v>
      </c>
      <c r="AP55" s="1">
        <f t="shared" si="96"/>
        <v>3045</v>
      </c>
      <c r="AQ55" s="1">
        <f t="shared" si="96"/>
        <v>8625</v>
      </c>
      <c r="AR55" s="1">
        <f t="shared" si="96"/>
        <v>8221</v>
      </c>
      <c r="AS55" s="1">
        <f t="shared" si="96"/>
        <v>6608</v>
      </c>
      <c r="AT55" s="1">
        <f t="shared" si="96"/>
        <v>9180</v>
      </c>
      <c r="AU55" s="1">
        <f t="shared" si="96"/>
        <v>9177</v>
      </c>
      <c r="AV55" s="1">
        <f t="shared" si="96"/>
        <v>9266</v>
      </c>
      <c r="AW55" s="1">
        <f t="shared" si="96"/>
        <v>7977</v>
      </c>
      <c r="AX55" s="1">
        <f t="shared" si="96"/>
        <v>6383</v>
      </c>
      <c r="AY55" s="1">
        <f t="shared" si="96"/>
        <v>11213</v>
      </c>
      <c r="AZ55" s="1">
        <f t="shared" si="96"/>
        <v>15651</v>
      </c>
      <c r="BA55" s="1">
        <f t="shared" si="96"/>
        <v>16437</v>
      </c>
      <c r="BB55" s="1">
        <f t="shared" si="96"/>
        <v>19361</v>
      </c>
      <c r="BC55" s="1">
        <f t="shared" si="96"/>
        <v>21031</v>
      </c>
      <c r="BD55" s="1">
        <f t="shared" si="96"/>
        <v>21885</v>
      </c>
      <c r="BE55" s="1">
        <f t="shared" si="96"/>
        <v>20094</v>
      </c>
      <c r="BF55" s="1">
        <f t="shared" si="96"/>
        <v>19453</v>
      </c>
      <c r="BG55" s="1">
        <f t="shared" si="96"/>
        <v>17135</v>
      </c>
      <c r="BH55" s="1">
        <f t="shared" si="96"/>
        <v>18160</v>
      </c>
      <c r="BI55" s="1">
        <f t="shared" si="96"/>
        <v>17415</v>
      </c>
      <c r="BJ55" s="1">
        <f t="shared" si="96"/>
        <v>21838</v>
      </c>
      <c r="BK55" s="1">
        <f t="shared" si="96"/>
        <v>21343</v>
      </c>
      <c r="BL55" s="1">
        <f t="shared" si="96"/>
        <v>23697</v>
      </c>
      <c r="BM55" s="1">
        <f t="shared" si="96"/>
        <v>25472</v>
      </c>
      <c r="BN55" s="1">
        <f t="shared" si="96"/>
        <v>27425</v>
      </c>
      <c r="BO55" s="1">
        <f t="shared" ref="BO55:BP55" si="97">BO50-BO51-BO54</f>
        <v>28521</v>
      </c>
      <c r="BP55" s="1">
        <f t="shared" si="97"/>
        <v>30972</v>
      </c>
      <c r="BQ55" s="1">
        <f>BQ50-BQ51-BQ54</f>
        <v>30606</v>
      </c>
      <c r="CH55" s="1">
        <f t="shared" si="74"/>
        <v>8312</v>
      </c>
      <c r="CI55" s="1">
        <f t="shared" si="75"/>
        <v>10381</v>
      </c>
      <c r="CJ55" s="1">
        <f t="shared" si="76"/>
        <v>11742</v>
      </c>
      <c r="CK55" s="1">
        <f t="shared" si="77"/>
        <v>13834</v>
      </c>
      <c r="CL55" s="1">
        <f t="shared" si="78"/>
        <v>15403</v>
      </c>
      <c r="CM55" s="1">
        <f t="shared" si="79"/>
        <v>16496</v>
      </c>
      <c r="CN55" s="1">
        <f t="shared" si="80"/>
        <v>19360</v>
      </c>
      <c r="CO55" s="1">
        <f t="shared" si="81"/>
        <v>23716</v>
      </c>
      <c r="CP55" s="1">
        <f t="shared" si="82"/>
        <v>26178</v>
      </c>
      <c r="CQ55" s="1">
        <f t="shared" si="83"/>
        <v>27524</v>
      </c>
      <c r="CR55" s="1">
        <f t="shared" si="84"/>
        <v>34231</v>
      </c>
      <c r="CS55" s="1">
        <f t="shared" si="68"/>
        <v>41224</v>
      </c>
      <c r="CT55" s="1">
        <f t="shared" si="69"/>
        <v>78714</v>
      </c>
      <c r="CU55" s="1">
        <f t="shared" si="70"/>
        <v>74842</v>
      </c>
      <c r="CV55" s="1">
        <f t="shared" si="71"/>
        <v>84293</v>
      </c>
      <c r="CW55" s="1">
        <f t="shared" si="72"/>
        <v>112390</v>
      </c>
      <c r="CX55" s="119">
        <f>CX50-SUM(CX51:CX53)</f>
        <v>131018.50397999998</v>
      </c>
      <c r="CY55" s="119">
        <f t="shared" ref="CY55:DG55" si="98">CY50-SUM(CY51:CY53)</f>
        <v>139498.23476560001</v>
      </c>
      <c r="CZ55" s="119">
        <f t="shared" si="98"/>
        <v>151815.129763328</v>
      </c>
      <c r="DA55" s="119">
        <f t="shared" si="98"/>
        <v>169961.46837484173</v>
      </c>
      <c r="DB55" s="119">
        <f t="shared" si="98"/>
        <v>183599.42401354742</v>
      </c>
      <c r="DC55" s="119">
        <f t="shared" si="98"/>
        <v>203316.99225655035</v>
      </c>
      <c r="DD55" s="119">
        <f t="shared" si="98"/>
        <v>218042.85874685438</v>
      </c>
      <c r="DE55" s="119">
        <f t="shared" si="98"/>
        <v>238817.24328312019</v>
      </c>
      <c r="DF55" s="119">
        <f t="shared" si="98"/>
        <v>260439.20782839679</v>
      </c>
      <c r="DG55" s="119">
        <f t="shared" si="98"/>
        <v>275007.39915367583</v>
      </c>
    </row>
    <row r="56" spans="2:161">
      <c r="B56" s="1" t="s">
        <v>274</v>
      </c>
      <c r="C56" s="53">
        <v>57.9</v>
      </c>
      <c r="D56" s="53">
        <v>21.2</v>
      </c>
      <c r="E56" s="1">
        <v>6</v>
      </c>
      <c r="F56" s="1">
        <v>-18</v>
      </c>
      <c r="G56" s="1">
        <v>-7</v>
      </c>
      <c r="H56" s="1">
        <v>88</v>
      </c>
      <c r="I56" s="1">
        <v>18</v>
      </c>
      <c r="J56" s="1">
        <v>69</v>
      </c>
      <c r="K56" s="1">
        <v>167</v>
      </c>
      <c r="L56" s="1">
        <v>161</v>
      </c>
      <c r="M56" s="1">
        <v>96</v>
      </c>
      <c r="N56" s="1">
        <v>204</v>
      </c>
      <c r="O56" s="1">
        <v>302</v>
      </c>
      <c r="P56" s="1">
        <v>-18</v>
      </c>
      <c r="Q56" s="1">
        <v>156</v>
      </c>
      <c r="R56" s="1">
        <v>253</v>
      </c>
      <c r="S56" s="1">
        <v>65</v>
      </c>
      <c r="T56" s="1">
        <v>161</v>
      </c>
      <c r="U56" s="1">
        <v>134</v>
      </c>
      <c r="V56" s="1">
        <v>236</v>
      </c>
      <c r="W56" s="1">
        <v>14</v>
      </c>
      <c r="X56" s="1">
        <v>112</v>
      </c>
      <c r="Y56" s="1">
        <v>357</v>
      </c>
      <c r="Z56" s="1">
        <v>145</v>
      </c>
      <c r="AA56" s="1">
        <v>133</v>
      </c>
      <c r="AB56" s="1">
        <v>128</v>
      </c>
      <c r="AC56" s="1">
        <v>157</v>
      </c>
      <c r="AD56" s="1">
        <v>131</v>
      </c>
      <c r="AE56" s="1">
        <v>183</v>
      </c>
      <c r="AF56" s="1">
        <v>-180</v>
      </c>
      <c r="AG56" s="1">
        <v>-213</v>
      </c>
      <c r="AH56" s="1">
        <v>151</v>
      </c>
      <c r="AI56" s="1">
        <v>278</v>
      </c>
      <c r="AJ56" s="1">
        <v>218</v>
      </c>
      <c r="AK56" s="1">
        <v>251</v>
      </c>
      <c r="AL56" s="1">
        <v>245</v>
      </c>
      <c r="AM56" s="1">
        <v>197</v>
      </c>
      <c r="AN56" s="1">
        <v>322</v>
      </c>
      <c r="AO56" s="1">
        <v>2910</v>
      </c>
      <c r="AP56" s="1">
        <v>1170</v>
      </c>
      <c r="AQ56" s="1">
        <v>1458</v>
      </c>
      <c r="AR56" s="1">
        <v>1851</v>
      </c>
      <c r="AS56" s="1">
        <v>1538</v>
      </c>
      <c r="AT56" s="1">
        <v>2967</v>
      </c>
      <c r="AU56" s="1">
        <v>-549</v>
      </c>
      <c r="AV56" s="1">
        <v>1438</v>
      </c>
      <c r="AW56" s="1">
        <v>-220</v>
      </c>
      <c r="AX56" s="1">
        <v>1894</v>
      </c>
      <c r="AY56" s="1">
        <v>2146</v>
      </c>
      <c r="AZ56" s="1">
        <f>6858-SUM(AW56:AY56)</f>
        <v>3038</v>
      </c>
      <c r="BA56" s="1">
        <v>4846</v>
      </c>
      <c r="BB56" s="1">
        <v>2624</v>
      </c>
      <c r="BC56" s="1">
        <v>2033</v>
      </c>
      <c r="BD56" s="1">
        <f>12020-SUM(BA56:BC56)</f>
        <v>2517</v>
      </c>
      <c r="BE56" s="1">
        <v>-1160</v>
      </c>
      <c r="BF56" s="1">
        <v>-439</v>
      </c>
      <c r="BG56" s="1">
        <v>-902</v>
      </c>
      <c r="BH56" s="1">
        <f>-3514-SUM(BE56:BG56)</f>
        <v>-1013</v>
      </c>
      <c r="BI56" s="1">
        <v>790</v>
      </c>
      <c r="BJ56" s="1">
        <v>65</v>
      </c>
      <c r="BK56" s="1">
        <v>-146</v>
      </c>
      <c r="BL56" s="1">
        <f>1424-SUM(BI56:BK56)</f>
        <v>715</v>
      </c>
      <c r="BM56" s="1">
        <v>2843</v>
      </c>
      <c r="BN56" s="1">
        <v>126</v>
      </c>
      <c r="BO56" s="1">
        <v>3185</v>
      </c>
      <c r="BP56" s="1">
        <f>7425-SUM(BM56:BO56)</f>
        <v>1271</v>
      </c>
      <c r="BQ56" s="1">
        <v>11183</v>
      </c>
      <c r="CH56" s="1">
        <f t="shared" si="74"/>
        <v>69</v>
      </c>
      <c r="CI56" s="1">
        <f t="shared" si="75"/>
        <v>415</v>
      </c>
      <c r="CJ56" s="1">
        <f t="shared" si="76"/>
        <v>584</v>
      </c>
      <c r="CK56" s="1">
        <f t="shared" si="77"/>
        <v>635</v>
      </c>
      <c r="CL56" s="1">
        <f t="shared" si="78"/>
        <v>496</v>
      </c>
      <c r="CM56" s="1">
        <f t="shared" si="79"/>
        <v>763</v>
      </c>
      <c r="CN56" s="1">
        <f t="shared" si="80"/>
        <v>291</v>
      </c>
      <c r="CO56" s="1">
        <f t="shared" si="81"/>
        <v>434</v>
      </c>
      <c r="CP56" s="1">
        <f t="shared" si="82"/>
        <v>1015</v>
      </c>
      <c r="CQ56" s="1">
        <f t="shared" si="83"/>
        <v>7389</v>
      </c>
      <c r="CR56" s="1">
        <f t="shared" si="84"/>
        <v>5394</v>
      </c>
      <c r="CS56" s="1">
        <f t="shared" si="68"/>
        <v>6858</v>
      </c>
      <c r="CT56" s="1">
        <f t="shared" si="69"/>
        <v>12020</v>
      </c>
      <c r="CU56" s="1">
        <f t="shared" si="70"/>
        <v>-3514</v>
      </c>
      <c r="CV56" s="1">
        <f t="shared" si="71"/>
        <v>1424</v>
      </c>
      <c r="CW56" s="1">
        <f t="shared" si="72"/>
        <v>7425</v>
      </c>
      <c r="CX56" s="119">
        <f>CW56*(1+$CZ$75)</f>
        <v>8093.2500000000009</v>
      </c>
      <c r="CY56" s="119">
        <f t="shared" ref="CY56:DG56" si="99">CX56*(1+$CZ$75)</f>
        <v>8821.6425000000017</v>
      </c>
      <c r="CZ56" s="119">
        <f t="shared" si="99"/>
        <v>9615.5903250000028</v>
      </c>
      <c r="DA56" s="119">
        <f t="shared" si="99"/>
        <v>10480.993454250003</v>
      </c>
      <c r="DB56" s="119">
        <f t="shared" si="99"/>
        <v>11424.282865132504</v>
      </c>
      <c r="DC56" s="119">
        <f t="shared" si="99"/>
        <v>12452.468322994429</v>
      </c>
      <c r="DD56" s="119">
        <f t="shared" si="99"/>
        <v>13573.190472063929</v>
      </c>
      <c r="DE56" s="119">
        <f t="shared" si="99"/>
        <v>14794.777614549683</v>
      </c>
      <c r="DF56" s="119">
        <f t="shared" si="99"/>
        <v>16126.307599859156</v>
      </c>
      <c r="DG56" s="119">
        <f t="shared" si="99"/>
        <v>17577.675283846482</v>
      </c>
    </row>
    <row r="57" spans="2:161">
      <c r="B57" s="1" t="s">
        <v>275</v>
      </c>
      <c r="C57" s="53">
        <f>C55+C56</f>
        <v>1634.9</v>
      </c>
      <c r="D57" s="53">
        <f t="shared" ref="D57:BO57" si="100">D55+D56</f>
        <v>1669.2</v>
      </c>
      <c r="E57" s="1">
        <f t="shared" si="100"/>
        <v>1890</v>
      </c>
      <c r="F57" s="1">
        <f t="shared" si="100"/>
        <v>1856</v>
      </c>
      <c r="G57" s="1">
        <f t="shared" si="100"/>
        <v>2067</v>
      </c>
      <c r="H57" s="1">
        <f t="shared" si="100"/>
        <v>2568</v>
      </c>
      <c r="I57" s="1">
        <f t="shared" si="100"/>
        <v>2506</v>
      </c>
      <c r="J57" s="1">
        <f t="shared" si="100"/>
        <v>2434</v>
      </c>
      <c r="K57" s="1">
        <f t="shared" si="100"/>
        <v>2714</v>
      </c>
      <c r="L57" s="1">
        <f t="shared" si="100"/>
        <v>3142</v>
      </c>
      <c r="M57" s="1">
        <f t="shared" si="100"/>
        <v>2392</v>
      </c>
      <c r="N57" s="1">
        <f t="shared" si="100"/>
        <v>3085</v>
      </c>
      <c r="O57" s="1">
        <f t="shared" si="100"/>
        <v>3360</v>
      </c>
      <c r="P57" s="1">
        <f t="shared" si="100"/>
        <v>3489</v>
      </c>
      <c r="Q57" s="1">
        <f t="shared" si="100"/>
        <v>3545</v>
      </c>
      <c r="R57" s="1">
        <f t="shared" si="100"/>
        <v>3490</v>
      </c>
      <c r="S57" s="1">
        <f t="shared" si="100"/>
        <v>2805</v>
      </c>
      <c r="T57" s="1">
        <f t="shared" si="100"/>
        <v>4629</v>
      </c>
      <c r="U57" s="1">
        <f t="shared" si="100"/>
        <v>3882</v>
      </c>
      <c r="V57" s="1">
        <f t="shared" si="100"/>
        <v>3701</v>
      </c>
      <c r="W57" s="1">
        <f t="shared" si="100"/>
        <v>3775</v>
      </c>
      <c r="X57" s="1">
        <f t="shared" si="100"/>
        <v>4541</v>
      </c>
      <c r="Y57" s="1">
        <f t="shared" si="100"/>
        <v>4472</v>
      </c>
      <c r="Z57" s="1">
        <f t="shared" si="100"/>
        <v>4403</v>
      </c>
      <c r="AA57" s="1">
        <f t="shared" si="100"/>
        <v>3857</v>
      </c>
      <c r="AB57" s="1">
        <f t="shared" si="100"/>
        <v>4527</v>
      </c>
      <c r="AC57" s="1">
        <f t="shared" si="100"/>
        <v>4604</v>
      </c>
      <c r="AD57" s="1">
        <f t="shared" si="100"/>
        <v>4956</v>
      </c>
      <c r="AE57" s="1">
        <f t="shared" si="100"/>
        <v>4891</v>
      </c>
      <c r="AF57" s="1">
        <f t="shared" si="100"/>
        <v>5200</v>
      </c>
      <c r="AG57" s="1">
        <f t="shared" si="100"/>
        <v>5129</v>
      </c>
      <c r="AH57" s="1">
        <f t="shared" si="100"/>
        <v>6119</v>
      </c>
      <c r="AI57" s="1">
        <f t="shared" si="100"/>
        <v>6045</v>
      </c>
      <c r="AJ57" s="1">
        <f t="shared" si="100"/>
        <v>6857</v>
      </c>
      <c r="AK57" s="1">
        <f t="shared" si="100"/>
        <v>6819</v>
      </c>
      <c r="AL57" s="1">
        <f t="shared" si="100"/>
        <v>4377</v>
      </c>
      <c r="AM57" s="1">
        <f t="shared" si="100"/>
        <v>7979</v>
      </c>
      <c r="AN57" s="1">
        <f t="shared" si="100"/>
        <v>8018</v>
      </c>
      <c r="AO57" s="1">
        <f t="shared" si="100"/>
        <v>10543</v>
      </c>
      <c r="AP57" s="1">
        <f t="shared" si="100"/>
        <v>4215</v>
      </c>
      <c r="AQ57" s="1">
        <f t="shared" si="100"/>
        <v>10083</v>
      </c>
      <c r="AR57" s="1">
        <f t="shared" si="100"/>
        <v>10072</v>
      </c>
      <c r="AS57" s="1">
        <f t="shared" si="100"/>
        <v>8146</v>
      </c>
      <c r="AT57" s="1">
        <f t="shared" si="100"/>
        <v>12147</v>
      </c>
      <c r="AU57" s="1">
        <f t="shared" si="100"/>
        <v>8628</v>
      </c>
      <c r="AV57" s="1">
        <f t="shared" si="100"/>
        <v>10704</v>
      </c>
      <c r="AW57" s="1">
        <f t="shared" si="100"/>
        <v>7757</v>
      </c>
      <c r="AX57" s="1">
        <f t="shared" si="100"/>
        <v>8277</v>
      </c>
      <c r="AY57" s="1">
        <f t="shared" si="100"/>
        <v>13359</v>
      </c>
      <c r="AZ57" s="1">
        <f t="shared" si="100"/>
        <v>18689</v>
      </c>
      <c r="BA57" s="1">
        <f t="shared" si="100"/>
        <v>21283</v>
      </c>
      <c r="BB57" s="1">
        <f t="shared" si="100"/>
        <v>21985</v>
      </c>
      <c r="BC57" s="1">
        <f t="shared" si="100"/>
        <v>23064</v>
      </c>
      <c r="BD57" s="1">
        <f t="shared" si="100"/>
        <v>24402</v>
      </c>
      <c r="BE57" s="1">
        <f t="shared" si="100"/>
        <v>18934</v>
      </c>
      <c r="BF57" s="1">
        <f t="shared" si="100"/>
        <v>19014</v>
      </c>
      <c r="BG57" s="1">
        <f t="shared" si="100"/>
        <v>16233</v>
      </c>
      <c r="BH57" s="1">
        <f t="shared" si="100"/>
        <v>17147</v>
      </c>
      <c r="BI57" s="1">
        <f t="shared" si="100"/>
        <v>18205</v>
      </c>
      <c r="BJ57" s="1">
        <f t="shared" si="100"/>
        <v>21903</v>
      </c>
      <c r="BK57" s="1">
        <f t="shared" si="100"/>
        <v>21197</v>
      </c>
      <c r="BL57" s="1">
        <f t="shared" si="100"/>
        <v>24412</v>
      </c>
      <c r="BM57" s="1">
        <f t="shared" si="100"/>
        <v>28315</v>
      </c>
      <c r="BN57" s="1">
        <f t="shared" si="100"/>
        <v>27551</v>
      </c>
      <c r="BO57" s="1">
        <f t="shared" si="100"/>
        <v>31706</v>
      </c>
      <c r="BP57" s="1">
        <f t="shared" ref="BP57" si="101">BP55+BP56</f>
        <v>32243</v>
      </c>
      <c r="BQ57" s="1">
        <f>BQ55+BQ56</f>
        <v>41789</v>
      </c>
      <c r="CH57" s="1">
        <f t="shared" si="74"/>
        <v>8381</v>
      </c>
      <c r="CI57" s="1">
        <f t="shared" si="75"/>
        <v>10796</v>
      </c>
      <c r="CJ57" s="1">
        <f t="shared" si="76"/>
        <v>12326</v>
      </c>
      <c r="CK57" s="1">
        <f t="shared" si="77"/>
        <v>14469</v>
      </c>
      <c r="CL57" s="1">
        <f t="shared" si="78"/>
        <v>15899</v>
      </c>
      <c r="CM57" s="1">
        <f t="shared" si="79"/>
        <v>17259</v>
      </c>
      <c r="CN57" s="1">
        <f t="shared" si="80"/>
        <v>19651</v>
      </c>
      <c r="CO57" s="1">
        <f t="shared" si="81"/>
        <v>24150</v>
      </c>
      <c r="CP57" s="1">
        <f t="shared" si="82"/>
        <v>27193</v>
      </c>
      <c r="CQ57" s="1">
        <f t="shared" si="83"/>
        <v>34913</v>
      </c>
      <c r="CR57" s="1">
        <f t="shared" si="84"/>
        <v>39625</v>
      </c>
      <c r="CS57" s="1">
        <f t="shared" si="68"/>
        <v>48082</v>
      </c>
      <c r="CT57" s="1">
        <f t="shared" si="69"/>
        <v>90734</v>
      </c>
      <c r="CU57" s="1">
        <f t="shared" si="70"/>
        <v>71328</v>
      </c>
      <c r="CV57" s="1">
        <f t="shared" si="71"/>
        <v>85717</v>
      </c>
      <c r="CW57" s="1">
        <f t="shared" si="72"/>
        <v>119815</v>
      </c>
      <c r="CX57" s="119">
        <f>SUM(CX55:CX56)</f>
        <v>139111.75397999998</v>
      </c>
      <c r="CY57" s="119">
        <f t="shared" ref="CY57:DG57" si="102">SUM(CY55:CY56)</f>
        <v>148319.87726560002</v>
      </c>
      <c r="CZ57" s="119">
        <f t="shared" si="102"/>
        <v>161430.720088328</v>
      </c>
      <c r="DA57" s="119">
        <f t="shared" si="102"/>
        <v>180442.46182909174</v>
      </c>
      <c r="DB57" s="119">
        <f t="shared" si="102"/>
        <v>195023.70687867992</v>
      </c>
      <c r="DC57" s="119">
        <f t="shared" si="102"/>
        <v>215769.46057954477</v>
      </c>
      <c r="DD57" s="119">
        <f t="shared" si="102"/>
        <v>231616.04921891831</v>
      </c>
      <c r="DE57" s="119">
        <f t="shared" si="102"/>
        <v>253612.02089766986</v>
      </c>
      <c r="DF57" s="119">
        <f t="shared" si="102"/>
        <v>276565.51542825595</v>
      </c>
      <c r="DG57" s="119">
        <f t="shared" si="102"/>
        <v>292585.07443752233</v>
      </c>
    </row>
    <row r="58" spans="2:161">
      <c r="B58" s="1" t="s">
        <v>276</v>
      </c>
      <c r="C58" s="53">
        <v>388.5</v>
      </c>
      <c r="D58" s="53">
        <v>378.8</v>
      </c>
      <c r="E58" s="1">
        <v>467</v>
      </c>
      <c r="F58" s="1">
        <v>371</v>
      </c>
      <c r="G58" s="1">
        <v>428</v>
      </c>
      <c r="H58" s="1">
        <v>595</v>
      </c>
      <c r="I58" s="1">
        <v>551</v>
      </c>
      <c r="J58" s="1">
        <v>594</v>
      </c>
      <c r="K58" s="1">
        <v>547</v>
      </c>
      <c r="L58" s="1">
        <v>599</v>
      </c>
      <c r="M58" s="1">
        <v>594</v>
      </c>
      <c r="N58" s="1">
        <v>580</v>
      </c>
      <c r="O58" s="1">
        <v>631</v>
      </c>
      <c r="P58" s="1">
        <v>784</v>
      </c>
      <c r="Q58" s="1">
        <v>655</v>
      </c>
      <c r="R58" s="1">
        <v>657</v>
      </c>
      <c r="S58" s="1">
        <v>647</v>
      </c>
      <c r="T58" s="1">
        <v>957</v>
      </c>
      <c r="U58" s="1">
        <v>354</v>
      </c>
      <c r="V58" s="1">
        <v>927</v>
      </c>
      <c r="W58" s="1">
        <v>612</v>
      </c>
      <c r="X58" s="1">
        <v>846</v>
      </c>
      <c r="Y58" s="1">
        <v>822</v>
      </c>
      <c r="Z58" s="1">
        <v>984</v>
      </c>
      <c r="AA58" s="1">
        <v>933</v>
      </c>
      <c r="AB58" s="1">
        <v>900</v>
      </c>
      <c r="AC58" s="1">
        <v>1089</v>
      </c>
      <c r="AD58" s="1">
        <v>1025</v>
      </c>
      <c r="AE58" s="1">
        <v>912</v>
      </c>
      <c r="AF58" s="1">
        <v>277</v>
      </c>
      <c r="AG58" s="1">
        <v>922</v>
      </c>
      <c r="AH58" s="1">
        <v>1242</v>
      </c>
      <c r="AI58" s="1">
        <v>984</v>
      </c>
      <c r="AJ58" s="1">
        <v>1524</v>
      </c>
      <c r="AK58" s="1">
        <v>1393</v>
      </c>
      <c r="AL58" s="1">
        <v>853</v>
      </c>
      <c r="AM58" s="1">
        <v>1247</v>
      </c>
      <c r="AN58" s="1">
        <v>11038</v>
      </c>
      <c r="AO58" s="1">
        <v>1142</v>
      </c>
      <c r="AP58" s="1">
        <v>1020</v>
      </c>
      <c r="AQ58" s="1">
        <v>891</v>
      </c>
      <c r="AR58" s="1">
        <v>1124</v>
      </c>
      <c r="AS58" s="1">
        <v>1489</v>
      </c>
      <c r="AT58" s="1">
        <v>2200</v>
      </c>
      <c r="AU58" s="1">
        <v>1560</v>
      </c>
      <c r="AV58" s="1">
        <v>33</v>
      </c>
      <c r="AW58" s="1">
        <v>921</v>
      </c>
      <c r="AX58" s="1">
        <v>1318</v>
      </c>
      <c r="AY58" s="1">
        <v>2112</v>
      </c>
      <c r="AZ58" s="1">
        <f>7813-SUM(AW58:AY58)</f>
        <v>3462</v>
      </c>
      <c r="BA58" s="1">
        <v>3353</v>
      </c>
      <c r="BB58" s="1">
        <v>3460</v>
      </c>
      <c r="BC58" s="1">
        <v>4128</v>
      </c>
      <c r="BD58" s="1">
        <f>14701-SUM(BA58:BC58)</f>
        <v>3760</v>
      </c>
      <c r="BE58" s="1">
        <v>2498</v>
      </c>
      <c r="BF58" s="1">
        <v>3012</v>
      </c>
      <c r="BG58" s="1">
        <v>2323</v>
      </c>
      <c r="BH58" s="1">
        <f>11356-SUM(BE58:BG58)</f>
        <v>3523</v>
      </c>
      <c r="BI58" s="1">
        <v>3154</v>
      </c>
      <c r="BJ58" s="1">
        <v>3535</v>
      </c>
      <c r="BK58" s="1">
        <v>1508</v>
      </c>
      <c r="BL58" s="1">
        <f>11922-SUM(BI58:BK58)</f>
        <v>3725</v>
      </c>
      <c r="BM58" s="1">
        <v>4653</v>
      </c>
      <c r="BN58" s="1">
        <v>3932</v>
      </c>
      <c r="BO58" s="1">
        <v>5405</v>
      </c>
      <c r="BP58" s="1">
        <f>19697-SUM(BM58:BO58)</f>
        <v>5707</v>
      </c>
      <c r="BQ58" s="1">
        <v>7249</v>
      </c>
      <c r="CH58" s="1">
        <f t="shared" si="74"/>
        <v>1861</v>
      </c>
      <c r="CI58" s="1">
        <f t="shared" si="75"/>
        <v>2291</v>
      </c>
      <c r="CJ58" s="1">
        <f t="shared" si="76"/>
        <v>2589</v>
      </c>
      <c r="CK58" s="1">
        <f t="shared" si="77"/>
        <v>2916</v>
      </c>
      <c r="CL58" s="1">
        <f t="shared" si="78"/>
        <v>2739</v>
      </c>
      <c r="CM58" s="1">
        <f t="shared" si="79"/>
        <v>3639</v>
      </c>
      <c r="CN58" s="1">
        <f t="shared" si="80"/>
        <v>3303</v>
      </c>
      <c r="CO58" s="1">
        <f t="shared" si="81"/>
        <v>4672</v>
      </c>
      <c r="CP58" s="1">
        <f t="shared" si="82"/>
        <v>14531</v>
      </c>
      <c r="CQ58" s="1">
        <f t="shared" si="83"/>
        <v>4177</v>
      </c>
      <c r="CR58" s="1">
        <f t="shared" si="84"/>
        <v>5282</v>
      </c>
      <c r="CS58" s="1">
        <f t="shared" si="68"/>
        <v>7813</v>
      </c>
      <c r="CT58" s="1">
        <f t="shared" si="69"/>
        <v>14701</v>
      </c>
      <c r="CU58" s="1">
        <f t="shared" si="70"/>
        <v>11356</v>
      </c>
      <c r="CV58" s="1">
        <f t="shared" si="71"/>
        <v>11922</v>
      </c>
      <c r="CW58" s="1">
        <f t="shared" si="72"/>
        <v>19697</v>
      </c>
      <c r="CX58" s="119">
        <f>CX57*CX69</f>
        <v>22953.439406699999</v>
      </c>
      <c r="CY58" s="119">
        <f t="shared" ref="CY58:DG58" si="103">CY57*CY69</f>
        <v>24843.579441988004</v>
      </c>
      <c r="CZ58" s="119">
        <f t="shared" si="103"/>
        <v>27443.222415015764</v>
      </c>
      <c r="DA58" s="119">
        <f t="shared" si="103"/>
        <v>31577.430820091053</v>
      </c>
      <c r="DB58" s="119">
        <f t="shared" si="103"/>
        <v>35104.267238162385</v>
      </c>
      <c r="DC58" s="119">
        <f t="shared" si="103"/>
        <v>38838.502904318055</v>
      </c>
      <c r="DD58" s="119">
        <f t="shared" si="103"/>
        <v>41690.888859405291</v>
      </c>
      <c r="DE58" s="119">
        <f t="shared" si="103"/>
        <v>45650.163761580574</v>
      </c>
      <c r="DF58" s="119">
        <f t="shared" si="103"/>
        <v>49781.79277708607</v>
      </c>
      <c r="DG58" s="119">
        <f t="shared" si="103"/>
        <v>52665.31339875402</v>
      </c>
    </row>
    <row r="59" spans="2:161" s="2" customFormat="1" ht="15">
      <c r="B59" s="2" t="s">
        <v>277</v>
      </c>
      <c r="C59" s="54">
        <f>C57-C58</f>
        <v>1246.4000000000001</v>
      </c>
      <c r="D59" s="54">
        <f t="shared" ref="D59:BO59" si="104">D57-D58</f>
        <v>1290.4000000000001</v>
      </c>
      <c r="E59" s="2">
        <f t="shared" si="104"/>
        <v>1423</v>
      </c>
      <c r="F59" s="2">
        <f t="shared" si="104"/>
        <v>1485</v>
      </c>
      <c r="G59" s="2">
        <f t="shared" si="104"/>
        <v>1639</v>
      </c>
      <c r="H59" s="2">
        <f t="shared" si="104"/>
        <v>1973</v>
      </c>
      <c r="I59" s="2">
        <f t="shared" si="104"/>
        <v>1955</v>
      </c>
      <c r="J59" s="2">
        <f t="shared" si="104"/>
        <v>1840</v>
      </c>
      <c r="K59" s="2">
        <f t="shared" si="104"/>
        <v>2167</v>
      </c>
      <c r="L59" s="2">
        <f t="shared" si="104"/>
        <v>2543</v>
      </c>
      <c r="M59" s="2">
        <f t="shared" si="104"/>
        <v>1798</v>
      </c>
      <c r="N59" s="2">
        <f t="shared" si="104"/>
        <v>2505</v>
      </c>
      <c r="O59" s="2">
        <f t="shared" si="104"/>
        <v>2729</v>
      </c>
      <c r="P59" s="2">
        <f t="shared" si="104"/>
        <v>2705</v>
      </c>
      <c r="Q59" s="2">
        <f t="shared" si="104"/>
        <v>2890</v>
      </c>
      <c r="R59" s="2">
        <f t="shared" si="104"/>
        <v>2833</v>
      </c>
      <c r="S59" s="2">
        <f t="shared" si="104"/>
        <v>2158</v>
      </c>
      <c r="T59" s="2">
        <f t="shared" si="104"/>
        <v>3672</v>
      </c>
      <c r="U59" s="2">
        <f t="shared" si="104"/>
        <v>3528</v>
      </c>
      <c r="V59" s="2">
        <f t="shared" si="104"/>
        <v>2774</v>
      </c>
      <c r="W59" s="2">
        <f t="shared" si="104"/>
        <v>3163</v>
      </c>
      <c r="X59" s="2">
        <f t="shared" si="104"/>
        <v>3695</v>
      </c>
      <c r="Y59" s="2">
        <f t="shared" si="104"/>
        <v>3650</v>
      </c>
      <c r="Z59" s="2">
        <f t="shared" si="104"/>
        <v>3419</v>
      </c>
      <c r="AA59" s="2">
        <f t="shared" si="104"/>
        <v>2924</v>
      </c>
      <c r="AB59" s="2">
        <f t="shared" si="104"/>
        <v>3627</v>
      </c>
      <c r="AC59" s="2">
        <f t="shared" si="104"/>
        <v>3515</v>
      </c>
      <c r="AD59" s="2">
        <f t="shared" si="104"/>
        <v>3931</v>
      </c>
      <c r="AE59" s="2">
        <f t="shared" si="104"/>
        <v>3979</v>
      </c>
      <c r="AF59" s="2">
        <f t="shared" si="104"/>
        <v>4923</v>
      </c>
      <c r="AG59" s="2">
        <f t="shared" si="104"/>
        <v>4207</v>
      </c>
      <c r="AH59" s="2">
        <f t="shared" si="104"/>
        <v>4877</v>
      </c>
      <c r="AI59" s="2">
        <f t="shared" si="104"/>
        <v>5061</v>
      </c>
      <c r="AJ59" s="2">
        <f t="shared" si="104"/>
        <v>5333</v>
      </c>
      <c r="AK59" s="2">
        <f t="shared" si="104"/>
        <v>5426</v>
      </c>
      <c r="AL59" s="2">
        <f t="shared" si="104"/>
        <v>3524</v>
      </c>
      <c r="AM59" s="2">
        <f t="shared" si="104"/>
        <v>6732</v>
      </c>
      <c r="AN59" s="2">
        <f t="shared" si="104"/>
        <v>-3020</v>
      </c>
      <c r="AO59" s="2">
        <f t="shared" si="104"/>
        <v>9401</v>
      </c>
      <c r="AP59" s="2">
        <f t="shared" si="104"/>
        <v>3195</v>
      </c>
      <c r="AQ59" s="2">
        <f t="shared" si="104"/>
        <v>9192</v>
      </c>
      <c r="AR59" s="2">
        <f t="shared" si="104"/>
        <v>8948</v>
      </c>
      <c r="AS59" s="2">
        <f t="shared" si="104"/>
        <v>6657</v>
      </c>
      <c r="AT59" s="2">
        <f t="shared" si="104"/>
        <v>9947</v>
      </c>
      <c r="AU59" s="2">
        <f t="shared" si="104"/>
        <v>7068</v>
      </c>
      <c r="AV59" s="2">
        <f t="shared" si="104"/>
        <v>10671</v>
      </c>
      <c r="AW59" s="2">
        <f t="shared" si="104"/>
        <v>6836</v>
      </c>
      <c r="AX59" s="2">
        <f t="shared" si="104"/>
        <v>6959</v>
      </c>
      <c r="AY59" s="2">
        <f t="shared" si="104"/>
        <v>11247</v>
      </c>
      <c r="AZ59" s="2">
        <f t="shared" si="104"/>
        <v>15227</v>
      </c>
      <c r="BA59" s="2">
        <f t="shared" si="104"/>
        <v>17930</v>
      </c>
      <c r="BB59" s="2">
        <f t="shared" si="104"/>
        <v>18525</v>
      </c>
      <c r="BC59" s="2">
        <f t="shared" si="104"/>
        <v>18936</v>
      </c>
      <c r="BD59" s="2">
        <f t="shared" si="104"/>
        <v>20642</v>
      </c>
      <c r="BE59" s="2">
        <f t="shared" si="104"/>
        <v>16436</v>
      </c>
      <c r="BF59" s="2">
        <f t="shared" si="104"/>
        <v>16002</v>
      </c>
      <c r="BG59" s="2">
        <f t="shared" si="104"/>
        <v>13910</v>
      </c>
      <c r="BH59" s="2">
        <f t="shared" si="104"/>
        <v>13624</v>
      </c>
      <c r="BI59" s="2">
        <f t="shared" si="104"/>
        <v>15051</v>
      </c>
      <c r="BJ59" s="2">
        <f t="shared" si="104"/>
        <v>18368</v>
      </c>
      <c r="BK59" s="2">
        <f t="shared" si="104"/>
        <v>19689</v>
      </c>
      <c r="BL59" s="2">
        <f t="shared" si="104"/>
        <v>20687</v>
      </c>
      <c r="BM59" s="2">
        <f t="shared" si="104"/>
        <v>23662</v>
      </c>
      <c r="BN59" s="2">
        <f t="shared" si="104"/>
        <v>23619</v>
      </c>
      <c r="BO59" s="2">
        <f t="shared" si="104"/>
        <v>26301</v>
      </c>
      <c r="BP59" s="2">
        <f t="shared" ref="BP59" si="105">BP57-BP58</f>
        <v>26536</v>
      </c>
      <c r="BQ59" s="2">
        <f>BQ57-BQ58</f>
        <v>34540</v>
      </c>
      <c r="BR59" s="34">
        <v>26470</v>
      </c>
      <c r="BS59" s="34">
        <v>27190</v>
      </c>
      <c r="BT59" s="34">
        <v>29490</v>
      </c>
      <c r="BU59" s="34">
        <v>28340</v>
      </c>
      <c r="BV59" s="34">
        <v>29120</v>
      </c>
      <c r="BW59" s="34">
        <v>29980</v>
      </c>
      <c r="BX59" s="34">
        <v>32980</v>
      </c>
      <c r="BY59" s="34">
        <v>30680</v>
      </c>
      <c r="BZ59" s="34"/>
      <c r="CA59" s="34"/>
      <c r="CB59" s="34"/>
      <c r="CC59" s="34"/>
      <c r="CH59" s="2">
        <f t="shared" si="74"/>
        <v>6520</v>
      </c>
      <c r="CI59" s="2">
        <f t="shared" si="75"/>
        <v>8505</v>
      </c>
      <c r="CJ59" s="2">
        <f t="shared" si="76"/>
        <v>9737</v>
      </c>
      <c r="CK59" s="2">
        <f t="shared" si="77"/>
        <v>11553</v>
      </c>
      <c r="CL59" s="2">
        <f t="shared" si="78"/>
        <v>13160</v>
      </c>
      <c r="CM59" s="2">
        <f t="shared" si="79"/>
        <v>13620</v>
      </c>
      <c r="CN59" s="2">
        <f t="shared" si="80"/>
        <v>16348</v>
      </c>
      <c r="CO59" s="2">
        <f t="shared" si="81"/>
        <v>19478</v>
      </c>
      <c r="CP59" s="2">
        <f t="shared" si="82"/>
        <v>12662</v>
      </c>
      <c r="CQ59" s="2">
        <f t="shared" si="83"/>
        <v>30736</v>
      </c>
      <c r="CR59" s="2">
        <f t="shared" si="84"/>
        <v>34343</v>
      </c>
      <c r="CS59" s="2">
        <f t="shared" si="68"/>
        <v>40269</v>
      </c>
      <c r="CT59" s="2">
        <f t="shared" si="69"/>
        <v>76033</v>
      </c>
      <c r="CU59" s="2">
        <f t="shared" si="70"/>
        <v>59972</v>
      </c>
      <c r="CV59" s="2">
        <f t="shared" si="71"/>
        <v>73795</v>
      </c>
      <c r="CW59" s="2">
        <f t="shared" si="72"/>
        <v>100118</v>
      </c>
      <c r="CX59" s="120">
        <f>CX57-CX58</f>
        <v>116158.31457329998</v>
      </c>
      <c r="CY59" s="120">
        <f t="shared" ref="CY59:DG59" si="106">CY57-CY58</f>
        <v>123476.29782361203</v>
      </c>
      <c r="CZ59" s="120">
        <f t="shared" si="106"/>
        <v>133987.49767331223</v>
      </c>
      <c r="DA59" s="120">
        <f t="shared" si="106"/>
        <v>148865.0310090007</v>
      </c>
      <c r="DB59" s="120">
        <f t="shared" si="106"/>
        <v>159919.43964051752</v>
      </c>
      <c r="DC59" s="120">
        <f t="shared" si="106"/>
        <v>176930.95767522673</v>
      </c>
      <c r="DD59" s="120">
        <f t="shared" si="106"/>
        <v>189925.16035951301</v>
      </c>
      <c r="DE59" s="120">
        <f t="shared" si="106"/>
        <v>207961.8571360893</v>
      </c>
      <c r="DF59" s="120">
        <f t="shared" si="106"/>
        <v>226783.72265116987</v>
      </c>
      <c r="DG59" s="120">
        <f t="shared" si="106"/>
        <v>239919.76103876831</v>
      </c>
      <c r="DH59" s="34">
        <f>DG59*(1+$CZ$76)</f>
        <v>245917.75506473749</v>
      </c>
      <c r="DI59" s="34">
        <f>DH59*(1+$CZ$76)</f>
        <v>252065.69894135589</v>
      </c>
      <c r="DJ59" s="34">
        <f t="shared" ref="DJ59:FE59" si="107">DI59*(1+$CZ$76)</f>
        <v>258367.34141488976</v>
      </c>
      <c r="DK59" s="34">
        <f t="shared" si="107"/>
        <v>264826.52495026198</v>
      </c>
      <c r="DL59" s="34">
        <f t="shared" si="107"/>
        <v>271447.18807401852</v>
      </c>
      <c r="DM59" s="34">
        <f t="shared" si="107"/>
        <v>278233.36777586897</v>
      </c>
      <c r="DN59" s="34">
        <f t="shared" si="107"/>
        <v>285189.20197026565</v>
      </c>
      <c r="DO59" s="34">
        <f t="shared" si="107"/>
        <v>292318.9320195223</v>
      </c>
      <c r="DP59" s="34">
        <f t="shared" si="107"/>
        <v>299626.90532001032</v>
      </c>
      <c r="DQ59" s="34">
        <f t="shared" si="107"/>
        <v>307117.57795301056</v>
      </c>
      <c r="DR59" s="34">
        <f t="shared" si="107"/>
        <v>314795.51740183582</v>
      </c>
      <c r="DS59" s="34">
        <f t="shared" si="107"/>
        <v>322665.4053368817</v>
      </c>
      <c r="DT59" s="34">
        <f t="shared" si="107"/>
        <v>330732.04047030373</v>
      </c>
      <c r="DU59" s="34">
        <f t="shared" si="107"/>
        <v>339000.34148206131</v>
      </c>
      <c r="DV59" s="34">
        <f t="shared" si="107"/>
        <v>347475.35001911281</v>
      </c>
      <c r="DW59" s="34">
        <f t="shared" si="107"/>
        <v>356162.23376959062</v>
      </c>
      <c r="DX59" s="34">
        <f t="shared" si="107"/>
        <v>365066.28961383033</v>
      </c>
      <c r="DY59" s="34">
        <f t="shared" si="107"/>
        <v>374192.94685417606</v>
      </c>
      <c r="DZ59" s="34">
        <f t="shared" si="107"/>
        <v>383547.77052553045</v>
      </c>
      <c r="EA59" s="34">
        <f t="shared" si="107"/>
        <v>393136.46478866867</v>
      </c>
      <c r="EB59" s="34">
        <f t="shared" si="107"/>
        <v>402964.87640838535</v>
      </c>
      <c r="EC59" s="34">
        <f t="shared" si="107"/>
        <v>413038.99831859494</v>
      </c>
      <c r="ED59" s="34">
        <f t="shared" si="107"/>
        <v>423364.97327655979</v>
      </c>
      <c r="EE59" s="34">
        <f t="shared" si="107"/>
        <v>433949.09760847373</v>
      </c>
      <c r="EF59" s="34">
        <f t="shared" si="107"/>
        <v>444797.82504868554</v>
      </c>
      <c r="EG59" s="34">
        <f t="shared" si="107"/>
        <v>455917.77067490265</v>
      </c>
      <c r="EH59" s="34">
        <f t="shared" si="107"/>
        <v>467315.71494177519</v>
      </c>
      <c r="EI59" s="34">
        <f t="shared" si="107"/>
        <v>478998.60781531956</v>
      </c>
      <c r="EJ59" s="34">
        <f t="shared" si="107"/>
        <v>490973.5730107025</v>
      </c>
      <c r="EK59" s="34">
        <f t="shared" si="107"/>
        <v>503247.91233597003</v>
      </c>
      <c r="EL59" s="34">
        <f t="shared" si="107"/>
        <v>515829.11014436925</v>
      </c>
      <c r="EM59" s="34">
        <f t="shared" si="107"/>
        <v>528724.83789797837</v>
      </c>
      <c r="EN59" s="34">
        <f t="shared" si="107"/>
        <v>541942.95884542784</v>
      </c>
      <c r="EO59" s="34">
        <f t="shared" si="107"/>
        <v>555491.5328165635</v>
      </c>
      <c r="EP59" s="34">
        <f t="shared" si="107"/>
        <v>569378.82113697752</v>
      </c>
      <c r="EQ59" s="34">
        <f t="shared" si="107"/>
        <v>583613.29166540189</v>
      </c>
      <c r="ER59" s="34">
        <f t="shared" si="107"/>
        <v>598203.62395703688</v>
      </c>
      <c r="ES59" s="34">
        <f t="shared" si="107"/>
        <v>613158.71455596271</v>
      </c>
      <c r="ET59" s="34">
        <f t="shared" si="107"/>
        <v>628487.68241986167</v>
      </c>
      <c r="EU59" s="34">
        <f t="shared" si="107"/>
        <v>644199.87448035821</v>
      </c>
      <c r="EV59" s="34">
        <f t="shared" si="107"/>
        <v>660304.87134236714</v>
      </c>
      <c r="EW59" s="34">
        <f t="shared" si="107"/>
        <v>676812.49312592624</v>
      </c>
      <c r="EX59" s="34">
        <f t="shared" si="107"/>
        <v>693732.80545407429</v>
      </c>
      <c r="EY59" s="34">
        <f t="shared" si="107"/>
        <v>711076.12559042603</v>
      </c>
      <c r="EZ59" s="34">
        <f t="shared" si="107"/>
        <v>728853.02873018663</v>
      </c>
      <c r="FA59" s="34">
        <f t="shared" si="107"/>
        <v>747074.35444844118</v>
      </c>
      <c r="FB59" s="34">
        <f t="shared" si="107"/>
        <v>765751.21330965217</v>
      </c>
      <c r="FC59" s="34">
        <f t="shared" si="107"/>
        <v>784894.99364239338</v>
      </c>
      <c r="FD59" s="34">
        <f t="shared" si="107"/>
        <v>804517.36848345317</v>
      </c>
      <c r="FE59" s="34">
        <f t="shared" si="107"/>
        <v>824630.30269553943</v>
      </c>
    </row>
    <row r="60" spans="2:161">
      <c r="B60" s="1" t="s">
        <v>79</v>
      </c>
      <c r="E60" s="1">
        <v>12610</v>
      </c>
      <c r="F60" s="1">
        <v>12636</v>
      </c>
      <c r="G60" s="1">
        <v>12660</v>
      </c>
      <c r="H60" s="1">
        <v>12649</v>
      </c>
      <c r="I60" s="1">
        <v>12716</v>
      </c>
      <c r="J60" s="1">
        <v>12734</v>
      </c>
      <c r="K60" s="1">
        <v>12745</v>
      </c>
      <c r="L60" s="1">
        <v>12748</v>
      </c>
      <c r="M60" s="1">
        <v>12861</v>
      </c>
      <c r="N60" s="1">
        <v>12889</v>
      </c>
      <c r="O60" s="1">
        <v>12926</v>
      </c>
      <c r="P60" s="1">
        <v>12911</v>
      </c>
      <c r="Q60" s="1">
        <v>13012</v>
      </c>
      <c r="R60" s="1">
        <v>13051</v>
      </c>
      <c r="S60" s="1">
        <v>13111</v>
      </c>
      <c r="T60" s="1">
        <v>13089</v>
      </c>
      <c r="U60" s="1">
        <v>13218</v>
      </c>
      <c r="V60" s="1">
        <v>13299</v>
      </c>
      <c r="W60" s="1">
        <v>13345</v>
      </c>
      <c r="X60" s="1">
        <v>13314</v>
      </c>
      <c r="Y60" s="1">
        <v>13452</v>
      </c>
      <c r="Z60" s="1">
        <v>13502</v>
      </c>
      <c r="AA60" s="1">
        <v>13542</v>
      </c>
      <c r="AB60" s="1">
        <v>13519</v>
      </c>
      <c r="AC60" s="1">
        <v>13618</v>
      </c>
      <c r="AD60" s="1">
        <v>13672</v>
      </c>
      <c r="AE60" s="1">
        <v>13729</v>
      </c>
      <c r="AF60" s="1">
        <v>13693</v>
      </c>
      <c r="AG60" s="1">
        <v>13750</v>
      </c>
      <c r="AH60" s="1">
        <v>13724</v>
      </c>
      <c r="AI60" s="1">
        <v>13751</v>
      </c>
      <c r="AJ60" s="1">
        <v>13756</v>
      </c>
      <c r="AK60" s="1">
        <v>13831</v>
      </c>
      <c r="AL60" s="1">
        <v>13839</v>
      </c>
      <c r="AM60" s="1">
        <v>13870</v>
      </c>
      <c r="AN60" s="1">
        <v>13858</v>
      </c>
      <c r="AO60" s="1">
        <v>13895</v>
      </c>
      <c r="AP60" s="1">
        <v>13899</v>
      </c>
      <c r="AQ60" s="1">
        <v>13913</v>
      </c>
      <c r="AR60" s="1">
        <v>13903</v>
      </c>
      <c r="AS60" s="1">
        <v>13897</v>
      </c>
      <c r="AT60" s="1">
        <v>13879</v>
      </c>
      <c r="AU60" s="1">
        <v>13855</v>
      </c>
      <c r="AV60" s="1">
        <v>13852</v>
      </c>
      <c r="AW60" s="1">
        <v>13729</v>
      </c>
      <c r="AX60" s="1">
        <v>13635</v>
      </c>
      <c r="AY60" s="1">
        <v>13589</v>
      </c>
      <c r="AZ60" s="1">
        <v>13616</v>
      </c>
      <c r="BA60" s="1">
        <v>13464</v>
      </c>
      <c r="BB60" s="1">
        <v>13379</v>
      </c>
      <c r="BC60" s="1">
        <v>13315</v>
      </c>
      <c r="BD60" s="1">
        <v>13353</v>
      </c>
      <c r="BE60" s="1">
        <v>13203</v>
      </c>
      <c r="BF60" s="1">
        <v>13133</v>
      </c>
      <c r="BG60" s="1">
        <v>13018</v>
      </c>
      <c r="BH60" s="1">
        <v>13063</v>
      </c>
      <c r="BI60" s="1">
        <v>12781</v>
      </c>
      <c r="BJ60" s="1">
        <v>12668</v>
      </c>
      <c r="BK60" s="1">
        <v>12581</v>
      </c>
      <c r="BL60" s="1">
        <v>12488</v>
      </c>
      <c r="BM60" s="1">
        <v>12415</v>
      </c>
      <c r="BN60" s="1">
        <v>12343</v>
      </c>
      <c r="BO60" s="1">
        <v>12290</v>
      </c>
      <c r="BP60" s="1">
        <v>12228</v>
      </c>
      <c r="BQ60" s="1">
        <v>12183</v>
      </c>
      <c r="CH60" s="1">
        <f t="shared" si="74"/>
        <v>50555</v>
      </c>
      <c r="CI60" s="1">
        <f t="shared" si="75"/>
        <v>50943</v>
      </c>
      <c r="CJ60" s="1">
        <f t="shared" si="76"/>
        <v>51587</v>
      </c>
      <c r="CK60" s="1">
        <f t="shared" si="77"/>
        <v>52263</v>
      </c>
      <c r="CL60" s="1">
        <f t="shared" si="78"/>
        <v>53176</v>
      </c>
      <c r="CM60" s="1">
        <f t="shared" si="79"/>
        <v>54015</v>
      </c>
      <c r="CN60" s="1">
        <f t="shared" si="80"/>
        <v>54712</v>
      </c>
      <c r="CO60" s="1">
        <f t="shared" si="81"/>
        <v>54981</v>
      </c>
      <c r="CP60" s="1">
        <f t="shared" si="82"/>
        <v>55398</v>
      </c>
      <c r="CQ60" s="1">
        <f t="shared" si="83"/>
        <v>55610</v>
      </c>
      <c r="CR60" s="1">
        <f t="shared" si="84"/>
        <v>55483</v>
      </c>
      <c r="CS60" s="1">
        <f>AVERAGE(AW60:AZ60)</f>
        <v>13642.25</v>
      </c>
      <c r="CT60" s="1">
        <f>AVERAGE(BA60:BD60)</f>
        <v>13377.75</v>
      </c>
      <c r="CU60" s="1">
        <f>AVERAGE(BE60:BH60)</f>
        <v>13104.25</v>
      </c>
      <c r="CV60" s="1">
        <f>AVERAGE(BI60:BL60)</f>
        <v>12629.5</v>
      </c>
      <c r="CW60" s="1">
        <f>AVERAGE(BM60:BP60)</f>
        <v>12319</v>
      </c>
      <c r="CX60" s="119">
        <v>12000</v>
      </c>
      <c r="CY60" s="119">
        <v>11700</v>
      </c>
      <c r="CZ60" s="119">
        <v>12319</v>
      </c>
      <c r="DA60" s="119">
        <v>12319</v>
      </c>
      <c r="DB60" s="119">
        <v>12319</v>
      </c>
      <c r="DC60" s="119">
        <v>12319</v>
      </c>
      <c r="DD60" s="119">
        <v>12319</v>
      </c>
      <c r="DE60" s="119">
        <v>12319</v>
      </c>
      <c r="DF60" s="119">
        <v>12319</v>
      </c>
      <c r="DG60" s="119">
        <v>12319</v>
      </c>
    </row>
    <row r="61" spans="2:161">
      <c r="B61" s="1" t="s">
        <v>278</v>
      </c>
      <c r="C61" s="40"/>
      <c r="D61" s="40"/>
      <c r="E61" s="40">
        <f t="shared" ref="D61:AV61" si="108">E59/E60</f>
        <v>0.11284694686756543</v>
      </c>
      <c r="F61" s="40">
        <f t="shared" si="108"/>
        <v>0.11752136752136752</v>
      </c>
      <c r="G61" s="40">
        <f t="shared" si="108"/>
        <v>0.12946287519747235</v>
      </c>
      <c r="H61" s="40">
        <f t="shared" si="108"/>
        <v>0.15598070993754448</v>
      </c>
      <c r="I61" s="40">
        <f t="shared" si="108"/>
        <v>0.15374331550802139</v>
      </c>
      <c r="J61" s="40">
        <f t="shared" si="108"/>
        <v>0.14449505261504633</v>
      </c>
      <c r="K61" s="40">
        <f t="shared" si="108"/>
        <v>0.17002746174970576</v>
      </c>
      <c r="L61" s="40">
        <f t="shared" si="108"/>
        <v>0.19948227172889865</v>
      </c>
      <c r="M61" s="40">
        <f t="shared" si="108"/>
        <v>0.13980250369333644</v>
      </c>
      <c r="N61" s="40">
        <f t="shared" si="108"/>
        <v>0.19435177282954458</v>
      </c>
      <c r="O61" s="40">
        <f t="shared" si="108"/>
        <v>0.21112486461395635</v>
      </c>
      <c r="P61" s="40">
        <f t="shared" si="108"/>
        <v>0.20951126946015025</v>
      </c>
      <c r="Q61" s="40">
        <f t="shared" si="108"/>
        <v>0.22210267445434984</v>
      </c>
      <c r="R61" s="40">
        <f t="shared" si="108"/>
        <v>0.21707148877480653</v>
      </c>
      <c r="S61" s="40">
        <f t="shared" si="108"/>
        <v>0.16459461520860347</v>
      </c>
      <c r="T61" s="40">
        <f t="shared" si="108"/>
        <v>0.2805409122163649</v>
      </c>
      <c r="U61" s="40">
        <f t="shared" si="108"/>
        <v>0.26690876078075354</v>
      </c>
      <c r="V61" s="40">
        <f t="shared" si="108"/>
        <v>0.20858711181291825</v>
      </c>
      <c r="W61" s="40">
        <f t="shared" si="108"/>
        <v>0.23701760959160734</v>
      </c>
      <c r="X61" s="40">
        <f t="shared" si="108"/>
        <v>0.27752741475138953</v>
      </c>
      <c r="Y61" s="40">
        <f t="shared" si="108"/>
        <v>0.27133511745465361</v>
      </c>
      <c r="Z61" s="40">
        <f t="shared" si="108"/>
        <v>0.25322174492667754</v>
      </c>
      <c r="AA61" s="40">
        <f t="shared" si="108"/>
        <v>0.21592083887165855</v>
      </c>
      <c r="AB61" s="40">
        <f t="shared" si="108"/>
        <v>0.2682890746356979</v>
      </c>
      <c r="AC61" s="40">
        <f t="shared" si="108"/>
        <v>0.25811426053752384</v>
      </c>
      <c r="AD61" s="40">
        <f t="shared" si="108"/>
        <v>0.28752194265652431</v>
      </c>
      <c r="AE61" s="40">
        <f t="shared" si="108"/>
        <v>0.28982445917401123</v>
      </c>
      <c r="AF61" s="40">
        <f t="shared" si="108"/>
        <v>0.35952676550062074</v>
      </c>
      <c r="AG61" s="40">
        <f t="shared" si="108"/>
        <v>0.30596363636363638</v>
      </c>
      <c r="AH61" s="40">
        <f t="shared" si="108"/>
        <v>0.35536286796852229</v>
      </c>
      <c r="AI61" s="40">
        <f t="shared" si="108"/>
        <v>0.36804596029379683</v>
      </c>
      <c r="AJ61" s="40">
        <f t="shared" si="108"/>
        <v>0.38768537365513228</v>
      </c>
      <c r="AK61" s="40">
        <f t="shared" si="108"/>
        <v>0.39230713614344587</v>
      </c>
      <c r="AL61" s="40">
        <f t="shared" si="108"/>
        <v>0.25464267649396632</v>
      </c>
      <c r="AM61" s="40">
        <f t="shared" si="108"/>
        <v>0.48536409516943041</v>
      </c>
      <c r="AN61" s="40">
        <f t="shared" si="108"/>
        <v>-0.21792466445374514</v>
      </c>
      <c r="AO61" s="40">
        <f t="shared" si="108"/>
        <v>0.67657430730478585</v>
      </c>
      <c r="AP61" s="40">
        <f t="shared" si="108"/>
        <v>0.22987265270882798</v>
      </c>
      <c r="AQ61" s="40">
        <f t="shared" si="108"/>
        <v>0.66067706461582687</v>
      </c>
      <c r="AR61" s="40">
        <f t="shared" si="108"/>
        <v>0.64360210026612963</v>
      </c>
      <c r="AS61" s="40">
        <f t="shared" si="108"/>
        <v>0.47902424983809455</v>
      </c>
      <c r="AT61" s="40">
        <f t="shared" si="108"/>
        <v>0.71669428633186827</v>
      </c>
      <c r="AU61" s="40">
        <f t="shared" si="108"/>
        <v>0.51014074341393001</v>
      </c>
      <c r="AV61" s="40">
        <f t="shared" si="108"/>
        <v>0.77035807103667342</v>
      </c>
      <c r="AW61" s="40">
        <f t="shared" ref="AW61" si="109">AW59/AW60</f>
        <v>0.49792410226527789</v>
      </c>
      <c r="AX61" s="40">
        <f t="shared" ref="AX61" si="110">AX59/AX60</f>
        <v>0.51037770443711039</v>
      </c>
      <c r="AY61" s="40">
        <f t="shared" ref="AY61" si="111">AY59/AY60</f>
        <v>0.82765472073000224</v>
      </c>
      <c r="AZ61" s="40">
        <f t="shared" ref="AZ61" si="112">AZ59/AZ60</f>
        <v>1.1183166862514688</v>
      </c>
      <c r="BA61" s="40">
        <f t="shared" ref="BA61" si="113">BA59/BA60</f>
        <v>1.3316993464052287</v>
      </c>
      <c r="BB61" s="40">
        <f t="shared" ref="BB61" si="114">BB59/BB60</f>
        <v>1.3846326332311831</v>
      </c>
      <c r="BC61" s="40">
        <f t="shared" ref="BC61" si="115">BC59/BC60</f>
        <v>1.4221554637626737</v>
      </c>
      <c r="BD61" s="40">
        <f t="shared" ref="BD61" si="116">BD59/BD60</f>
        <v>1.545869841983075</v>
      </c>
      <c r="BE61" s="40">
        <f t="shared" ref="BE61" si="117">BE59/BE60</f>
        <v>1.2448685904718624</v>
      </c>
      <c r="BF61" s="40">
        <f t="shared" ref="BF61" si="118">BF59/BF60</f>
        <v>1.2184573212518084</v>
      </c>
      <c r="BG61" s="40">
        <f t="shared" ref="BG61" si="119">BG59/BG60</f>
        <v>1.0685205100629898</v>
      </c>
      <c r="BH61" s="40">
        <f t="shared" ref="BH61" si="120">BH59/BH60</f>
        <v>1.0429457245655669</v>
      </c>
      <c r="BI61" s="40">
        <f t="shared" ref="BI61" si="121">BI59/BI60</f>
        <v>1.1776073859635396</v>
      </c>
      <c r="BJ61" s="40">
        <f t="shared" ref="BJ61" si="122">BJ59/BJ60</f>
        <v>1.4499526365645721</v>
      </c>
      <c r="BK61" s="40">
        <f t="shared" ref="BK61" si="123">BK59/BK60</f>
        <v>1.5649789364915347</v>
      </c>
      <c r="BL61" s="40">
        <f t="shared" ref="BL61" si="124">BL59/BL60</f>
        <v>1.6565502882767458</v>
      </c>
      <c r="BM61" s="40">
        <f t="shared" ref="BM61" si="125">BM59/BM60</f>
        <v>1.9059202577527186</v>
      </c>
      <c r="BN61" s="40">
        <f t="shared" ref="BN61" si="126">BN59/BN60</f>
        <v>1.9135542412703557</v>
      </c>
      <c r="BO61" s="40">
        <f t="shared" ref="BO61" si="127">BO59/BO60</f>
        <v>2.1400325467860051</v>
      </c>
      <c r="BP61" s="40">
        <f t="shared" ref="BP61" si="128">BP59/BP60</f>
        <v>2.1701014066077855</v>
      </c>
      <c r="BQ61" s="40">
        <f t="shared" ref="BQ61" si="129">BQ59/BQ60</f>
        <v>2.8350980874989742</v>
      </c>
      <c r="BR61" s="35">
        <v>2.16</v>
      </c>
      <c r="BS61" s="35">
        <v>2.23</v>
      </c>
      <c r="BT61" s="35">
        <v>2.4500000000000002</v>
      </c>
      <c r="BU61" s="35">
        <v>2.34</v>
      </c>
      <c r="BV61" s="35">
        <v>2.42</v>
      </c>
      <c r="BW61" s="61">
        <v>2.5</v>
      </c>
      <c r="BX61" s="35">
        <v>2.77</v>
      </c>
      <c r="BY61" s="35">
        <v>2.57</v>
      </c>
      <c r="CH61" s="40">
        <f t="shared" si="74"/>
        <v>0.51581189952394979</v>
      </c>
      <c r="CI61" s="40">
        <f t="shared" si="75"/>
        <v>0.66774810160167208</v>
      </c>
      <c r="CJ61" s="40">
        <f t="shared" si="76"/>
        <v>0.75479041059698759</v>
      </c>
      <c r="CK61" s="40">
        <f t="shared" si="77"/>
        <v>0.88430969065412479</v>
      </c>
      <c r="CL61" s="40">
        <f t="shared" si="78"/>
        <v>0.99004089693666864</v>
      </c>
      <c r="CM61" s="40">
        <f t="shared" si="79"/>
        <v>1.0087667758886876</v>
      </c>
      <c r="CN61" s="40">
        <f t="shared" si="80"/>
        <v>1.1949874278686801</v>
      </c>
      <c r="CO61" s="40">
        <f t="shared" si="81"/>
        <v>1.4170578382810877</v>
      </c>
      <c r="CP61" s="40">
        <f t="shared" si="82"/>
        <v>0.91438924335309757</v>
      </c>
      <c r="CQ61" s="40">
        <f t="shared" si="83"/>
        <v>2.2107261248955705</v>
      </c>
      <c r="CR61" s="40">
        <f t="shared" si="84"/>
        <v>2.4762173506205665</v>
      </c>
      <c r="CS61" s="40">
        <f t="shared" si="68"/>
        <v>2.9542732136838596</v>
      </c>
      <c r="CT61" s="40">
        <f t="shared" si="69"/>
        <v>5.6843572853821609</v>
      </c>
      <c r="CU61" s="40">
        <f t="shared" si="70"/>
        <v>4.5747921463522276</v>
      </c>
      <c r="CV61" s="40">
        <f t="shared" si="71"/>
        <v>5.8490892472963925</v>
      </c>
      <c r="CW61" s="40">
        <f t="shared" si="72"/>
        <v>8.1296084524168641</v>
      </c>
      <c r="CX61" s="61">
        <f>CX59/CX60</f>
        <v>9.6798595477749991</v>
      </c>
      <c r="CY61" s="61">
        <f t="shared" ref="CY61:DG61" si="130">CY59/CY60</f>
        <v>10.553529728513848</v>
      </c>
      <c r="CZ61" s="61">
        <f t="shared" si="130"/>
        <v>10.876491409474164</v>
      </c>
      <c r="DA61" s="61">
        <f t="shared" si="130"/>
        <v>12.084181427794521</v>
      </c>
      <c r="DB61" s="61">
        <f t="shared" si="130"/>
        <v>12.981527692224818</v>
      </c>
      <c r="DC61" s="61">
        <f t="shared" si="130"/>
        <v>14.362444814938447</v>
      </c>
      <c r="DD61" s="61">
        <f t="shared" si="130"/>
        <v>15.41725467647642</v>
      </c>
      <c r="DE61" s="61">
        <f t="shared" si="130"/>
        <v>16.881391114221064</v>
      </c>
      <c r="DF61" s="61">
        <f t="shared" si="130"/>
        <v>18.409263954149676</v>
      </c>
      <c r="DG61" s="61">
        <f t="shared" si="130"/>
        <v>19.475587388486751</v>
      </c>
    </row>
    <row r="63" spans="2:161">
      <c r="B63" s="37" t="s">
        <v>61</v>
      </c>
      <c r="C63" s="50">
        <f t="shared" ref="C63:AV63" si="131">C50/C48</f>
        <v>0.59977641140301841</v>
      </c>
      <c r="D63" s="50">
        <f t="shared" si="131"/>
        <v>0.60783252120555853</v>
      </c>
      <c r="E63" s="50">
        <f t="shared" si="131"/>
        <v>0.61844254855690683</v>
      </c>
      <c r="F63" s="50">
        <f t="shared" si="131"/>
        <v>0.61832337497736733</v>
      </c>
      <c r="G63" s="50">
        <f t="shared" si="131"/>
        <v>0.62556770395290162</v>
      </c>
      <c r="H63" s="50">
        <f t="shared" si="131"/>
        <v>0.639196883428229</v>
      </c>
      <c r="I63" s="50">
        <f t="shared" si="131"/>
        <v>0.63808118081180809</v>
      </c>
      <c r="J63" s="50">
        <f t="shared" si="131"/>
        <v>0.63826979472140766</v>
      </c>
      <c r="K63" s="50">
        <f t="shared" si="131"/>
        <v>0.64973922591270927</v>
      </c>
      <c r="L63" s="50">
        <f t="shared" si="131"/>
        <v>0.65094786729857823</v>
      </c>
      <c r="M63" s="50">
        <f t="shared" si="131"/>
        <v>0.65760932944606409</v>
      </c>
      <c r="N63" s="50">
        <f t="shared" si="131"/>
        <v>0.64857079547972529</v>
      </c>
      <c r="O63" s="50">
        <f t="shared" si="131"/>
        <v>0.65246913580246912</v>
      </c>
      <c r="P63" s="50">
        <f t="shared" si="131"/>
        <v>0.65022675736961455</v>
      </c>
      <c r="Q63" s="50">
        <f t="shared" si="131"/>
        <v>0.64405824330671679</v>
      </c>
      <c r="R63" s="50">
        <f t="shared" si="131"/>
        <v>0.60387905479800119</v>
      </c>
      <c r="S63" s="50">
        <f t="shared" si="131"/>
        <v>0.55239025856885149</v>
      </c>
      <c r="T63" s="50">
        <f t="shared" si="131"/>
        <v>0.73208207721482055</v>
      </c>
      <c r="U63" s="50">
        <f t="shared" si="131"/>
        <v>0.60342830669446379</v>
      </c>
      <c r="V63" s="50">
        <f t="shared" si="131"/>
        <v>0.60364690623331041</v>
      </c>
      <c r="W63" s="50">
        <f t="shared" si="131"/>
        <v>0.60673258688381559</v>
      </c>
      <c r="X63" s="50">
        <f t="shared" si="131"/>
        <v>0.60189724326733307</v>
      </c>
      <c r="Y63" s="50">
        <f t="shared" si="131"/>
        <v>0.61342412451361872</v>
      </c>
      <c r="Z63" s="50">
        <f t="shared" si="131"/>
        <v>0.61679724224381072</v>
      </c>
      <c r="AA63" s="50">
        <f t="shared" si="131"/>
        <v>0.59480723839496463</v>
      </c>
      <c r="AB63" s="50">
        <f t="shared" si="131"/>
        <v>0.61768767607578856</v>
      </c>
      <c r="AC63" s="50">
        <f t="shared" si="131"/>
        <v>0.63170703441882026</v>
      </c>
      <c r="AD63" s="50">
        <f t="shared" si="131"/>
        <v>0.62864556890618828</v>
      </c>
      <c r="AE63" s="50">
        <f t="shared" si="131"/>
        <v>0.62318607764390899</v>
      </c>
      <c r="AF63" s="50">
        <f t="shared" si="131"/>
        <v>0.61610952224670634</v>
      </c>
      <c r="AG63" s="50">
        <f t="shared" si="131"/>
        <v>0.62245149824751933</v>
      </c>
      <c r="AH63" s="50">
        <f t="shared" si="131"/>
        <v>0.62186046511627902</v>
      </c>
      <c r="AI63" s="50">
        <f t="shared" si="131"/>
        <v>0.61253396285243422</v>
      </c>
      <c r="AJ63" s="50">
        <f t="shared" si="131"/>
        <v>0.59096838551258446</v>
      </c>
      <c r="AK63" s="50">
        <f t="shared" si="131"/>
        <v>0.60424242424242425</v>
      </c>
      <c r="AL63" s="50">
        <f t="shared" si="131"/>
        <v>0.60119184928873515</v>
      </c>
      <c r="AM63" s="50">
        <f t="shared" si="131"/>
        <v>0.59858850640933314</v>
      </c>
      <c r="AN63" s="50">
        <f t="shared" si="131"/>
        <v>0.55861151502026418</v>
      </c>
      <c r="AO63" s="50">
        <f t="shared" si="131"/>
        <v>0.56761702947408976</v>
      </c>
      <c r="AP63" s="50">
        <f t="shared" si="131"/>
        <v>0.57488440456869894</v>
      </c>
      <c r="AQ63" s="50">
        <f t="shared" si="131"/>
        <v>0.57673384706579722</v>
      </c>
      <c r="AR63" s="50">
        <f t="shared" si="131"/>
        <v>0.54379264690905382</v>
      </c>
      <c r="AS63" s="50">
        <f t="shared" si="131"/>
        <v>0.55937147417375277</v>
      </c>
      <c r="AT63" s="50">
        <f t="shared" si="131"/>
        <v>0.55587510271158591</v>
      </c>
      <c r="AU63" s="50">
        <f t="shared" si="131"/>
        <v>0.56621151139534309</v>
      </c>
      <c r="AV63" s="50">
        <f t="shared" si="131"/>
        <v>0.54378730330982095</v>
      </c>
      <c r="AW63" s="50">
        <f t="shared" ref="AW63:BP63" si="132">AW50/AW48</f>
        <v>0.53881289632887097</v>
      </c>
      <c r="AX63" s="50">
        <f t="shared" si="132"/>
        <v>0.51554952085019712</v>
      </c>
      <c r="AY63" s="50">
        <f t="shared" si="132"/>
        <v>0.54265479825872265</v>
      </c>
      <c r="AZ63" s="50">
        <f t="shared" si="132"/>
        <v>0.54163590987380927</v>
      </c>
      <c r="BA63" s="50">
        <f t="shared" si="132"/>
        <v>0.56425136493473627</v>
      </c>
      <c r="BB63" s="50">
        <f t="shared" si="132"/>
        <v>0.57616354234001288</v>
      </c>
      <c r="BC63" s="50">
        <f t="shared" si="132"/>
        <v>0.57583156730857832</v>
      </c>
      <c r="BD63" s="50">
        <f t="shared" si="132"/>
        <v>0.56205774975107869</v>
      </c>
      <c r="BE63" s="50">
        <f t="shared" si="132"/>
        <v>0.5647909896928438</v>
      </c>
      <c r="BF63" s="50">
        <f t="shared" si="132"/>
        <v>0.56799885197675248</v>
      </c>
      <c r="BG63" s="50">
        <f t="shared" si="132"/>
        <v>0.54903606785156023</v>
      </c>
      <c r="BH63" s="50">
        <f t="shared" si="132"/>
        <v>0.53526719966337055</v>
      </c>
      <c r="BI63" s="50">
        <f t="shared" si="132"/>
        <v>0.56135096794531936</v>
      </c>
      <c r="BJ63" s="50">
        <f t="shared" si="132"/>
        <v>0.5721945204010509</v>
      </c>
      <c r="BK63" s="50">
        <f t="shared" si="132"/>
        <v>0.56672708069836886</v>
      </c>
      <c r="BL63" s="50">
        <f t="shared" si="132"/>
        <v>0.56465067778936395</v>
      </c>
      <c r="BM63" s="50">
        <f t="shared" si="132"/>
        <v>0.58142018152696207</v>
      </c>
      <c r="BN63" s="50">
        <f t="shared" si="132"/>
        <v>0.58099879634655782</v>
      </c>
      <c r="BO63" s="50">
        <f t="shared" si="132"/>
        <v>0.58678116644763678</v>
      </c>
      <c r="BP63" s="50">
        <f t="shared" si="132"/>
        <v>0.5790046543449191</v>
      </c>
      <c r="BQ63" s="50">
        <f>BQ50/BQ48</f>
        <v>0.5970365937451515</v>
      </c>
      <c r="CH63" s="50">
        <f t="shared" ref="CH63:CS63" si="133">CH50/CH48</f>
        <v>0.62606232294617559</v>
      </c>
      <c r="CI63" s="50">
        <f t="shared" si="133"/>
        <v>0.64472562327342176</v>
      </c>
      <c r="CJ63" s="50">
        <f t="shared" si="133"/>
        <v>0.65207756232686975</v>
      </c>
      <c r="CK63" s="50">
        <f t="shared" si="133"/>
        <v>0.6269249983709464</v>
      </c>
      <c r="CL63" s="50">
        <f t="shared" si="133"/>
        <v>0.60386534339595455</v>
      </c>
      <c r="CM63" s="50">
        <f t="shared" si="133"/>
        <v>0.6107483219951213</v>
      </c>
      <c r="CN63" s="50">
        <f t="shared" si="133"/>
        <v>0.62442491565429592</v>
      </c>
      <c r="CO63" s="50">
        <f t="shared" si="133"/>
        <v>0.61075416518964909</v>
      </c>
      <c r="CP63" s="50">
        <f t="shared" si="133"/>
        <v>0.58880519597672631</v>
      </c>
      <c r="CQ63" s="50">
        <f t="shared" si="133"/>
        <v>0.5647607422945643</v>
      </c>
      <c r="CR63" s="50">
        <f t="shared" si="133"/>
        <v>0.5558054331910266</v>
      </c>
      <c r="CS63" s="50">
        <f t="shared" si="133"/>
        <v>0.53578374706207854</v>
      </c>
      <c r="CT63" s="50">
        <f t="shared" ref="CS63:CW63" si="134">CT50/CT48</f>
        <v>0.5693980290098084</v>
      </c>
      <c r="CU63" s="50">
        <f t="shared" si="134"/>
        <v>0.55379442503783116</v>
      </c>
      <c r="CV63" s="50">
        <f t="shared" si="134"/>
        <v>0.56625047984020505</v>
      </c>
      <c r="CW63" s="50">
        <f t="shared" si="134"/>
        <v>0.58200435406179107</v>
      </c>
      <c r="CX63" s="62">
        <v>0.60299999999999998</v>
      </c>
      <c r="CY63" s="62">
        <v>0.60499999999999998</v>
      </c>
      <c r="CZ63" s="62">
        <v>0.60699999999999998</v>
      </c>
      <c r="DA63" s="62">
        <v>0.60899999999999999</v>
      </c>
      <c r="DB63" s="62">
        <v>0.61099999999999999</v>
      </c>
      <c r="DC63" s="62">
        <v>0.61299999999999999</v>
      </c>
      <c r="DD63" s="62">
        <v>0.61499999999999999</v>
      </c>
      <c r="DE63" s="62">
        <v>0.61699999999999999</v>
      </c>
      <c r="DF63" s="62">
        <v>0.61899999999999999</v>
      </c>
      <c r="DG63" s="62">
        <v>0.62</v>
      </c>
    </row>
    <row r="64" spans="2:161">
      <c r="B64" s="37" t="s">
        <v>62</v>
      </c>
      <c r="C64" s="50">
        <f t="shared" ref="C64:AV64" si="135">C51/C48</f>
        <v>0.12688652878703185</v>
      </c>
      <c r="D64" s="50">
        <f t="shared" si="135"/>
        <v>0.12723335138061723</v>
      </c>
      <c r="E64" s="50">
        <f t="shared" si="135"/>
        <v>0.11653657651116354</v>
      </c>
      <c r="F64" s="50">
        <f t="shared" si="135"/>
        <v>0.12819120043454643</v>
      </c>
      <c r="G64" s="50">
        <f t="shared" si="135"/>
        <v>0.12750210260723296</v>
      </c>
      <c r="H64" s="50">
        <f t="shared" si="135"/>
        <v>0.11012885825591849</v>
      </c>
      <c r="I64" s="50">
        <f t="shared" si="135"/>
        <v>0.1207380073800738</v>
      </c>
      <c r="J64" s="50">
        <f t="shared" si="135"/>
        <v>0.13167155425219942</v>
      </c>
      <c r="K64" s="50">
        <f t="shared" si="135"/>
        <v>0.13642602250892122</v>
      </c>
      <c r="L64" s="50">
        <f t="shared" si="135"/>
        <v>0.12464454976303317</v>
      </c>
      <c r="M64" s="50">
        <f t="shared" si="135"/>
        <v>0.14297376093294462</v>
      </c>
      <c r="N64" s="50">
        <f t="shared" si="135"/>
        <v>0.13671615333481055</v>
      </c>
      <c r="O64" s="50">
        <f t="shared" si="135"/>
        <v>0.14444444444444443</v>
      </c>
      <c r="P64" s="50">
        <f t="shared" si="135"/>
        <v>0.1226379440665155</v>
      </c>
      <c r="Q64" s="50">
        <f t="shared" si="135"/>
        <v>0.13536871770784406</v>
      </c>
      <c r="R64" s="50">
        <f t="shared" si="135"/>
        <v>0.13026170915558566</v>
      </c>
      <c r="S64" s="50">
        <f t="shared" si="135"/>
        <v>0.14123571858087794</v>
      </c>
      <c r="T64" s="50">
        <f t="shared" si="135"/>
        <v>0.1191286589516678</v>
      </c>
      <c r="U64" s="50">
        <f t="shared" si="135"/>
        <v>0.12485522353486217</v>
      </c>
      <c r="V64" s="50">
        <f t="shared" si="135"/>
        <v>0.1347371633478294</v>
      </c>
      <c r="W64" s="50">
        <f t="shared" si="135"/>
        <v>0.13239784789879308</v>
      </c>
      <c r="X64" s="50">
        <f t="shared" si="135"/>
        <v>0.12306614885083084</v>
      </c>
      <c r="Y64" s="50">
        <f t="shared" si="135"/>
        <v>0.13787289234760053</v>
      </c>
      <c r="Z64" s="50">
        <f t="shared" si="135"/>
        <v>0.14026950799122531</v>
      </c>
      <c r="AA64" s="50">
        <f t="shared" si="135"/>
        <v>0.16068510561036131</v>
      </c>
      <c r="AB64" s="50">
        <f t="shared" si="135"/>
        <v>0.15538860962271447</v>
      </c>
      <c r="AC64" s="50">
        <f t="shared" si="135"/>
        <v>0.15952022250550468</v>
      </c>
      <c r="AD64" s="50">
        <f t="shared" si="135"/>
        <v>0.1573306255993682</v>
      </c>
      <c r="AE64" s="50">
        <f t="shared" si="135"/>
        <v>0.17295850066934404</v>
      </c>
      <c r="AF64" s="50">
        <f t="shared" si="135"/>
        <v>0.16456467720005627</v>
      </c>
      <c r="AG64" s="50">
        <f t="shared" si="135"/>
        <v>0.16621414819568545</v>
      </c>
      <c r="AH64" s="50">
        <f t="shared" si="135"/>
        <v>0.15641860465116278</v>
      </c>
      <c r="AI64" s="50">
        <f t="shared" si="135"/>
        <v>0.16017103915193087</v>
      </c>
      <c r="AJ64" s="50">
        <f t="shared" si="135"/>
        <v>0.13896562308164517</v>
      </c>
      <c r="AK64" s="50">
        <f t="shared" si="135"/>
        <v>0.15927272727272726</v>
      </c>
      <c r="AL64" s="50">
        <f t="shared" si="135"/>
        <v>0.160399846212995</v>
      </c>
      <c r="AM64" s="50">
        <f t="shared" si="135"/>
        <v>0.15141149359066686</v>
      </c>
      <c r="AN64" s="50">
        <f t="shared" si="135"/>
        <v>0.13321783250317112</v>
      </c>
      <c r="AO64" s="50">
        <f t="shared" si="135"/>
        <v>0.16178642522314263</v>
      </c>
      <c r="AP64" s="50">
        <f t="shared" si="135"/>
        <v>0.1565973604433965</v>
      </c>
      <c r="AQ64" s="50">
        <f t="shared" si="135"/>
        <v>0.15506816834617665</v>
      </c>
      <c r="AR64" s="50">
        <f t="shared" si="135"/>
        <v>0.15363071595885527</v>
      </c>
      <c r="AS64" s="50">
        <f t="shared" si="135"/>
        <v>0.16590990395993285</v>
      </c>
      <c r="AT64" s="50">
        <f t="shared" si="135"/>
        <v>0.15953677074774034</v>
      </c>
      <c r="AU64" s="50">
        <f t="shared" si="135"/>
        <v>0.16183115632484751</v>
      </c>
      <c r="AV64" s="50">
        <f t="shared" si="135"/>
        <v>0.15674443841562669</v>
      </c>
      <c r="AW64" s="50">
        <f t="shared" ref="AW64:BP64" si="136">AW51/AW48</f>
        <v>0.16569887509414707</v>
      </c>
      <c r="AX64" s="50">
        <f t="shared" si="136"/>
        <v>0.17951797790949683</v>
      </c>
      <c r="AY64" s="50">
        <f t="shared" si="136"/>
        <v>0.14848504537283694</v>
      </c>
      <c r="AZ64" s="50">
        <f t="shared" si="136"/>
        <v>0.12341382825406869</v>
      </c>
      <c r="BA64" s="50">
        <f t="shared" si="136"/>
        <v>0.13531836424774921</v>
      </c>
      <c r="BB64" s="50">
        <f t="shared" si="136"/>
        <v>0.12403038138332256</v>
      </c>
      <c r="BC64" s="50">
        <f t="shared" si="136"/>
        <v>0.11815473448201726</v>
      </c>
      <c r="BD64" s="50">
        <f t="shared" si="136"/>
        <v>0.11560570859608364</v>
      </c>
      <c r="BE64" s="50">
        <f t="shared" si="136"/>
        <v>0.13408125156224729</v>
      </c>
      <c r="BF64" s="50">
        <f t="shared" si="136"/>
        <v>0.14122120972949703</v>
      </c>
      <c r="BG64" s="50">
        <f t="shared" si="136"/>
        <v>0.14868581022404909</v>
      </c>
      <c r="BH64" s="50">
        <f t="shared" si="136"/>
        <v>0.13500683778666106</v>
      </c>
      <c r="BI64" s="50">
        <f t="shared" si="136"/>
        <v>0.16432859988249959</v>
      </c>
      <c r="BJ64" s="50">
        <f t="shared" si="136"/>
        <v>0.14192268511071793</v>
      </c>
      <c r="BK64" s="50">
        <f t="shared" si="136"/>
        <v>0.14679305803658743</v>
      </c>
      <c r="BL64" s="50">
        <f t="shared" si="136"/>
        <v>0.14034294983200093</v>
      </c>
      <c r="BM64" s="50">
        <f t="shared" si="136"/>
        <v>0.1477917530637331</v>
      </c>
      <c r="BN64" s="50">
        <f t="shared" si="136"/>
        <v>0.13995421396710014</v>
      </c>
      <c r="BO64" s="50">
        <f t="shared" si="136"/>
        <v>0.1410137309104092</v>
      </c>
      <c r="BP64" s="50">
        <f t="shared" si="136"/>
        <v>0.13596077496397807</v>
      </c>
      <c r="BQ64" s="50">
        <f>BQ51/BQ48</f>
        <v>0.15023162001019572</v>
      </c>
      <c r="CH64" s="50">
        <f t="shared" ref="CH64:CS64" si="137">CH51/CH48</f>
        <v>0.12020633377024227</v>
      </c>
      <c r="CI64" s="50">
        <f t="shared" si="137"/>
        <v>0.12830394597728589</v>
      </c>
      <c r="CJ64" s="50">
        <f t="shared" si="137"/>
        <v>0.1361825616673262</v>
      </c>
      <c r="CK64" s="50">
        <f t="shared" si="137"/>
        <v>0.13212710962444885</v>
      </c>
      <c r="CL64" s="50">
        <f t="shared" si="137"/>
        <v>0.12855058628577604</v>
      </c>
      <c r="CM64" s="50">
        <f t="shared" si="137"/>
        <v>0.14896743988727443</v>
      </c>
      <c r="CN64" s="50">
        <f t="shared" si="137"/>
        <v>0.16378402165650963</v>
      </c>
      <c r="CO64" s="50">
        <f t="shared" si="137"/>
        <v>0.15451081176887629</v>
      </c>
      <c r="CP64" s="50">
        <f t="shared" si="137"/>
        <v>0.14997068242298497</v>
      </c>
      <c r="CQ64" s="50">
        <f t="shared" si="137"/>
        <v>0.15654989438601363</v>
      </c>
      <c r="CR64" s="50">
        <f t="shared" si="137"/>
        <v>0.16074683208016954</v>
      </c>
      <c r="CS64" s="50">
        <f t="shared" si="137"/>
        <v>0.15106258252203783</v>
      </c>
      <c r="CT64" s="50">
        <f t="shared" ref="CS64:CW64" si="138">CT51/CT48</f>
        <v>0.12250569599863374</v>
      </c>
      <c r="CU64" s="50">
        <f t="shared" si="138"/>
        <v>0.13965690364734334</v>
      </c>
      <c r="CV64" s="50">
        <f t="shared" si="138"/>
        <v>0.14778102370247956</v>
      </c>
      <c r="CW64" s="50">
        <f t="shared" si="138"/>
        <v>0.14092418104211785</v>
      </c>
      <c r="CX64" s="62">
        <v>0.155</v>
      </c>
      <c r="CY64" s="62">
        <v>0.16</v>
      </c>
      <c r="CZ64" s="62">
        <v>0.16</v>
      </c>
      <c r="DA64" s="62">
        <v>0.15</v>
      </c>
      <c r="DB64" s="62">
        <v>0.15</v>
      </c>
      <c r="DC64" s="62">
        <v>0.14000000000000001</v>
      </c>
      <c r="DD64" s="62">
        <v>0.14000000000000001</v>
      </c>
      <c r="DE64" s="62">
        <v>0.13</v>
      </c>
      <c r="DF64" s="62">
        <v>0.12</v>
      </c>
      <c r="DG64" s="62">
        <v>0.12</v>
      </c>
    </row>
    <row r="65" spans="2:111">
      <c r="B65" s="36" t="s">
        <v>2810</v>
      </c>
      <c r="C65" s="50">
        <f t="shared" ref="C65:BN65" si="139">C52/C48</f>
        <v>9.0572014160611142E-2</v>
      </c>
      <c r="D65" s="50">
        <f t="shared" si="139"/>
        <v>9.1662154845695717E-2</v>
      </c>
      <c r="E65" s="50">
        <f t="shared" si="139"/>
        <v>7.8780177890724265E-2</v>
      </c>
      <c r="F65" s="50">
        <f t="shared" si="139"/>
        <v>8.4917617237008872E-2</v>
      </c>
      <c r="G65" s="50">
        <f t="shared" si="139"/>
        <v>8.3767872161480239E-2</v>
      </c>
      <c r="H65" s="50">
        <f t="shared" si="139"/>
        <v>8.7353910698231951E-2</v>
      </c>
      <c r="I65" s="50">
        <f t="shared" si="139"/>
        <v>8.9594095940959406E-2</v>
      </c>
      <c r="J65" s="50">
        <f t="shared" si="139"/>
        <v>9.2228739002932547E-2</v>
      </c>
      <c r="K65" s="50">
        <f t="shared" si="139"/>
        <v>9.0721932473236344E-2</v>
      </c>
      <c r="L65" s="50">
        <f t="shared" si="139"/>
        <v>0.10687203791469194</v>
      </c>
      <c r="M65" s="50">
        <f t="shared" si="139"/>
        <v>0.17795918367346938</v>
      </c>
      <c r="N65" s="50">
        <f t="shared" si="139"/>
        <v>0.12087303345889652</v>
      </c>
      <c r="O65" s="50">
        <f t="shared" si="139"/>
        <v>0.12386831275720164</v>
      </c>
      <c r="P65" s="50">
        <f t="shared" si="139"/>
        <v>0.11980347694633409</v>
      </c>
      <c r="Q65" s="50">
        <f t="shared" si="139"/>
        <v>0.11921089713480507</v>
      </c>
      <c r="R65" s="50">
        <f t="shared" si="139"/>
        <v>0.11967476920470907</v>
      </c>
      <c r="S65" s="50">
        <f t="shared" si="139"/>
        <v>0.12853277209861697</v>
      </c>
      <c r="T65" s="50">
        <f t="shared" si="139"/>
        <v>0.10434698045317514</v>
      </c>
      <c r="U65" s="50">
        <f t="shared" si="139"/>
        <v>0.11080225465215042</v>
      </c>
      <c r="V65" s="50">
        <f t="shared" si="139"/>
        <v>0.12077515831235218</v>
      </c>
      <c r="W65" s="50">
        <f t="shared" si="139"/>
        <v>0.11836556638068925</v>
      </c>
      <c r="X65" s="50">
        <f t="shared" si="139"/>
        <v>0.12147450181447762</v>
      </c>
      <c r="Y65" s="50">
        <f t="shared" si="139"/>
        <v>0.11212710765239949</v>
      </c>
      <c r="Z65" s="50">
        <f t="shared" si="139"/>
        <v>0.12165465371356941</v>
      </c>
      <c r="AA65" s="50">
        <f t="shared" si="139"/>
        <v>0.12612721660715367</v>
      </c>
      <c r="AB65" s="50">
        <f t="shared" si="139"/>
        <v>0.13130420372313981</v>
      </c>
      <c r="AC65" s="50">
        <f t="shared" si="139"/>
        <v>0.11965465291459033</v>
      </c>
      <c r="AD65" s="50">
        <f t="shared" si="139"/>
        <v>0.1173351384893101</v>
      </c>
      <c r="AE65" s="50">
        <f t="shared" si="139"/>
        <v>0.11903614457831325</v>
      </c>
      <c r="AF65" s="50">
        <f t="shared" si="139"/>
        <v>0.1256036382390173</v>
      </c>
      <c r="AG65" s="50">
        <f t="shared" si="139"/>
        <v>0.11783580984351089</v>
      </c>
      <c r="AH65" s="50">
        <f t="shared" si="139"/>
        <v>0.11232558139534883</v>
      </c>
      <c r="AI65" s="50">
        <f t="shared" si="139"/>
        <v>0.11424880851632443</v>
      </c>
      <c r="AJ65" s="50">
        <f t="shared" si="139"/>
        <v>0.11962860650705955</v>
      </c>
      <c r="AK65" s="50">
        <f t="shared" si="139"/>
        <v>0.10682828282828283</v>
      </c>
      <c r="AL65" s="50">
        <f t="shared" si="139"/>
        <v>0.21657054978854287</v>
      </c>
      <c r="AM65" s="50">
        <f t="shared" si="139"/>
        <v>0.10953478323491286</v>
      </c>
      <c r="AN65" s="50">
        <f t="shared" si="139"/>
        <v>0.13334158339263064</v>
      </c>
      <c r="AO65" s="50">
        <f t="shared" si="139"/>
        <v>0.11571309317408335</v>
      </c>
      <c r="AP65" s="50">
        <f t="shared" si="139"/>
        <v>0.27102918210490862</v>
      </c>
      <c r="AQ65" s="50">
        <f t="shared" si="139"/>
        <v>0.11407824540604623</v>
      </c>
      <c r="AR65" s="50">
        <f t="shared" si="139"/>
        <v>0.12985029025358999</v>
      </c>
      <c r="AS65" s="50">
        <f t="shared" si="139"/>
        <v>0.15415944302264784</v>
      </c>
      <c r="AT65" s="50">
        <f t="shared" si="139"/>
        <v>0.10815529991783072</v>
      </c>
      <c r="AU65" s="50">
        <f t="shared" si="139"/>
        <v>0.11380527914269488</v>
      </c>
      <c r="AV65" s="50">
        <f t="shared" si="139"/>
        <v>0.1245360824742268</v>
      </c>
      <c r="AW65" s="50">
        <f t="shared" si="139"/>
        <v>0.10933210233484779</v>
      </c>
      <c r="AX65" s="50">
        <f t="shared" si="139"/>
        <v>0.10186176462908322</v>
      </c>
      <c r="AY65" s="50">
        <f t="shared" si="139"/>
        <v>9.1633638706603432E-2</v>
      </c>
      <c r="AZ65" s="50">
        <f t="shared" si="139"/>
        <v>9.3395198425252207E-2</v>
      </c>
      <c r="BA65" s="50">
        <f t="shared" si="139"/>
        <v>8.1642983693097582E-2</v>
      </c>
      <c r="BB65" s="50">
        <f t="shared" si="139"/>
        <v>8.5261797026502911E-2</v>
      </c>
      <c r="BC65" s="50">
        <f t="shared" si="139"/>
        <v>8.4707761294880057E-2</v>
      </c>
      <c r="BD65" s="50">
        <f t="shared" si="139"/>
        <v>0.10094922004646532</v>
      </c>
      <c r="BE65" s="50">
        <f t="shared" si="139"/>
        <v>8.5647909896928442E-2</v>
      </c>
      <c r="BF65" s="50">
        <f t="shared" si="139"/>
        <v>9.514242663413934E-2</v>
      </c>
      <c r="BG65" s="50">
        <f t="shared" si="139"/>
        <v>0.10028657442250911</v>
      </c>
      <c r="BH65" s="50">
        <f t="shared" si="139"/>
        <v>9.4453503050704823E-2</v>
      </c>
      <c r="BI65" s="50">
        <f t="shared" si="139"/>
        <v>9.3613423703555104E-2</v>
      </c>
      <c r="BJ65" s="50">
        <f t="shared" si="139"/>
        <v>9.0893249691705535E-2</v>
      </c>
      <c r="BK65" s="50">
        <f t="shared" si="139"/>
        <v>8.9760473576467215E-2</v>
      </c>
      <c r="BL65" s="50">
        <f t="shared" si="139"/>
        <v>8.9433437608620089E-2</v>
      </c>
      <c r="BM65" s="50">
        <f t="shared" si="139"/>
        <v>7.9787432175716114E-2</v>
      </c>
      <c r="BN65" s="50">
        <f t="shared" si="139"/>
        <v>8.0149158622642852E-2</v>
      </c>
      <c r="BO65" s="50">
        <f t="shared" ref="BO65:BQ65" si="140">BO52/BO48</f>
        <v>8.1875651425205059E-2</v>
      </c>
      <c r="BP65" s="50">
        <f t="shared" si="140"/>
        <v>7.6325037058536938E-2</v>
      </c>
      <c r="BQ65" s="50">
        <f t="shared" si="140"/>
        <v>6.8399937939136027E-2</v>
      </c>
      <c r="CH65" s="50">
        <f t="shared" ref="CH65:CV65" si="141">CH52/CH48</f>
        <v>8.3886516426366756E-2</v>
      </c>
      <c r="CI65" s="50">
        <f t="shared" si="141"/>
        <v>9.5460591385014157E-2</v>
      </c>
      <c r="CJ65" s="50">
        <f t="shared" si="141"/>
        <v>0.13425669436749768</v>
      </c>
      <c r="CK65" s="50">
        <f t="shared" si="141"/>
        <v>0.11870370772605834</v>
      </c>
      <c r="CL65" s="50">
        <f t="shared" si="141"/>
        <v>0.11804967668726021</v>
      </c>
      <c r="CM65" s="50">
        <f t="shared" si="141"/>
        <v>0.12319510310449841</v>
      </c>
      <c r="CN65" s="50">
        <f t="shared" si="141"/>
        <v>0.12064436117297203</v>
      </c>
      <c r="CO65" s="50">
        <f t="shared" si="141"/>
        <v>0.11614897199574618</v>
      </c>
      <c r="CP65" s="50">
        <f t="shared" si="141"/>
        <v>0.14098597266699742</v>
      </c>
      <c r="CQ65" s="50">
        <f t="shared" si="141"/>
        <v>0.1564402604901366</v>
      </c>
      <c r="CR65" s="50">
        <f t="shared" si="141"/>
        <v>0.12456056889723645</v>
      </c>
      <c r="CS65" s="50">
        <f t="shared" si="141"/>
        <v>9.8319700647027566E-2</v>
      </c>
      <c r="CT65" s="50">
        <f t="shared" si="141"/>
        <v>8.8931325857699015E-2</v>
      </c>
      <c r="CU65" s="50">
        <f t="shared" si="141"/>
        <v>9.3930758460733427E-2</v>
      </c>
      <c r="CV65" s="50">
        <f t="shared" si="141"/>
        <v>9.0818298340240869E-2</v>
      </c>
      <c r="CW65" s="50">
        <f>CW52/CW48</f>
        <v>7.94473427080893E-2</v>
      </c>
      <c r="CX65" s="62">
        <v>7.0000000000000007E-2</v>
      </c>
      <c r="CY65" s="62">
        <v>7.4999999999999997E-2</v>
      </c>
      <c r="CZ65" s="62">
        <v>7.5999999999999998E-2</v>
      </c>
      <c r="DA65" s="62">
        <v>7.4999999999999997E-2</v>
      </c>
      <c r="DB65" s="62">
        <v>7.4999999999999997E-2</v>
      </c>
      <c r="DC65" s="62">
        <v>7.4999999999999997E-2</v>
      </c>
      <c r="DD65" s="62">
        <v>7.4999999999999997E-2</v>
      </c>
      <c r="DE65" s="62">
        <v>7.4999999999999997E-2</v>
      </c>
      <c r="DF65" s="62">
        <v>7.4999999999999997E-2</v>
      </c>
      <c r="DG65" s="62">
        <v>7.4999999999999997E-2</v>
      </c>
    </row>
    <row r="66" spans="2:111">
      <c r="B66" s="36" t="s">
        <v>2811</v>
      </c>
      <c r="C66" s="50">
        <f t="shared" ref="C66:BN66" si="142">C53/C48</f>
        <v>8.8485187255449974E-2</v>
      </c>
      <c r="D66" s="50">
        <f t="shared" si="142"/>
        <v>9.1517776574625523E-2</v>
      </c>
      <c r="E66" s="50">
        <f t="shared" si="142"/>
        <v>8.113995280450173E-2</v>
      </c>
      <c r="F66" s="50">
        <f t="shared" si="142"/>
        <v>6.5906210392902412E-2</v>
      </c>
      <c r="G66" s="50">
        <f t="shared" si="142"/>
        <v>6.5433137089991586E-2</v>
      </c>
      <c r="H66" s="50">
        <f t="shared" si="142"/>
        <v>7.0122864848666464E-2</v>
      </c>
      <c r="I66" s="50">
        <f t="shared" si="142"/>
        <v>6.051660516605166E-2</v>
      </c>
      <c r="J66" s="50">
        <f t="shared" si="142"/>
        <v>6.7595307917888564E-2</v>
      </c>
      <c r="K66" s="50">
        <f t="shared" si="142"/>
        <v>7.3016744441394457E-2</v>
      </c>
      <c r="L66" s="50">
        <f t="shared" si="142"/>
        <v>6.6232227488151663E-2</v>
      </c>
      <c r="M66" s="50">
        <f t="shared" si="142"/>
        <v>6.8921282798833819E-2</v>
      </c>
      <c r="N66" s="50">
        <f t="shared" si="142"/>
        <v>7.1792599157988038E-2</v>
      </c>
      <c r="O66" s="50">
        <f t="shared" si="142"/>
        <v>6.9547325102880656E-2</v>
      </c>
      <c r="P66" s="50">
        <f t="shared" si="142"/>
        <v>7.6436130007558584E-2</v>
      </c>
      <c r="Q66" s="50">
        <f t="shared" si="142"/>
        <v>7.1113198684828557E-2</v>
      </c>
      <c r="R66" s="50">
        <f t="shared" si="142"/>
        <v>7.9783179469806051E-2</v>
      </c>
      <c r="S66" s="50">
        <f t="shared" si="142"/>
        <v>7.6668671076368003E-2</v>
      </c>
      <c r="T66" s="50">
        <f t="shared" si="142"/>
        <v>7.4102888262180297E-2</v>
      </c>
      <c r="U66" s="50">
        <f t="shared" si="142"/>
        <v>7.837232646127712E-2</v>
      </c>
      <c r="V66" s="50">
        <f t="shared" si="142"/>
        <v>8.3772030212863349E-2</v>
      </c>
      <c r="W66" s="50">
        <f t="shared" si="142"/>
        <v>8.2521448305947362E-2</v>
      </c>
      <c r="X66" s="50">
        <f t="shared" si="142"/>
        <v>7.5380403641688423E-2</v>
      </c>
      <c r="Y66" s="50">
        <f t="shared" si="142"/>
        <v>9.6562905317769135E-2</v>
      </c>
      <c r="Z66" s="50">
        <f t="shared" si="142"/>
        <v>8.7997492948918829E-2</v>
      </c>
      <c r="AA66" s="50">
        <f t="shared" si="142"/>
        <v>8.2612116443745082E-2</v>
      </c>
      <c r="AB66" s="50">
        <f t="shared" si="142"/>
        <v>8.7996464674363367E-2</v>
      </c>
      <c r="AC66" s="50">
        <f t="shared" si="142"/>
        <v>9.4854560203963378E-2</v>
      </c>
      <c r="AD66" s="50">
        <f t="shared" si="142"/>
        <v>8.1796130196874831E-2</v>
      </c>
      <c r="AE66" s="50">
        <f t="shared" si="142"/>
        <v>7.90896921017403E-2</v>
      </c>
      <c r="AF66" s="50">
        <f t="shared" si="142"/>
        <v>7.3702470814384177E-2</v>
      </c>
      <c r="AG66" s="50">
        <f t="shared" si="142"/>
        <v>7.469023053759194E-2</v>
      </c>
      <c r="AH66" s="50">
        <f t="shared" si="142"/>
        <v>7.5534883720930229E-2</v>
      </c>
      <c r="AI66" s="50">
        <f t="shared" si="142"/>
        <v>8.1243597167164047E-2</v>
      </c>
      <c r="AJ66" s="50">
        <f t="shared" si="142"/>
        <v>7.7655003069367706E-2</v>
      </c>
      <c r="AK66" s="50">
        <f t="shared" si="142"/>
        <v>7.2767676767676773E-2</v>
      </c>
      <c r="AL66" s="50">
        <f t="shared" si="142"/>
        <v>6.535947712418301E-2</v>
      </c>
      <c r="AM66" s="50">
        <f t="shared" si="142"/>
        <v>5.7431945844735703E-2</v>
      </c>
      <c r="AN66" s="50">
        <f t="shared" si="142"/>
        <v>5.3955387804349844E-2</v>
      </c>
      <c r="AO66" s="50">
        <f t="shared" si="142"/>
        <v>4.5045912797791049E-2</v>
      </c>
      <c r="AP66" s="50">
        <f t="shared" si="142"/>
        <v>5.4015984321891169E-2</v>
      </c>
      <c r="AQ66" s="50">
        <f t="shared" si="142"/>
        <v>5.1956135151155901E-2</v>
      </c>
      <c r="AR66" s="50">
        <f t="shared" si="142"/>
        <v>5.0998064976066806E-2</v>
      </c>
      <c r="AS66" s="50">
        <f t="shared" si="142"/>
        <v>5.7458928424007266E-2</v>
      </c>
      <c r="AT66" s="50">
        <f t="shared" si="142"/>
        <v>5.2459942481511916E-2</v>
      </c>
      <c r="AU66" s="50">
        <f t="shared" si="142"/>
        <v>6.3976888318230077E-2</v>
      </c>
      <c r="AV66" s="50">
        <f t="shared" si="142"/>
        <v>6.139989148128052E-2</v>
      </c>
      <c r="AW66" s="50">
        <f t="shared" si="142"/>
        <v>6.9972545494302582E-2</v>
      </c>
      <c r="AX66" s="50">
        <f t="shared" si="142"/>
        <v>6.7498759693970803E-2</v>
      </c>
      <c r="AY66" s="50">
        <f t="shared" si="142"/>
        <v>5.9688562579862693E-2</v>
      </c>
      <c r="AZ66" s="50">
        <f t="shared" si="142"/>
        <v>4.975570318816127E-2</v>
      </c>
      <c r="BA66" s="50">
        <f t="shared" si="142"/>
        <v>5.0131973822178835E-2</v>
      </c>
      <c r="BB66" s="50">
        <f t="shared" si="142"/>
        <v>5.3991596638655465E-2</v>
      </c>
      <c r="BC66" s="50">
        <f t="shared" si="142"/>
        <v>5.0001535673700054E-2</v>
      </c>
      <c r="BD66" s="50">
        <f t="shared" si="142"/>
        <v>5.4961832061068701E-2</v>
      </c>
      <c r="BE66" s="50">
        <f t="shared" si="142"/>
        <v>4.9609621972916143E-2</v>
      </c>
      <c r="BF66" s="50">
        <f t="shared" si="142"/>
        <v>5.2479012700007176E-2</v>
      </c>
      <c r="BG66" s="50">
        <f t="shared" si="142"/>
        <v>5.2061020089156487E-2</v>
      </c>
      <c r="BH66" s="50">
        <f t="shared" si="142"/>
        <v>6.7010309278350513E-2</v>
      </c>
      <c r="BI66" s="50">
        <f t="shared" si="142"/>
        <v>5.3863900153323686E-2</v>
      </c>
      <c r="BJ66" s="50">
        <f t="shared" si="142"/>
        <v>4.6659696531017106E-2</v>
      </c>
      <c r="BK66" s="50">
        <f t="shared" si="142"/>
        <v>5.188217959918115E-2</v>
      </c>
      <c r="BL66" s="50">
        <f t="shared" si="142"/>
        <v>6.0317460317460318E-2</v>
      </c>
      <c r="BM66" s="50">
        <f t="shared" si="142"/>
        <v>3.7571859595972139E-2</v>
      </c>
      <c r="BN66" s="50">
        <f t="shared" si="142"/>
        <v>3.7266054612824812E-2</v>
      </c>
      <c r="BO66" s="50">
        <f t="shared" ref="BO66:BQ66" si="143">BO53/BO48</f>
        <v>4.0773553269588071E-2</v>
      </c>
      <c r="BP66" s="50">
        <f t="shared" si="143"/>
        <v>4.5662337123842892E-2</v>
      </c>
      <c r="BQ66" s="50">
        <f t="shared" si="143"/>
        <v>3.9220249573331561E-2</v>
      </c>
      <c r="CH66" s="50">
        <f t="shared" ref="CH66:CV66" si="144">CH53/CH48</f>
        <v>7.0525559172973665E-2</v>
      </c>
      <c r="CI66" s="50">
        <f t="shared" si="144"/>
        <v>6.6914498141263934E-2</v>
      </c>
      <c r="CJ66" s="50">
        <f t="shared" si="144"/>
        <v>7.1863870201820335E-2</v>
      </c>
      <c r="CK66" s="50">
        <f t="shared" si="144"/>
        <v>7.5609809074914741E-2</v>
      </c>
      <c r="CL66" s="50">
        <f t="shared" si="144"/>
        <v>7.9828527170878433E-2</v>
      </c>
      <c r="CM66" s="50">
        <f t="shared" si="144"/>
        <v>8.8650171967091407E-2</v>
      </c>
      <c r="CN66" s="50">
        <f t="shared" si="144"/>
        <v>8.1825334382376089E-2</v>
      </c>
      <c r="CO66" s="50">
        <f t="shared" si="144"/>
        <v>7.7377259836937259E-2</v>
      </c>
      <c r="CP66" s="50">
        <f t="shared" si="144"/>
        <v>6.170222362545668E-2</v>
      </c>
      <c r="CQ66" s="50">
        <f t="shared" si="144"/>
        <v>5.0599697410447377E-2</v>
      </c>
      <c r="CR66" s="50">
        <f t="shared" si="144"/>
        <v>5.9008878207306451E-2</v>
      </c>
      <c r="CS66" s="50">
        <f t="shared" si="144"/>
        <v>6.0549946035381066E-2</v>
      </c>
      <c r="CT66" s="50">
        <f t="shared" si="144"/>
        <v>5.2438120301043716E-2</v>
      </c>
      <c r="CU66" s="50">
        <f t="shared" si="144"/>
        <v>5.5594054505084221E-2</v>
      </c>
      <c r="CV66" s="50">
        <f t="shared" si="144"/>
        <v>5.3433053345218189E-2</v>
      </c>
      <c r="CW66" s="50">
        <f>CW53/CW48</f>
        <v>4.0535058197007014E-2</v>
      </c>
      <c r="CX66" s="62">
        <v>0.04</v>
      </c>
      <c r="CY66" s="62">
        <v>4.3999999999999997E-2</v>
      </c>
      <c r="CZ66" s="62">
        <v>4.2999999999999997E-2</v>
      </c>
      <c r="DA66" s="62">
        <v>4.2999999999999997E-2</v>
      </c>
      <c r="DB66" s="62">
        <v>4.2000000000000003E-2</v>
      </c>
      <c r="DC66" s="62">
        <v>4.1000000000000002E-2</v>
      </c>
      <c r="DD66" s="62">
        <v>0.04</v>
      </c>
      <c r="DE66" s="62">
        <v>0.04</v>
      </c>
      <c r="DF66" s="62">
        <v>0.04</v>
      </c>
      <c r="DG66" s="62">
        <v>0.04</v>
      </c>
    </row>
    <row r="67" spans="2:111">
      <c r="B67" s="37" t="s">
        <v>63</v>
      </c>
      <c r="C67" s="50">
        <f t="shared" ref="C67:AV67" si="145">C54/C48</f>
        <v>0.1790572014160611</v>
      </c>
      <c r="D67" s="50">
        <f t="shared" si="145"/>
        <v>0.18317993142032124</v>
      </c>
      <c r="E67" s="50">
        <f t="shared" si="145"/>
        <v>0.15992013069522598</v>
      </c>
      <c r="F67" s="50">
        <f t="shared" si="145"/>
        <v>0.15082382762991128</v>
      </c>
      <c r="G67" s="50">
        <f t="shared" si="145"/>
        <v>0.14920100925147184</v>
      </c>
      <c r="H67" s="50">
        <f t="shared" si="145"/>
        <v>0.1574767755468984</v>
      </c>
      <c r="I67" s="50">
        <f t="shared" si="145"/>
        <v>0.15011070110701108</v>
      </c>
      <c r="J67" s="50">
        <f t="shared" si="145"/>
        <v>0.15982404692082111</v>
      </c>
      <c r="K67" s="50">
        <f t="shared" si="145"/>
        <v>0.16373867691463079</v>
      </c>
      <c r="L67" s="50">
        <f t="shared" si="145"/>
        <v>0.1731042654028436</v>
      </c>
      <c r="M67" s="50">
        <f t="shared" si="145"/>
        <v>0.24688046647230322</v>
      </c>
      <c r="N67" s="50">
        <f t="shared" si="145"/>
        <v>0.19266563261688455</v>
      </c>
      <c r="O67" s="50">
        <f t="shared" si="145"/>
        <v>0.19341563786008231</v>
      </c>
      <c r="P67" s="50">
        <f t="shared" si="145"/>
        <v>0.19623960695389267</v>
      </c>
      <c r="Q67" s="50">
        <f t="shared" si="145"/>
        <v>0.19032409581963364</v>
      </c>
      <c r="R67" s="50">
        <f t="shared" si="145"/>
        <v>0.19945794867451511</v>
      </c>
      <c r="S67" s="50">
        <f t="shared" si="145"/>
        <v>0.20520144317498495</v>
      </c>
      <c r="T67" s="50">
        <f t="shared" si="145"/>
        <v>0.17844986871535545</v>
      </c>
      <c r="U67" s="50">
        <f t="shared" si="145"/>
        <v>0.18917458111342753</v>
      </c>
      <c r="V67" s="50">
        <f t="shared" si="145"/>
        <v>0.20454718852521553</v>
      </c>
      <c r="W67" s="50">
        <f t="shared" si="145"/>
        <v>0.20088701468663661</v>
      </c>
      <c r="X67" s="50">
        <f t="shared" si="145"/>
        <v>0.19685490545616605</v>
      </c>
      <c r="Y67" s="50">
        <f t="shared" si="145"/>
        <v>0.20869001297016862</v>
      </c>
      <c r="Z67" s="50">
        <f t="shared" si="145"/>
        <v>0.20965214666248824</v>
      </c>
      <c r="AA67" s="50">
        <f t="shared" si="145"/>
        <v>0.20873933305089876</v>
      </c>
      <c r="AB67" s="50">
        <f t="shared" si="145"/>
        <v>0.21930066839750317</v>
      </c>
      <c r="AC67" s="50">
        <f t="shared" si="145"/>
        <v>0.21450921311855373</v>
      </c>
      <c r="AD67" s="50">
        <f t="shared" si="145"/>
        <v>0.19913126868618491</v>
      </c>
      <c r="AE67" s="50">
        <f t="shared" si="145"/>
        <v>0.19812583668005354</v>
      </c>
      <c r="AF67" s="50">
        <f t="shared" si="145"/>
        <v>0.19930610905340146</v>
      </c>
      <c r="AG67" s="50">
        <f t="shared" si="145"/>
        <v>0.19252604038110283</v>
      </c>
      <c r="AH67" s="50">
        <f t="shared" si="145"/>
        <v>0.18786046511627907</v>
      </c>
      <c r="AI67" s="50">
        <f t="shared" si="145"/>
        <v>0.1954924056834885</v>
      </c>
      <c r="AJ67" s="50">
        <f t="shared" si="145"/>
        <v>0.19728360957642727</v>
      </c>
      <c r="AK67" s="50">
        <f t="shared" si="145"/>
        <v>0.17959595959595959</v>
      </c>
      <c r="AL67" s="50">
        <f t="shared" si="145"/>
        <v>0.2819300269127259</v>
      </c>
      <c r="AM67" s="50">
        <f t="shared" si="145"/>
        <v>0.16696672907964857</v>
      </c>
      <c r="AN67" s="50">
        <f t="shared" si="145"/>
        <v>0.18729697119698047</v>
      </c>
      <c r="AO67" s="50">
        <f t="shared" si="145"/>
        <v>0.1607590059718744</v>
      </c>
      <c r="AP67" s="50">
        <f t="shared" si="145"/>
        <v>0.32504516642679976</v>
      </c>
      <c r="AQ67" s="50">
        <f t="shared" si="145"/>
        <v>0.16603438055720213</v>
      </c>
      <c r="AR67" s="50">
        <f t="shared" si="145"/>
        <v>0.18084835522965678</v>
      </c>
      <c r="AS67" s="50">
        <f t="shared" si="145"/>
        <v>0.2116183714466551</v>
      </c>
      <c r="AT67" s="50">
        <f t="shared" si="145"/>
        <v>0.16061524239934263</v>
      </c>
      <c r="AU67" s="50">
        <f t="shared" si="145"/>
        <v>0.17778216746092496</v>
      </c>
      <c r="AV67" s="50">
        <f t="shared" si="145"/>
        <v>0.18593597395550732</v>
      </c>
      <c r="AW67" s="50">
        <f t="shared" ref="AW67:BP67" si="146">AW54/AW48</f>
        <v>0.17930464782915037</v>
      </c>
      <c r="AX67" s="50">
        <f t="shared" si="146"/>
        <v>0.16936052432305401</v>
      </c>
      <c r="AY67" s="50">
        <f t="shared" si="146"/>
        <v>0.15132220128646612</v>
      </c>
      <c r="AZ67" s="50">
        <f t="shared" si="146"/>
        <v>0.14315090161341348</v>
      </c>
      <c r="BA67" s="50">
        <f t="shared" si="146"/>
        <v>0.13177495751527643</v>
      </c>
      <c r="BB67" s="50">
        <f t="shared" si="146"/>
        <v>0.13925339366515838</v>
      </c>
      <c r="BC67" s="50">
        <f t="shared" si="146"/>
        <v>0.13470929696858011</v>
      </c>
      <c r="BD67" s="50">
        <f t="shared" si="146"/>
        <v>0.15591105210753403</v>
      </c>
      <c r="BE67" s="50">
        <f t="shared" si="146"/>
        <v>0.13525753186984457</v>
      </c>
      <c r="BF67" s="50">
        <f t="shared" si="146"/>
        <v>0.14762143933414651</v>
      </c>
      <c r="BG67" s="50">
        <f t="shared" si="146"/>
        <v>0.1523475945116656</v>
      </c>
      <c r="BH67" s="50">
        <f t="shared" si="146"/>
        <v>0.16146381232905532</v>
      </c>
      <c r="BI67" s="50">
        <f t="shared" si="146"/>
        <v>0.14747732385687878</v>
      </c>
      <c r="BJ67" s="50">
        <f t="shared" si="146"/>
        <v>0.13755294622272266</v>
      </c>
      <c r="BK67" s="50">
        <f t="shared" si="146"/>
        <v>0.14164265317564836</v>
      </c>
      <c r="BL67" s="50">
        <f t="shared" si="146"/>
        <v>0.1497508979260804</v>
      </c>
      <c r="BM67" s="50">
        <f t="shared" si="146"/>
        <v>0.11735929177168825</v>
      </c>
      <c r="BN67" s="50">
        <f t="shared" si="146"/>
        <v>0.11741521323546765</v>
      </c>
      <c r="BO67" s="50">
        <f t="shared" si="146"/>
        <v>0.12264920469479312</v>
      </c>
      <c r="BP67" s="50">
        <f t="shared" si="146"/>
        <v>0.12198737418237983</v>
      </c>
      <c r="BQ67" s="50">
        <f>BQ54/BQ48</f>
        <v>0.10762018751246759</v>
      </c>
      <c r="CH67" s="50">
        <f t="shared" ref="CH67:CS67" si="147">CH54/CH48</f>
        <v>0.15441207559934042</v>
      </c>
      <c r="CI67" s="50">
        <f t="shared" si="147"/>
        <v>0.1623750895262781</v>
      </c>
      <c r="CJ67" s="50">
        <f t="shared" si="147"/>
        <v>0.20612056456931804</v>
      </c>
      <c r="CK67" s="50">
        <f t="shared" si="147"/>
        <v>0.19431351680097309</v>
      </c>
      <c r="CL67" s="50">
        <f t="shared" si="147"/>
        <v>0.19787820385813865</v>
      </c>
      <c r="CM67" s="50">
        <f t="shared" si="147"/>
        <v>0.21184527507158982</v>
      </c>
      <c r="CN67" s="50">
        <f t="shared" si="147"/>
        <v>0.20246969555534811</v>
      </c>
      <c r="CO67" s="50">
        <f t="shared" si="147"/>
        <v>0.19352623183268344</v>
      </c>
      <c r="CP67" s="50">
        <f t="shared" si="147"/>
        <v>0.2026881962924541</v>
      </c>
      <c r="CQ67" s="50">
        <f t="shared" si="147"/>
        <v>0.20703995790058399</v>
      </c>
      <c r="CR67" s="50">
        <f t="shared" si="147"/>
        <v>0.1835694471045429</v>
      </c>
      <c r="CS67" s="50">
        <f t="shared" si="147"/>
        <v>0.15886964668240863</v>
      </c>
      <c r="CT67" s="50">
        <f t="shared" ref="CS67:CW67" si="148">CT54/CT48</f>
        <v>0.14136944615874272</v>
      </c>
      <c r="CU67" s="50">
        <f t="shared" si="148"/>
        <v>0.14952481296581766</v>
      </c>
      <c r="CV67" s="50">
        <f t="shared" si="148"/>
        <v>0.14425135168545905</v>
      </c>
      <c r="CW67" s="50">
        <f t="shared" si="148"/>
        <v>0.11998240090509631</v>
      </c>
      <c r="CX67" s="62">
        <v>0.13</v>
      </c>
      <c r="CY67" s="62">
        <v>0.13</v>
      </c>
      <c r="CZ67" s="62">
        <v>0.13</v>
      </c>
      <c r="DA67" s="62">
        <v>0.13</v>
      </c>
      <c r="DB67" s="62">
        <v>0.13</v>
      </c>
      <c r="DC67" s="62">
        <v>0.13</v>
      </c>
      <c r="DD67" s="62">
        <v>0.13</v>
      </c>
      <c r="DE67" s="62">
        <v>0.13</v>
      </c>
      <c r="DF67" s="62">
        <v>0.13</v>
      </c>
      <c r="DG67" s="62">
        <v>0.13</v>
      </c>
    </row>
    <row r="68" spans="2:111">
      <c r="B68" s="37" t="s">
        <v>64</v>
      </c>
      <c r="C68" s="50">
        <f t="shared" ref="C68:AV68" si="149">C55/C48</f>
        <v>0.29383268119992545</v>
      </c>
      <c r="D68" s="50">
        <f t="shared" si="149"/>
        <v>0.29741923840462009</v>
      </c>
      <c r="E68" s="50">
        <f t="shared" si="149"/>
        <v>0.34198584135051735</v>
      </c>
      <c r="F68" s="50">
        <f t="shared" si="149"/>
        <v>0.33930834691290968</v>
      </c>
      <c r="G68" s="50">
        <f t="shared" si="149"/>
        <v>0.34886459209419679</v>
      </c>
      <c r="H68" s="50">
        <f t="shared" si="149"/>
        <v>0.37159124962541207</v>
      </c>
      <c r="I68" s="50">
        <f t="shared" si="149"/>
        <v>0.36723247232472322</v>
      </c>
      <c r="J68" s="50">
        <f t="shared" si="149"/>
        <v>0.34677419354838712</v>
      </c>
      <c r="K68" s="50">
        <f t="shared" si="149"/>
        <v>0.34957452648915727</v>
      </c>
      <c r="L68" s="50">
        <f t="shared" si="149"/>
        <v>0.35319905213270142</v>
      </c>
      <c r="M68" s="50">
        <f t="shared" si="149"/>
        <v>0.26775510204081632</v>
      </c>
      <c r="N68" s="50">
        <f t="shared" si="149"/>
        <v>0.31918900952803014</v>
      </c>
      <c r="O68" s="50">
        <f t="shared" si="149"/>
        <v>0.31460905349794238</v>
      </c>
      <c r="P68" s="50">
        <f t="shared" si="149"/>
        <v>0.33134920634920634</v>
      </c>
      <c r="Q68" s="50">
        <f t="shared" si="149"/>
        <v>0.3183654297792391</v>
      </c>
      <c r="R68" s="50">
        <f t="shared" si="149"/>
        <v>0.27415939696790037</v>
      </c>
      <c r="S68" s="50">
        <f t="shared" si="149"/>
        <v>0.20595309681298857</v>
      </c>
      <c r="T68" s="50">
        <f t="shared" si="149"/>
        <v>0.43450354954779735</v>
      </c>
      <c r="U68" s="50">
        <f t="shared" si="149"/>
        <v>0.28939850204617407</v>
      </c>
      <c r="V68" s="50">
        <f t="shared" si="149"/>
        <v>0.26436255436026551</v>
      </c>
      <c r="W68" s="50">
        <f t="shared" si="149"/>
        <v>0.27344772429838593</v>
      </c>
      <c r="X68" s="50">
        <f t="shared" si="149"/>
        <v>0.28197618896033616</v>
      </c>
      <c r="Y68" s="50">
        <f t="shared" si="149"/>
        <v>0.26686121919584954</v>
      </c>
      <c r="Z68" s="50">
        <f t="shared" si="149"/>
        <v>0.26687558759009716</v>
      </c>
      <c r="AA68" s="50">
        <f t="shared" si="149"/>
        <v>0.22538279973370454</v>
      </c>
      <c r="AB68" s="50">
        <f t="shared" si="149"/>
        <v>0.24299839805557091</v>
      </c>
      <c r="AC68" s="50">
        <f t="shared" si="149"/>
        <v>0.25767759879476188</v>
      </c>
      <c r="AD68" s="50">
        <f t="shared" si="149"/>
        <v>0.2721836746206352</v>
      </c>
      <c r="AE68" s="50">
        <f t="shared" si="149"/>
        <v>0.25210174029451138</v>
      </c>
      <c r="AF68" s="50">
        <f t="shared" si="149"/>
        <v>0.25223873599324864</v>
      </c>
      <c r="AG68" s="50">
        <f t="shared" si="149"/>
        <v>0.26371130967073109</v>
      </c>
      <c r="AH68" s="50">
        <f t="shared" si="149"/>
        <v>0.27758139534883719</v>
      </c>
      <c r="AI68" s="50">
        <f t="shared" si="149"/>
        <v>0.25687051801701483</v>
      </c>
      <c r="AJ68" s="50">
        <f t="shared" si="149"/>
        <v>0.25471915285451197</v>
      </c>
      <c r="AK68" s="50">
        <f t="shared" si="149"/>
        <v>0.26537373737373737</v>
      </c>
      <c r="AL68" s="50">
        <f t="shared" si="149"/>
        <v>0.15886197616301423</v>
      </c>
      <c r="AM68" s="50">
        <f t="shared" si="149"/>
        <v>0.28021028373901774</v>
      </c>
      <c r="AN68" s="50">
        <f t="shared" si="149"/>
        <v>0.23809671132011262</v>
      </c>
      <c r="AO68" s="50">
        <f t="shared" si="149"/>
        <v>0.24507159827907277</v>
      </c>
      <c r="AP68" s="50">
        <f t="shared" si="149"/>
        <v>9.3241877698502618E-2</v>
      </c>
      <c r="AQ68" s="50">
        <f t="shared" si="149"/>
        <v>0.25563129816241847</v>
      </c>
      <c r="AR68" s="50">
        <f t="shared" si="149"/>
        <v>0.20931357572054179</v>
      </c>
      <c r="AS68" s="50">
        <f t="shared" si="149"/>
        <v>0.18184319876716476</v>
      </c>
      <c r="AT68" s="50">
        <f t="shared" si="149"/>
        <v>0.23572308956450289</v>
      </c>
      <c r="AU68" s="50">
        <f t="shared" si="149"/>
        <v>0.22659818760957059</v>
      </c>
      <c r="AV68" s="50">
        <f t="shared" si="149"/>
        <v>0.20110689093868692</v>
      </c>
      <c r="AW68" s="50">
        <f t="shared" ref="AW68:BP68" si="150">AW55/AW48</f>
        <v>0.1938093734055735</v>
      </c>
      <c r="AX68" s="50">
        <f t="shared" si="150"/>
        <v>0.1666710186176463</v>
      </c>
      <c r="AY68" s="50">
        <f t="shared" si="150"/>
        <v>0.24284755159941956</v>
      </c>
      <c r="AZ68" s="50">
        <f t="shared" si="150"/>
        <v>0.27507118000632713</v>
      </c>
      <c r="BA68" s="50">
        <f t="shared" si="150"/>
        <v>0.29715804317171057</v>
      </c>
      <c r="BB68" s="50">
        <f t="shared" si="150"/>
        <v>0.312879767291532</v>
      </c>
      <c r="BC68" s="50">
        <f t="shared" si="150"/>
        <v>0.32296753585798088</v>
      </c>
      <c r="BD68" s="50">
        <f t="shared" si="150"/>
        <v>0.29054098904746101</v>
      </c>
      <c r="BE68" s="50">
        <f t="shared" si="150"/>
        <v>0.29545220626075192</v>
      </c>
      <c r="BF68" s="50">
        <f t="shared" si="150"/>
        <v>0.279156202913109</v>
      </c>
      <c r="BG68" s="50">
        <f t="shared" si="150"/>
        <v>0.24800266311584554</v>
      </c>
      <c r="BH68" s="50">
        <f t="shared" si="150"/>
        <v>0.23879654954765411</v>
      </c>
      <c r="BI68" s="50">
        <f t="shared" si="150"/>
        <v>0.24954504420594092</v>
      </c>
      <c r="BJ68" s="50">
        <f t="shared" si="150"/>
        <v>0.29271888906761029</v>
      </c>
      <c r="BK68" s="50">
        <f t="shared" si="150"/>
        <v>0.27829136948613303</v>
      </c>
      <c r="BL68" s="50">
        <f t="shared" si="150"/>
        <v>0.27455683003128256</v>
      </c>
      <c r="BM68" s="50">
        <f t="shared" si="150"/>
        <v>0.31626913669154072</v>
      </c>
      <c r="BN68" s="50">
        <f t="shared" si="150"/>
        <v>0.32362936914398999</v>
      </c>
      <c r="BO68" s="50">
        <f t="shared" si="150"/>
        <v>0.32311823084243441</v>
      </c>
      <c r="BP68" s="50">
        <f t="shared" si="150"/>
        <v>0.32105650519856122</v>
      </c>
      <c r="BQ68" s="50">
        <f>BQ55/BQ48</f>
        <v>0.33918478622248821</v>
      </c>
      <c r="CH68" s="50">
        <f t="shared" ref="CH68:CS68" si="151">CH55/CH48</f>
        <v>0.35144391357659294</v>
      </c>
      <c r="CI68" s="50">
        <f t="shared" si="151"/>
        <v>0.35404658776985776</v>
      </c>
      <c r="CJ68" s="50">
        <f t="shared" si="151"/>
        <v>0.30977443609022559</v>
      </c>
      <c r="CK68" s="50">
        <f t="shared" si="151"/>
        <v>0.30048437194552446</v>
      </c>
      <c r="CL68" s="50">
        <f t="shared" si="151"/>
        <v>0.27743655325203986</v>
      </c>
      <c r="CM68" s="50">
        <f t="shared" si="151"/>
        <v>0.24993560703625703</v>
      </c>
      <c r="CN68" s="50">
        <f t="shared" si="151"/>
        <v>0.25817119844243824</v>
      </c>
      <c r="CO68" s="50">
        <f t="shared" si="151"/>
        <v>0.26271712158808935</v>
      </c>
      <c r="CP68" s="50">
        <f t="shared" si="151"/>
        <v>0.23614631726128726</v>
      </c>
      <c r="CQ68" s="50">
        <f t="shared" si="151"/>
        <v>0.20117089000796673</v>
      </c>
      <c r="CR68" s="50">
        <f t="shared" si="151"/>
        <v>0.21148915400631421</v>
      </c>
      <c r="CS68" s="50">
        <f t="shared" si="151"/>
        <v>0.22585151785763202</v>
      </c>
      <c r="CT68" s="50">
        <f t="shared" ref="CS68:CW68" si="152">CT55/CT48</f>
        <v>0.3055228868524319</v>
      </c>
      <c r="CU68" s="50">
        <f t="shared" si="152"/>
        <v>0.26461270842467011</v>
      </c>
      <c r="CV68" s="50">
        <f t="shared" si="152"/>
        <v>0.27421810445226646</v>
      </c>
      <c r="CW68" s="50">
        <f t="shared" si="152"/>
        <v>0.32109777211457696</v>
      </c>
      <c r="CX68" s="62">
        <f>CX55/CX48</f>
        <v>0.33799999999999991</v>
      </c>
      <c r="CY68" s="62">
        <f t="shared" ref="CY68:DG68" si="153">CY55/CY48</f>
        <v>0.32600000000000001</v>
      </c>
      <c r="CZ68" s="62">
        <f t="shared" si="153"/>
        <v>0.32800000000000001</v>
      </c>
      <c r="DA68" s="62">
        <f t="shared" si="153"/>
        <v>0.34099999999999997</v>
      </c>
      <c r="DB68" s="62">
        <f t="shared" si="153"/>
        <v>0.34399999999999997</v>
      </c>
      <c r="DC68" s="62">
        <f t="shared" si="153"/>
        <v>0.35699999999999998</v>
      </c>
      <c r="DD68" s="62">
        <f t="shared" si="153"/>
        <v>0.36</v>
      </c>
      <c r="DE68" s="62">
        <f t="shared" si="153"/>
        <v>0.372</v>
      </c>
      <c r="DF68" s="62">
        <f t="shared" si="153"/>
        <v>0.38400000000000001</v>
      </c>
      <c r="DG68" s="62">
        <f t="shared" si="153"/>
        <v>0.38499999999999995</v>
      </c>
    </row>
    <row r="69" spans="2:111">
      <c r="B69" s="37" t="s">
        <v>65</v>
      </c>
      <c r="C69" s="50">
        <f t="shared" ref="C69:AV69" si="154">C58/C57</f>
        <v>0.23762921279588964</v>
      </c>
      <c r="D69" s="50">
        <f t="shared" si="154"/>
        <v>0.22693505871075964</v>
      </c>
      <c r="E69" s="50">
        <f t="shared" si="154"/>
        <v>0.24708994708994708</v>
      </c>
      <c r="F69" s="50">
        <f t="shared" si="154"/>
        <v>0.19989224137931033</v>
      </c>
      <c r="G69" s="50">
        <f t="shared" si="154"/>
        <v>0.20706337687469764</v>
      </c>
      <c r="H69" s="50">
        <f t="shared" si="154"/>
        <v>0.23169781931464176</v>
      </c>
      <c r="I69" s="50">
        <f t="shared" si="154"/>
        <v>0.21987230646448525</v>
      </c>
      <c r="J69" s="50">
        <f t="shared" si="154"/>
        <v>0.24404272801972063</v>
      </c>
      <c r="K69" s="50">
        <f t="shared" si="154"/>
        <v>0.20154753131908623</v>
      </c>
      <c r="L69" s="50">
        <f t="shared" si="154"/>
        <v>0.19064290260980268</v>
      </c>
      <c r="M69" s="50">
        <f t="shared" si="154"/>
        <v>0.24832775919732442</v>
      </c>
      <c r="N69" s="50">
        <f t="shared" si="154"/>
        <v>0.18800648298217179</v>
      </c>
      <c r="O69" s="50">
        <f t="shared" si="154"/>
        <v>0.18779761904761905</v>
      </c>
      <c r="P69" s="50">
        <f t="shared" si="154"/>
        <v>0.22470621954714817</v>
      </c>
      <c r="Q69" s="50">
        <f t="shared" si="154"/>
        <v>0.18476727785613539</v>
      </c>
      <c r="R69" s="50">
        <f t="shared" si="154"/>
        <v>0.18825214899713466</v>
      </c>
      <c r="S69" s="50">
        <f t="shared" si="154"/>
        <v>0.23065953654188948</v>
      </c>
      <c r="T69" s="50">
        <f t="shared" si="154"/>
        <v>0.2067401166558652</v>
      </c>
      <c r="U69" s="50">
        <f t="shared" si="154"/>
        <v>9.1190108191653782E-2</v>
      </c>
      <c r="V69" s="50">
        <f t="shared" si="154"/>
        <v>0.25047284517697921</v>
      </c>
      <c r="W69" s="50">
        <f t="shared" si="154"/>
        <v>0.16211920529801324</v>
      </c>
      <c r="X69" s="50">
        <f t="shared" si="154"/>
        <v>0.18630257652499449</v>
      </c>
      <c r="Y69" s="50">
        <f t="shared" si="154"/>
        <v>0.1838103756708408</v>
      </c>
      <c r="Z69" s="50">
        <f t="shared" si="154"/>
        <v>0.22348398818987053</v>
      </c>
      <c r="AA69" s="50">
        <f t="shared" si="154"/>
        <v>0.24189784806844697</v>
      </c>
      <c r="AB69" s="50">
        <f t="shared" si="154"/>
        <v>0.19880715705765409</v>
      </c>
      <c r="AC69" s="50">
        <f t="shared" si="154"/>
        <v>0.23653344917463076</v>
      </c>
      <c r="AD69" s="50">
        <f t="shared" si="154"/>
        <v>0.20682001614205003</v>
      </c>
      <c r="AE69" s="50">
        <f t="shared" si="154"/>
        <v>0.18646493559599264</v>
      </c>
      <c r="AF69" s="50">
        <f t="shared" si="154"/>
        <v>5.326923076923077E-2</v>
      </c>
      <c r="AG69" s="50">
        <f t="shared" si="154"/>
        <v>0.17976213686878534</v>
      </c>
      <c r="AH69" s="50">
        <f t="shared" si="154"/>
        <v>0.20297434221277988</v>
      </c>
      <c r="AI69" s="50">
        <f t="shared" si="154"/>
        <v>0.16277915632754342</v>
      </c>
      <c r="AJ69" s="50">
        <f t="shared" si="154"/>
        <v>0.22225463030479803</v>
      </c>
      <c r="AK69" s="50">
        <f t="shared" si="154"/>
        <v>0.20428215280832968</v>
      </c>
      <c r="AL69" s="50">
        <f t="shared" si="154"/>
        <v>0.19488233950194198</v>
      </c>
      <c r="AM69" s="50">
        <f t="shared" si="154"/>
        <v>0.15628524877804237</v>
      </c>
      <c r="AN69" s="50">
        <f t="shared" si="154"/>
        <v>1.3766525318034422</v>
      </c>
      <c r="AO69" s="50">
        <f t="shared" si="154"/>
        <v>0.10831831546998008</v>
      </c>
      <c r="AP69" s="50">
        <f t="shared" si="154"/>
        <v>0.24199288256227758</v>
      </c>
      <c r="AQ69" s="50">
        <f t="shared" si="154"/>
        <v>8.8366557572151144E-2</v>
      </c>
      <c r="AR69" s="50">
        <f t="shared" si="154"/>
        <v>0.11159650516282764</v>
      </c>
      <c r="AS69" s="50">
        <f t="shared" si="154"/>
        <v>0.18278909894426712</v>
      </c>
      <c r="AT69" s="50">
        <f t="shared" si="154"/>
        <v>0.18111467852144564</v>
      </c>
      <c r="AU69" s="50">
        <f t="shared" si="154"/>
        <v>0.1808066759388039</v>
      </c>
      <c r="AV69" s="50">
        <f t="shared" si="154"/>
        <v>3.0829596412556052E-3</v>
      </c>
      <c r="AW69" s="50">
        <f t="shared" ref="AW69:BP69" si="155">AW58/AW57</f>
        <v>0.11873146835116669</v>
      </c>
      <c r="AX69" s="50">
        <f t="shared" si="155"/>
        <v>0.15923643832306392</v>
      </c>
      <c r="AY69" s="50">
        <f t="shared" si="155"/>
        <v>0.15809566584325174</v>
      </c>
      <c r="AZ69" s="50">
        <f t="shared" si="155"/>
        <v>0.18524265610787094</v>
      </c>
      <c r="BA69" s="50">
        <f t="shared" si="155"/>
        <v>0.15754357938260583</v>
      </c>
      <c r="BB69" s="50">
        <f t="shared" si="155"/>
        <v>0.15738003183989083</v>
      </c>
      <c r="BC69" s="50">
        <f t="shared" si="155"/>
        <v>0.17898022892819979</v>
      </c>
      <c r="BD69" s="50">
        <f t="shared" si="155"/>
        <v>0.15408573067781328</v>
      </c>
      <c r="BE69" s="50">
        <f t="shared" si="155"/>
        <v>0.13193197422625963</v>
      </c>
      <c r="BF69" s="50">
        <f t="shared" si="155"/>
        <v>0.15840959293152415</v>
      </c>
      <c r="BG69" s="50">
        <f t="shared" si="155"/>
        <v>0.14310355448777182</v>
      </c>
      <c r="BH69" s="50">
        <f t="shared" si="155"/>
        <v>0.20545868081880211</v>
      </c>
      <c r="BI69" s="50">
        <f t="shared" si="155"/>
        <v>0.17324910738808019</v>
      </c>
      <c r="BJ69" s="50">
        <f t="shared" si="155"/>
        <v>0.16139341642697347</v>
      </c>
      <c r="BK69" s="50">
        <f t="shared" si="155"/>
        <v>7.1142142756050381E-2</v>
      </c>
      <c r="BL69" s="50">
        <f t="shared" si="155"/>
        <v>0.15258889070948714</v>
      </c>
      <c r="BM69" s="50">
        <f t="shared" si="155"/>
        <v>0.16432986049796927</v>
      </c>
      <c r="BN69" s="50">
        <f t="shared" si="155"/>
        <v>0.14271714275343908</v>
      </c>
      <c r="BO69" s="50">
        <f t="shared" si="155"/>
        <v>0.17047246577934777</v>
      </c>
      <c r="BP69" s="50">
        <f t="shared" si="155"/>
        <v>0.17699965884067859</v>
      </c>
      <c r="BQ69" s="50">
        <f>BQ58/BQ57</f>
        <v>0.173466701763622</v>
      </c>
      <c r="CH69" s="50">
        <f t="shared" ref="CH69:CS69" si="156">CH58/CH57</f>
        <v>0.22204987471662094</v>
      </c>
      <c r="CI69" s="50">
        <f t="shared" si="156"/>
        <v>0.21220822526861802</v>
      </c>
      <c r="CJ69" s="50">
        <f t="shared" si="156"/>
        <v>0.2100438098328736</v>
      </c>
      <c r="CK69" s="50">
        <f t="shared" si="156"/>
        <v>0.20153431474186193</v>
      </c>
      <c r="CL69" s="50">
        <f t="shared" si="156"/>
        <v>0.17227498584816656</v>
      </c>
      <c r="CM69" s="50">
        <f t="shared" si="156"/>
        <v>0.21084651486181122</v>
      </c>
      <c r="CN69" s="50">
        <f t="shared" si="156"/>
        <v>0.16808304920869166</v>
      </c>
      <c r="CO69" s="50">
        <f t="shared" si="156"/>
        <v>0.19345755693581781</v>
      </c>
      <c r="CP69" s="50">
        <f t="shared" si="156"/>
        <v>0.53436546169970212</v>
      </c>
      <c r="CQ69" s="50">
        <f t="shared" si="156"/>
        <v>0.1196402486179933</v>
      </c>
      <c r="CR69" s="50">
        <f t="shared" si="156"/>
        <v>0.13329968454258675</v>
      </c>
      <c r="CS69" s="50">
        <f t="shared" si="156"/>
        <v>0.16249324071378063</v>
      </c>
      <c r="CT69" s="50">
        <f t="shared" ref="CS69:CW69" si="157">CT58/CT57</f>
        <v>0.16202305640663919</v>
      </c>
      <c r="CU69" s="50">
        <f t="shared" si="157"/>
        <v>0.1592081650964558</v>
      </c>
      <c r="CV69" s="50">
        <f t="shared" si="157"/>
        <v>0.13908559562280529</v>
      </c>
      <c r="CW69" s="50">
        <f t="shared" si="157"/>
        <v>0.16439510912657013</v>
      </c>
      <c r="CX69" s="62">
        <v>0.16500000000000001</v>
      </c>
      <c r="CY69" s="62">
        <v>0.16750000000000001</v>
      </c>
      <c r="CZ69" s="62">
        <v>0.17</v>
      </c>
      <c r="DA69" s="62">
        <v>0.17499999999999999</v>
      </c>
      <c r="DB69" s="62">
        <v>0.18</v>
      </c>
      <c r="DC69" s="62">
        <v>0.18</v>
      </c>
      <c r="DD69" s="62">
        <v>0.18</v>
      </c>
      <c r="DE69" s="62">
        <v>0.18</v>
      </c>
      <c r="DF69" s="62">
        <v>0.18</v>
      </c>
      <c r="DG69" s="62">
        <v>0.18</v>
      </c>
    </row>
    <row r="70" spans="2:111">
      <c r="B70" s="37" t="s">
        <v>66</v>
      </c>
      <c r="C70" s="50">
        <f t="shared" ref="C70:AV70" si="158">C59/C48</f>
        <v>0.23223402273150737</v>
      </c>
      <c r="D70" s="50">
        <f t="shared" si="158"/>
        <v>0.23288215123623895</v>
      </c>
      <c r="E70" s="50">
        <f t="shared" si="158"/>
        <v>0.25830459248502452</v>
      </c>
      <c r="F70" s="50">
        <f t="shared" si="158"/>
        <v>0.26887561108093427</v>
      </c>
      <c r="G70" s="50">
        <f t="shared" si="158"/>
        <v>0.27569386038687971</v>
      </c>
      <c r="H70" s="50">
        <f t="shared" si="158"/>
        <v>0.29562481270602337</v>
      </c>
      <c r="I70" s="50">
        <f t="shared" si="158"/>
        <v>0.28856088560885607</v>
      </c>
      <c r="J70" s="50">
        <f t="shared" si="158"/>
        <v>0.26979472140762462</v>
      </c>
      <c r="K70" s="50">
        <f t="shared" si="158"/>
        <v>0.29741970903101839</v>
      </c>
      <c r="L70" s="50">
        <f t="shared" si="158"/>
        <v>0.30130331753554501</v>
      </c>
      <c r="M70" s="50">
        <f t="shared" si="158"/>
        <v>0.20967930029154519</v>
      </c>
      <c r="N70" s="50">
        <f t="shared" si="158"/>
        <v>0.27753157544870377</v>
      </c>
      <c r="O70" s="50">
        <f t="shared" si="158"/>
        <v>0.280761316872428</v>
      </c>
      <c r="P70" s="50">
        <f t="shared" si="158"/>
        <v>0.25557445200302342</v>
      </c>
      <c r="Q70" s="50">
        <f t="shared" si="158"/>
        <v>0.27148896195396899</v>
      </c>
      <c r="R70" s="50">
        <f t="shared" si="158"/>
        <v>0.23994240704666722</v>
      </c>
      <c r="S70" s="50">
        <f t="shared" si="158"/>
        <v>0.1622068550811786</v>
      </c>
      <c r="T70" s="50">
        <f t="shared" si="158"/>
        <v>0.35709423320042788</v>
      </c>
      <c r="U70" s="50">
        <f t="shared" si="158"/>
        <v>0.27241139680333565</v>
      </c>
      <c r="V70" s="50">
        <f t="shared" si="158"/>
        <v>0.21164263370717937</v>
      </c>
      <c r="W70" s="50">
        <f t="shared" si="158"/>
        <v>0.22996946342882071</v>
      </c>
      <c r="X70" s="50">
        <f t="shared" si="158"/>
        <v>0.23524543197300565</v>
      </c>
      <c r="Y70" s="50">
        <f t="shared" si="158"/>
        <v>0.23670557717250323</v>
      </c>
      <c r="Z70" s="50">
        <f t="shared" si="158"/>
        <v>0.21429019116264494</v>
      </c>
      <c r="AA70" s="50">
        <f t="shared" si="158"/>
        <v>0.1769654421109968</v>
      </c>
      <c r="AB70" s="50">
        <f t="shared" si="158"/>
        <v>0.20035353256366348</v>
      </c>
      <c r="AC70" s="50">
        <f t="shared" si="158"/>
        <v>0.20367365859311623</v>
      </c>
      <c r="AD70" s="50">
        <f t="shared" si="158"/>
        <v>0.22175212951994133</v>
      </c>
      <c r="AE70" s="50">
        <f t="shared" si="158"/>
        <v>0.21306559571619813</v>
      </c>
      <c r="AF70" s="50">
        <f t="shared" si="158"/>
        <v>0.23081250879084814</v>
      </c>
      <c r="AG70" s="50">
        <f t="shared" si="158"/>
        <v>0.20768129535469221</v>
      </c>
      <c r="AH70" s="50">
        <f t="shared" si="158"/>
        <v>0.22683720930232559</v>
      </c>
      <c r="AI70" s="50">
        <f t="shared" si="158"/>
        <v>0.22542425727139104</v>
      </c>
      <c r="AJ70" s="50">
        <f t="shared" si="158"/>
        <v>0.20461172498465316</v>
      </c>
      <c r="AK70" s="50">
        <f t="shared" si="158"/>
        <v>0.21923232323232322</v>
      </c>
      <c r="AL70" s="50">
        <f t="shared" si="158"/>
        <v>0.13548635140330642</v>
      </c>
      <c r="AM70" s="50">
        <f t="shared" si="158"/>
        <v>0.24240241970329829</v>
      </c>
      <c r="AN70" s="50">
        <f t="shared" si="158"/>
        <v>-9.343192154193608E-2</v>
      </c>
      <c r="AO70" s="50">
        <f t="shared" si="158"/>
        <v>0.30183651191164196</v>
      </c>
      <c r="AP70" s="50">
        <f t="shared" si="158"/>
        <v>9.7835073644241669E-2</v>
      </c>
      <c r="AQ70" s="50">
        <f t="shared" si="158"/>
        <v>0.2724362774155305</v>
      </c>
      <c r="AR70" s="50">
        <f t="shared" si="158"/>
        <v>0.22782360729198492</v>
      </c>
      <c r="AS70" s="50">
        <f t="shared" si="158"/>
        <v>0.18319161231734502</v>
      </c>
      <c r="AT70" s="50">
        <f t="shared" si="158"/>
        <v>0.25541803615447822</v>
      </c>
      <c r="AU70" s="50">
        <f t="shared" si="158"/>
        <v>0.17452282772414135</v>
      </c>
      <c r="AV70" s="50">
        <f t="shared" si="158"/>
        <v>0.23160065111231687</v>
      </c>
      <c r="AW70" s="50">
        <f t="shared" ref="AW70:BP70" si="159">AW59/AW48</f>
        <v>0.16608761145800433</v>
      </c>
      <c r="AX70" s="50">
        <f t="shared" si="159"/>
        <v>0.1817113612032274</v>
      </c>
      <c r="AY70" s="50">
        <f t="shared" si="159"/>
        <v>0.24358391267623936</v>
      </c>
      <c r="AZ70" s="50">
        <f t="shared" si="159"/>
        <v>0.26761924847973567</v>
      </c>
      <c r="BA70" s="50">
        <f t="shared" si="159"/>
        <v>0.32414940159814876</v>
      </c>
      <c r="BB70" s="50">
        <f t="shared" si="159"/>
        <v>0.29936974789915966</v>
      </c>
      <c r="BC70" s="50">
        <f t="shared" si="159"/>
        <v>0.29079517184188702</v>
      </c>
      <c r="BD70" s="50">
        <f t="shared" si="159"/>
        <v>0.2740391636242947</v>
      </c>
      <c r="BE70" s="50">
        <f t="shared" si="159"/>
        <v>0.24166678919586537</v>
      </c>
      <c r="BF70" s="50">
        <f t="shared" si="159"/>
        <v>0.22963335007533903</v>
      </c>
      <c r="BG70" s="50">
        <f t="shared" si="159"/>
        <v>0.20132576854049672</v>
      </c>
      <c r="BH70" s="50">
        <f t="shared" si="159"/>
        <v>0.17915001051967178</v>
      </c>
      <c r="BI70" s="50">
        <f t="shared" si="159"/>
        <v>0.21567054035851949</v>
      </c>
      <c r="BJ70" s="50">
        <f t="shared" si="159"/>
        <v>0.2462066377137955</v>
      </c>
      <c r="BK70" s="50">
        <f t="shared" si="159"/>
        <v>0.25672486406842865</v>
      </c>
      <c r="BL70" s="50">
        <f t="shared" si="159"/>
        <v>0.23968253968253969</v>
      </c>
      <c r="BM70" s="50">
        <f t="shared" si="159"/>
        <v>0.29379555246526529</v>
      </c>
      <c r="BN70" s="50">
        <f t="shared" si="159"/>
        <v>0.27871657501593072</v>
      </c>
      <c r="BO70" s="50">
        <f t="shared" si="159"/>
        <v>0.29796755336022113</v>
      </c>
      <c r="BP70" s="50">
        <f t="shared" si="159"/>
        <v>0.27507282132083882</v>
      </c>
      <c r="BQ70" s="50">
        <f>BQ59/BQ48</f>
        <v>0.38278254316554733</v>
      </c>
      <c r="CH70" s="50">
        <f t="shared" ref="CH70:CS70" si="160">CH59/CH48</f>
        <v>0.2756754471269714</v>
      </c>
      <c r="CI70" s="50">
        <f t="shared" si="160"/>
        <v>0.29006514102520375</v>
      </c>
      <c r="CJ70" s="50">
        <f t="shared" si="160"/>
        <v>0.25687903970452447</v>
      </c>
      <c r="CK70" s="50">
        <f t="shared" si="160"/>
        <v>0.2509394209257369</v>
      </c>
      <c r="CL70" s="50">
        <f t="shared" si="160"/>
        <v>0.23703596966804158</v>
      </c>
      <c r="CM70" s="50">
        <f t="shared" si="160"/>
        <v>0.20636050968924713</v>
      </c>
      <c r="CN70" s="50">
        <f t="shared" si="160"/>
        <v>0.21800530744509194</v>
      </c>
      <c r="CO70" s="50">
        <f t="shared" si="160"/>
        <v>0.2157701169797944</v>
      </c>
      <c r="CP70" s="50">
        <f t="shared" si="160"/>
        <v>0.11422128005051645</v>
      </c>
      <c r="CQ70" s="50">
        <f t="shared" si="160"/>
        <v>0.22464716157843576</v>
      </c>
      <c r="CR70" s="50">
        <f t="shared" si="160"/>
        <v>0.21218112284300339</v>
      </c>
      <c r="CS70" s="50">
        <f t="shared" si="160"/>
        <v>0.22061941520980458</v>
      </c>
      <c r="CT70" s="50">
        <f t="shared" ref="CS70:CW70" si="161">CT59/CT48</f>
        <v>0.29511677282377918</v>
      </c>
      <c r="CU70" s="50">
        <f t="shared" si="161"/>
        <v>0.21203807153261961</v>
      </c>
      <c r="CV70" s="50">
        <f t="shared" si="161"/>
        <v>0.24006649446638517</v>
      </c>
      <c r="CW70" s="50">
        <f t="shared" si="161"/>
        <v>0.28603671811164</v>
      </c>
      <c r="CX70" s="62">
        <f>CX59/CX48</f>
        <v>0.29966385764692194</v>
      </c>
      <c r="CY70" s="62">
        <f t="shared" ref="CY70:DG70" si="162">CY59/CY48</f>
        <v>0.28855758037465795</v>
      </c>
      <c r="CZ70" s="62">
        <f t="shared" si="162"/>
        <v>0.28948300018159545</v>
      </c>
      <c r="DA70" s="62">
        <f t="shared" si="162"/>
        <v>0.29867343498182758</v>
      </c>
      <c r="DB70" s="62">
        <f t="shared" si="162"/>
        <v>0.29963213409797396</v>
      </c>
      <c r="DC70" s="62">
        <f t="shared" si="162"/>
        <v>0.31066932079318593</v>
      </c>
      <c r="DD70" s="62">
        <f t="shared" si="162"/>
        <v>0.31357623048230682</v>
      </c>
      <c r="DE70" s="62">
        <f t="shared" si="162"/>
        <v>0.32393729108962216</v>
      </c>
      <c r="DF70" s="62">
        <f t="shared" si="162"/>
        <v>0.33437726302496457</v>
      </c>
      <c r="DG70" s="62">
        <f t="shared" si="162"/>
        <v>0.33587862829941301</v>
      </c>
    </row>
    <row r="71" spans="2:111">
      <c r="B71" s="37" t="s">
        <v>94</v>
      </c>
      <c r="C71" s="50"/>
      <c r="D71" s="50"/>
      <c r="E71" s="50"/>
      <c r="F71" s="50"/>
      <c r="G71" s="50"/>
      <c r="H71" s="50"/>
      <c r="I71" s="50">
        <f t="shared" ref="E71:BP71" si="163">I61/E61-1</f>
        <v>0.36240562793826414</v>
      </c>
      <c r="J71" s="50">
        <f t="shared" si="163"/>
        <v>0.22952153861530333</v>
      </c>
      <c r="K71" s="50">
        <f t="shared" si="163"/>
        <v>0.3133298753821081</v>
      </c>
      <c r="L71" s="50">
        <f t="shared" si="163"/>
        <v>0.27889065134254376</v>
      </c>
      <c r="M71" s="50">
        <f t="shared" si="163"/>
        <v>-9.0675889020733424E-2</v>
      </c>
      <c r="N71" s="50">
        <f t="shared" si="163"/>
        <v>0.34504101913664176</v>
      </c>
      <c r="O71" s="50">
        <f t="shared" si="163"/>
        <v>0.24171038278951262</v>
      </c>
      <c r="P71" s="50">
        <f t="shared" si="163"/>
        <v>5.0275132944551881E-2</v>
      </c>
      <c r="Q71" s="50">
        <f t="shared" si="163"/>
        <v>0.58868881877496859</v>
      </c>
      <c r="R71" s="50">
        <f t="shared" si="163"/>
        <v>0.116899967592208</v>
      </c>
      <c r="S71" s="50">
        <f t="shared" si="163"/>
        <v>-0.22039208641025698</v>
      </c>
      <c r="T71" s="50">
        <f t="shared" si="163"/>
        <v>0.33902540392809155</v>
      </c>
      <c r="U71" s="50">
        <f t="shared" si="163"/>
        <v>0.20173591532151036</v>
      </c>
      <c r="V71" s="50">
        <f t="shared" si="163"/>
        <v>-3.9085634920439039E-2</v>
      </c>
      <c r="W71" s="50">
        <f t="shared" si="163"/>
        <v>0.44000828515086354</v>
      </c>
      <c r="X71" s="50">
        <f t="shared" si="163"/>
        <v>-1.0741739738306832E-2</v>
      </c>
      <c r="Y71" s="50">
        <f t="shared" si="163"/>
        <v>1.6583781892179905E-2</v>
      </c>
      <c r="Z71" s="50">
        <f t="shared" si="163"/>
        <v>0.21398557526311635</v>
      </c>
      <c r="AA71" s="50">
        <f t="shared" si="163"/>
        <v>-8.9009296635383039E-2</v>
      </c>
      <c r="AB71" s="50">
        <f t="shared" si="163"/>
        <v>-3.3288027144876442E-2</v>
      </c>
      <c r="AC71" s="50">
        <f t="shared" si="163"/>
        <v>-4.8725196506638202E-2</v>
      </c>
      <c r="AD71" s="50">
        <f t="shared" si="163"/>
        <v>0.13545518272839741</v>
      </c>
      <c r="AE71" s="50">
        <f t="shared" si="163"/>
        <v>0.34227182836335834</v>
      </c>
      <c r="AF71" s="50">
        <f t="shared" si="163"/>
        <v>0.34007233052188912</v>
      </c>
      <c r="AG71" s="50">
        <f t="shared" si="163"/>
        <v>0.18538059743954505</v>
      </c>
      <c r="AH71" s="50">
        <f t="shared" si="163"/>
        <v>0.23595042759237761</v>
      </c>
      <c r="AI71" s="50">
        <f t="shared" si="163"/>
        <v>0.26989268380837816</v>
      </c>
      <c r="AJ71" s="50">
        <f t="shared" si="163"/>
        <v>7.8321312504514795E-2</v>
      </c>
      <c r="AK71" s="50">
        <f t="shared" si="163"/>
        <v>0.28220183550567635</v>
      </c>
      <c r="AL71" s="50">
        <f t="shared" si="163"/>
        <v>-0.28342913836309336</v>
      </c>
      <c r="AM71" s="50">
        <f t="shared" si="163"/>
        <v>0.31875946901300867</v>
      </c>
      <c r="AN71" s="50">
        <f t="shared" si="163"/>
        <v>-1.5621173231250176</v>
      </c>
      <c r="AO71" s="50">
        <f t="shared" si="163"/>
        <v>0.72460362040775772</v>
      </c>
      <c r="AP71" s="50">
        <f t="shared" si="163"/>
        <v>-9.7273654699923218E-2</v>
      </c>
      <c r="AQ71" s="50">
        <f t="shared" si="163"/>
        <v>0.36119888387128918</v>
      </c>
      <c r="AR71" s="116">
        <f t="shared" si="163"/>
        <v>-3.9533238097642465</v>
      </c>
      <c r="AS71" s="50">
        <f t="shared" si="163"/>
        <v>-0.29198575135620419</v>
      </c>
      <c r="AT71" s="50">
        <f t="shared" si="163"/>
        <v>2.1177883836390099</v>
      </c>
      <c r="AU71" s="50">
        <f t="shared" si="163"/>
        <v>-0.22785159235008612</v>
      </c>
      <c r="AV71" s="50">
        <f t="shared" si="163"/>
        <v>0.19694772704770558</v>
      </c>
      <c r="AW71" s="50">
        <f t="shared" si="163"/>
        <v>3.9454896977702658E-2</v>
      </c>
      <c r="AX71" s="50">
        <f t="shared" si="163"/>
        <v>-0.28787250830575495</v>
      </c>
      <c r="AY71" s="50">
        <f t="shared" si="163"/>
        <v>0.62240466266471151</v>
      </c>
      <c r="AZ71" s="50">
        <f t="shared" si="163"/>
        <v>0.451684259952708</v>
      </c>
      <c r="BA71" s="50">
        <f t="shared" si="163"/>
        <v>1.6745026809241348</v>
      </c>
      <c r="BB71" s="50">
        <f t="shared" si="163"/>
        <v>1.7129567400642594</v>
      </c>
      <c r="BC71" s="50">
        <f t="shared" si="163"/>
        <v>0.71829559856592606</v>
      </c>
      <c r="BD71" s="50">
        <f t="shared" si="163"/>
        <v>0.38231849796030404</v>
      </c>
      <c r="BE71" s="50">
        <f t="shared" si="163"/>
        <v>-6.5202972553644378E-2</v>
      </c>
      <c r="BF71" s="50">
        <f t="shared" si="163"/>
        <v>-0.12001400804167639</v>
      </c>
      <c r="BG71" s="50">
        <f t="shared" si="163"/>
        <v>-0.24866124886519281</v>
      </c>
      <c r="BH71" s="50">
        <f t="shared" si="163"/>
        <v>-0.32533406355372474</v>
      </c>
      <c r="BI71" s="50">
        <f t="shared" si="163"/>
        <v>-5.4030766799913921E-2</v>
      </c>
      <c r="BJ71" s="50">
        <f t="shared" si="163"/>
        <v>0.18999049968769688</v>
      </c>
      <c r="BK71" s="50">
        <f t="shared" si="163"/>
        <v>0.46462227140523349</v>
      </c>
      <c r="BL71" s="50">
        <f t="shared" si="163"/>
        <v>0.58833796357597845</v>
      </c>
      <c r="BM71" s="50">
        <f t="shared" si="163"/>
        <v>0.61846832863846224</v>
      </c>
      <c r="BN71" s="50">
        <f t="shared" si="163"/>
        <v>0.31973568861132762</v>
      </c>
      <c r="BO71" s="50">
        <f t="shared" si="163"/>
        <v>0.36745134192263351</v>
      </c>
      <c r="BP71" s="50">
        <f t="shared" si="163"/>
        <v>0.31001239260008817</v>
      </c>
      <c r="BQ71" s="50">
        <f>BQ61/BM61-1</f>
        <v>0.4875218813413813</v>
      </c>
      <c r="CH71" s="50"/>
      <c r="CI71" s="50">
        <f t="shared" ref="CH71:CS71" si="164">CI61/CH61-1</f>
        <v>0.2945573807388826</v>
      </c>
      <c r="CJ71" s="50">
        <f t="shared" si="164"/>
        <v>0.1303520126624611</v>
      </c>
      <c r="CK71" s="50">
        <f t="shared" si="164"/>
        <v>0.17159635077331781</v>
      </c>
      <c r="CL71" s="50">
        <f t="shared" si="164"/>
        <v>0.11956355041674871</v>
      </c>
      <c r="CM71" s="50">
        <f t="shared" si="164"/>
        <v>1.8914247896182346E-2</v>
      </c>
      <c r="CN71" s="50">
        <f t="shared" si="164"/>
        <v>0.18460228511782484</v>
      </c>
      <c r="CO71" s="50">
        <f t="shared" si="164"/>
        <v>0.18583493452184796</v>
      </c>
      <c r="CP71" s="50">
        <f t="shared" si="164"/>
        <v>-0.35472694292967932</v>
      </c>
      <c r="CQ71" s="50">
        <f t="shared" si="164"/>
        <v>1.4177079301466406</v>
      </c>
      <c r="CR71" s="50">
        <f t="shared" si="164"/>
        <v>0.1200923184175684</v>
      </c>
      <c r="CS71" s="50">
        <f t="shared" si="164"/>
        <v>0.1930589263270801</v>
      </c>
      <c r="CT71" s="50">
        <f t="shared" ref="CS71:CV71" si="165">CT61/CS61-1</f>
        <v>0.92411360569254741</v>
      </c>
      <c r="CU71" s="50">
        <f t="shared" si="165"/>
        <v>-0.19519623474113434</v>
      </c>
      <c r="CV71" s="50">
        <f t="shared" si="165"/>
        <v>0.27854754056099429</v>
      </c>
      <c r="CW71" s="50">
        <f>CW61/CV61-1</f>
        <v>0.38989304295101834</v>
      </c>
      <c r="CX71" s="62">
        <f>CX61/CW61-1</f>
        <v>0.19069197544160432</v>
      </c>
      <c r="CY71" s="62">
        <f t="shared" ref="CY71:DG71" si="166">CY61/CX61-1</f>
        <v>9.0256493539688787E-2</v>
      </c>
      <c r="CZ71" s="62">
        <f t="shared" si="166"/>
        <v>3.0602242971631499E-2</v>
      </c>
      <c r="DA71" s="62">
        <f t="shared" si="166"/>
        <v>0.1110367280084803</v>
      </c>
      <c r="DB71" s="62">
        <f t="shared" si="166"/>
        <v>7.4257927174639526E-2</v>
      </c>
      <c r="DC71" s="62">
        <f t="shared" si="166"/>
        <v>0.10637554804437377</v>
      </c>
      <c r="DD71" s="62">
        <f t="shared" si="166"/>
        <v>7.344222206799067E-2</v>
      </c>
      <c r="DE71" s="62">
        <f t="shared" si="166"/>
        <v>9.4967390010013641E-2</v>
      </c>
      <c r="DF71" s="62">
        <f t="shared" si="166"/>
        <v>9.0506335028368357E-2</v>
      </c>
      <c r="DG71" s="62">
        <f t="shared" si="166"/>
        <v>5.7923197635324941E-2</v>
      </c>
    </row>
    <row r="72" spans="2:111">
      <c r="B72" s="37"/>
    </row>
    <row r="73" spans="2:111">
      <c r="B73" s="1" t="s">
        <v>67</v>
      </c>
      <c r="AZ73" s="1">
        <v>26465</v>
      </c>
      <c r="BA73" s="1">
        <v>26622</v>
      </c>
      <c r="BB73" s="1">
        <v>23630</v>
      </c>
      <c r="BC73" s="1">
        <v>23719</v>
      </c>
      <c r="BD73" s="1">
        <v>20945</v>
      </c>
      <c r="BE73" s="1">
        <v>20886</v>
      </c>
      <c r="BF73" s="1">
        <v>17936</v>
      </c>
      <c r="BG73" s="1">
        <v>21984</v>
      </c>
      <c r="BH73" s="1">
        <v>21879</v>
      </c>
      <c r="BI73" s="1">
        <v>25924</v>
      </c>
      <c r="BJ73" s="1">
        <v>25929</v>
      </c>
      <c r="BK73" s="1">
        <v>30702</v>
      </c>
      <c r="BL73" s="1">
        <v>24048</v>
      </c>
      <c r="BM73" s="1">
        <v>24493</v>
      </c>
      <c r="BN73" s="1">
        <v>27225</v>
      </c>
      <c r="BO73" s="1">
        <v>19959</v>
      </c>
      <c r="BP73" s="1">
        <v>23466</v>
      </c>
      <c r="BQ73" s="1">
        <v>23264</v>
      </c>
      <c r="CS73" s="1">
        <f>AZ73</f>
        <v>26465</v>
      </c>
      <c r="CT73" s="1">
        <f>BD73</f>
        <v>20945</v>
      </c>
      <c r="CU73" s="1">
        <f>BH73</f>
        <v>21879</v>
      </c>
      <c r="CV73" s="1">
        <f>BL73</f>
        <v>24048</v>
      </c>
      <c r="CW73" s="1">
        <f>BP73</f>
        <v>23466</v>
      </c>
      <c r="CX73" s="119">
        <f>CW73+CX59</f>
        <v>139624.31457329998</v>
      </c>
      <c r="CY73" s="119">
        <f t="shared" ref="CY73:DG73" si="167">CX73+CY59</f>
        <v>263100.61239691201</v>
      </c>
      <c r="CZ73" s="119">
        <f t="shared" si="167"/>
        <v>397088.11007022427</v>
      </c>
      <c r="DA73" s="119">
        <f t="shared" si="167"/>
        <v>545953.141079225</v>
      </c>
      <c r="DB73" s="119">
        <f t="shared" si="167"/>
        <v>705872.58071974246</v>
      </c>
      <c r="DC73" s="119">
        <f t="shared" si="167"/>
        <v>882803.53839496919</v>
      </c>
      <c r="DD73" s="119">
        <f t="shared" si="167"/>
        <v>1072728.6987544822</v>
      </c>
      <c r="DE73" s="119">
        <f t="shared" si="167"/>
        <v>1280690.5558905716</v>
      </c>
      <c r="DF73" s="119">
        <f t="shared" si="167"/>
        <v>1507474.2785417414</v>
      </c>
      <c r="DG73" s="119">
        <f t="shared" si="167"/>
        <v>1747394.0395805098</v>
      </c>
    </row>
    <row r="74" spans="2:111">
      <c r="B74" s="1" t="s">
        <v>68</v>
      </c>
      <c r="AZ74" s="1">
        <v>110229</v>
      </c>
      <c r="BA74" s="1">
        <v>108482</v>
      </c>
      <c r="BB74" s="1">
        <v>112233</v>
      </c>
      <c r="BC74" s="1">
        <v>118284</v>
      </c>
      <c r="BD74" s="1">
        <v>118704</v>
      </c>
      <c r="BE74" s="1">
        <v>113084</v>
      </c>
      <c r="BF74" s="1">
        <v>107061</v>
      </c>
      <c r="BG74" s="1">
        <v>94275</v>
      </c>
      <c r="BH74" s="1">
        <v>91883</v>
      </c>
      <c r="BI74" s="1">
        <v>89178</v>
      </c>
      <c r="BJ74" s="1">
        <v>92403</v>
      </c>
      <c r="BK74" s="1">
        <v>89233</v>
      </c>
      <c r="BL74" s="1">
        <v>86868</v>
      </c>
      <c r="BM74" s="1">
        <v>83597</v>
      </c>
      <c r="BN74" s="1">
        <v>73500</v>
      </c>
      <c r="BO74" s="1">
        <v>73271</v>
      </c>
      <c r="BP74" s="1">
        <v>72191</v>
      </c>
      <c r="BQ74" s="1">
        <v>72064</v>
      </c>
      <c r="CS74" s="1">
        <f t="shared" ref="CS74:CS102" si="168">AZ74</f>
        <v>110229</v>
      </c>
      <c r="CT74" s="1">
        <f t="shared" ref="CT74:CT102" si="169">BD74</f>
        <v>118704</v>
      </c>
      <c r="CU74" s="1">
        <f t="shared" ref="CU74:CU102" si="170">BH74</f>
        <v>91883</v>
      </c>
      <c r="CV74" s="1">
        <f t="shared" ref="CV74:CV102" si="171">BL74</f>
        <v>86868</v>
      </c>
      <c r="CW74" s="1">
        <f t="shared" ref="CW74:CW86" si="172">BP74</f>
        <v>72191</v>
      </c>
    </row>
    <row r="75" spans="2:111" ht="14.25" customHeight="1">
      <c r="B75" s="37" t="s">
        <v>282</v>
      </c>
      <c r="AZ75" s="1">
        <v>30930</v>
      </c>
      <c r="BA75" s="1">
        <v>28006</v>
      </c>
      <c r="BB75" s="1">
        <v>31967</v>
      </c>
      <c r="BC75" s="1">
        <v>34047</v>
      </c>
      <c r="BD75" s="1">
        <v>39304</v>
      </c>
      <c r="BE75" s="1">
        <v>34703</v>
      </c>
      <c r="BF75" s="1">
        <v>35707</v>
      </c>
      <c r="BG75" s="1">
        <v>34697</v>
      </c>
      <c r="BH75" s="1">
        <v>40258</v>
      </c>
      <c r="BI75" s="1">
        <v>36036</v>
      </c>
      <c r="BJ75" s="1">
        <v>38804</v>
      </c>
      <c r="BK75" s="1">
        <v>41020</v>
      </c>
      <c r="BL75" s="1">
        <v>47964</v>
      </c>
      <c r="BM75" s="1">
        <v>44552</v>
      </c>
      <c r="BN75" s="1">
        <v>47087</v>
      </c>
      <c r="BO75" s="1">
        <v>49104</v>
      </c>
      <c r="BP75" s="1">
        <v>52340</v>
      </c>
      <c r="BQ75" s="1">
        <v>51000</v>
      </c>
      <c r="CS75" s="1">
        <f t="shared" si="168"/>
        <v>30930</v>
      </c>
      <c r="CT75" s="1">
        <f t="shared" si="169"/>
        <v>39304</v>
      </c>
      <c r="CU75" s="1">
        <f t="shared" si="170"/>
        <v>40258</v>
      </c>
      <c r="CV75" s="1">
        <f t="shared" si="171"/>
        <v>47964</v>
      </c>
      <c r="CW75" s="1">
        <f t="shared" si="172"/>
        <v>52340</v>
      </c>
      <c r="CY75" s="121" t="s">
        <v>2812</v>
      </c>
      <c r="CZ75" s="122">
        <v>0.09</v>
      </c>
      <c r="DA75" s="123"/>
    </row>
    <row r="76" spans="2:111" ht="14.25" customHeight="1">
      <c r="B76" s="37" t="s">
        <v>380</v>
      </c>
      <c r="AZ76" s="1">
        <v>454</v>
      </c>
      <c r="BA76" s="1">
        <v>493</v>
      </c>
      <c r="BB76" s="1">
        <v>884</v>
      </c>
      <c r="BC76" s="1">
        <v>753</v>
      </c>
      <c r="BD76" s="1">
        <v>966</v>
      </c>
      <c r="BE76" s="1">
        <v>919</v>
      </c>
      <c r="BF76" s="1">
        <v>1366</v>
      </c>
      <c r="BG76" s="1">
        <v>1479</v>
      </c>
      <c r="BH76" s="1">
        <v>0</v>
      </c>
      <c r="BI76" s="1">
        <v>0</v>
      </c>
      <c r="BJ76" s="1">
        <v>0</v>
      </c>
      <c r="BK76" s="1">
        <v>0</v>
      </c>
      <c r="BL76" s="1">
        <v>0</v>
      </c>
      <c r="BM76" s="1">
        <v>0</v>
      </c>
      <c r="BN76" s="1">
        <v>0</v>
      </c>
      <c r="BO76" s="1">
        <v>0</v>
      </c>
      <c r="BP76" s="1">
        <v>0</v>
      </c>
      <c r="BQ76" s="1">
        <v>0</v>
      </c>
      <c r="CS76" s="1">
        <f t="shared" si="168"/>
        <v>454</v>
      </c>
      <c r="CT76" s="1">
        <f t="shared" si="169"/>
        <v>966</v>
      </c>
      <c r="CU76" s="1">
        <f t="shared" si="170"/>
        <v>0</v>
      </c>
      <c r="CV76" s="1">
        <f t="shared" si="171"/>
        <v>0</v>
      </c>
      <c r="CW76" s="1">
        <f t="shared" si="172"/>
        <v>0</v>
      </c>
      <c r="CY76" s="121" t="s">
        <v>2813</v>
      </c>
      <c r="CZ76" s="124">
        <v>2.5000000000000001E-2</v>
      </c>
      <c r="DA76" s="123"/>
    </row>
    <row r="77" spans="2:111" ht="14.25" customHeight="1">
      <c r="B77" s="37" t="s">
        <v>378</v>
      </c>
      <c r="AZ77" s="1">
        <v>728</v>
      </c>
      <c r="BA77" s="1">
        <v>888</v>
      </c>
      <c r="BB77" s="1">
        <v>907</v>
      </c>
      <c r="BC77" s="1">
        <v>1278</v>
      </c>
      <c r="BD77" s="1">
        <v>1170</v>
      </c>
      <c r="BE77" s="1">
        <v>1369</v>
      </c>
      <c r="BF77" s="1">
        <v>1980</v>
      </c>
      <c r="BG77" s="1">
        <v>3156</v>
      </c>
      <c r="BH77" s="1">
        <v>2670</v>
      </c>
      <c r="BI77" s="1">
        <v>2315</v>
      </c>
      <c r="BJ77" s="1">
        <v>2231</v>
      </c>
      <c r="BK77" s="1">
        <v>2957</v>
      </c>
      <c r="BL77" s="1">
        <v>0</v>
      </c>
      <c r="BM77" s="1">
        <v>0</v>
      </c>
      <c r="BN77" s="1">
        <v>0</v>
      </c>
      <c r="BO77" s="1">
        <v>0</v>
      </c>
      <c r="BP77" s="1">
        <v>0</v>
      </c>
      <c r="BQ77" s="1">
        <v>0</v>
      </c>
      <c r="CS77" s="1">
        <f t="shared" si="168"/>
        <v>728</v>
      </c>
      <c r="CT77" s="1">
        <f t="shared" si="169"/>
        <v>1170</v>
      </c>
      <c r="CU77" s="1">
        <f t="shared" si="170"/>
        <v>2670</v>
      </c>
      <c r="CV77" s="1">
        <f t="shared" si="171"/>
        <v>0</v>
      </c>
      <c r="CW77" s="1">
        <f t="shared" si="172"/>
        <v>0</v>
      </c>
      <c r="CY77" s="121" t="s">
        <v>2814</v>
      </c>
      <c r="CZ77" s="124">
        <v>4.5350000000000001E-2</v>
      </c>
      <c r="DA77" s="123"/>
    </row>
    <row r="78" spans="2:111" ht="14.25" customHeight="1">
      <c r="B78" s="37" t="s">
        <v>283</v>
      </c>
      <c r="AZ78" s="1">
        <v>5490</v>
      </c>
      <c r="BA78" s="1">
        <v>7646</v>
      </c>
      <c r="BB78" s="1">
        <v>6076</v>
      </c>
      <c r="BC78" s="1">
        <v>6029</v>
      </c>
      <c r="BD78" s="1">
        <v>4054</v>
      </c>
      <c r="BE78" s="1">
        <v>6892</v>
      </c>
      <c r="BF78" s="1">
        <v>8321</v>
      </c>
      <c r="BG78" s="1">
        <v>10518</v>
      </c>
      <c r="BH78" s="1">
        <v>8105</v>
      </c>
      <c r="BI78" s="1">
        <v>8532</v>
      </c>
      <c r="BJ78" s="1">
        <v>9421</v>
      </c>
      <c r="BK78" s="1">
        <v>12398</v>
      </c>
      <c r="BL78" s="1">
        <v>12650</v>
      </c>
      <c r="BM78" s="1">
        <v>12829</v>
      </c>
      <c r="BN78" s="1">
        <v>14183</v>
      </c>
      <c r="BO78" s="1">
        <v>15207</v>
      </c>
      <c r="BP78" s="1">
        <v>15714</v>
      </c>
      <c r="BQ78" s="1">
        <v>15724</v>
      </c>
      <c r="CS78" s="1">
        <f t="shared" si="168"/>
        <v>5490</v>
      </c>
      <c r="CT78" s="1">
        <f t="shared" si="169"/>
        <v>4054</v>
      </c>
      <c r="CU78" s="1">
        <f t="shared" si="170"/>
        <v>8105</v>
      </c>
      <c r="CV78" s="1">
        <f t="shared" si="171"/>
        <v>12650</v>
      </c>
      <c r="CW78" s="1">
        <f t="shared" si="172"/>
        <v>15714</v>
      </c>
      <c r="CY78" s="121" t="s">
        <v>2815</v>
      </c>
      <c r="CZ78" s="124">
        <f>9%-CZ77</f>
        <v>4.4649999999999995E-2</v>
      </c>
      <c r="DA78" s="123"/>
    </row>
    <row r="79" spans="2:111" ht="14.25" customHeight="1">
      <c r="B79" s="1" t="s">
        <v>284</v>
      </c>
      <c r="AZ79" s="1">
        <v>20703</v>
      </c>
      <c r="BA79" s="1">
        <v>25294</v>
      </c>
      <c r="BB79" s="1">
        <v>25532</v>
      </c>
      <c r="BC79" s="1">
        <v>26101</v>
      </c>
      <c r="BD79" s="1">
        <v>29549</v>
      </c>
      <c r="BE79" s="1">
        <v>30544</v>
      </c>
      <c r="BF79" s="1">
        <v>30665</v>
      </c>
      <c r="BG79" s="1">
        <v>30419</v>
      </c>
      <c r="BH79" s="1">
        <v>30492</v>
      </c>
      <c r="BI79" s="1">
        <v>31213</v>
      </c>
      <c r="BJ79" s="1">
        <v>31224</v>
      </c>
      <c r="BK79" s="1">
        <v>30907</v>
      </c>
      <c r="BL79" s="1">
        <v>31008</v>
      </c>
      <c r="BM79" s="1">
        <v>33994</v>
      </c>
      <c r="BN79" s="1">
        <v>34172</v>
      </c>
      <c r="BO79" s="1">
        <v>36177</v>
      </c>
      <c r="BP79" s="1">
        <v>37982</v>
      </c>
      <c r="BQ79" s="1">
        <v>51029</v>
      </c>
      <c r="CS79" s="1">
        <f t="shared" si="168"/>
        <v>20703</v>
      </c>
      <c r="CT79" s="1">
        <f t="shared" si="169"/>
        <v>29549</v>
      </c>
      <c r="CU79" s="1">
        <f t="shared" si="170"/>
        <v>30492</v>
      </c>
      <c r="CV79" s="1">
        <f t="shared" si="171"/>
        <v>31008</v>
      </c>
      <c r="CW79" s="1">
        <f t="shared" si="172"/>
        <v>37982</v>
      </c>
      <c r="CY79" s="121" t="s">
        <v>2816</v>
      </c>
      <c r="CZ79" s="123">
        <v>1.01</v>
      </c>
      <c r="DA79" s="123"/>
    </row>
    <row r="80" spans="2:111" ht="14.25" customHeight="1">
      <c r="B80" s="1" t="s">
        <v>285</v>
      </c>
      <c r="AZ80" s="1">
        <v>1084</v>
      </c>
      <c r="BA80" s="1">
        <v>1129</v>
      </c>
      <c r="BB80" s="1">
        <v>1153</v>
      </c>
      <c r="BC80" s="1">
        <v>1195</v>
      </c>
      <c r="BD80" s="1">
        <v>1284</v>
      </c>
      <c r="BE80" s="1">
        <v>1388</v>
      </c>
      <c r="BF80" s="1">
        <v>1490</v>
      </c>
      <c r="BG80" s="1">
        <v>2991</v>
      </c>
      <c r="BH80" s="1">
        <v>5261</v>
      </c>
      <c r="BI80" s="1">
        <v>6885</v>
      </c>
      <c r="BJ80" s="1">
        <v>9357</v>
      </c>
      <c r="BK80" s="1">
        <v>10983</v>
      </c>
      <c r="BL80" s="1">
        <v>12169</v>
      </c>
      <c r="BM80" s="1">
        <v>11687</v>
      </c>
      <c r="BN80" s="1">
        <v>14958</v>
      </c>
      <c r="BO80" s="1">
        <v>15915</v>
      </c>
      <c r="BP80" s="1">
        <v>17180</v>
      </c>
      <c r="BQ80" s="1">
        <v>18386</v>
      </c>
      <c r="CS80" s="1">
        <f t="shared" si="168"/>
        <v>1084</v>
      </c>
      <c r="CT80" s="1">
        <f t="shared" si="169"/>
        <v>1284</v>
      </c>
      <c r="CU80" s="1">
        <f t="shared" si="170"/>
        <v>5261</v>
      </c>
      <c r="CV80" s="1">
        <f t="shared" si="171"/>
        <v>12169</v>
      </c>
      <c r="CW80" s="1">
        <f t="shared" si="172"/>
        <v>17180</v>
      </c>
      <c r="CY80" s="121" t="s">
        <v>2817</v>
      </c>
      <c r="CZ80" s="117">
        <f>+CZ77+(CZ78*CZ79)</f>
        <v>9.0446499999999999E-2</v>
      </c>
      <c r="DA80" s="123"/>
    </row>
    <row r="81" spans="2:161" ht="14.25" customHeight="1">
      <c r="B81" s="1" t="s">
        <v>286</v>
      </c>
      <c r="AZ81" s="1">
        <v>84749</v>
      </c>
      <c r="BA81" s="1">
        <v>87606</v>
      </c>
      <c r="BB81" s="1">
        <v>91697</v>
      </c>
      <c r="BC81" s="1">
        <v>94631</v>
      </c>
      <c r="BD81" s="1">
        <v>97599</v>
      </c>
      <c r="BE81" s="1">
        <v>104218</v>
      </c>
      <c r="BF81" s="1">
        <v>106223</v>
      </c>
      <c r="BG81" s="1">
        <v>108363</v>
      </c>
      <c r="BH81" s="1">
        <v>112668</v>
      </c>
      <c r="BI81" s="1">
        <v>117560</v>
      </c>
      <c r="BJ81" s="1">
        <v>121208</v>
      </c>
      <c r="BK81" s="1">
        <v>125705</v>
      </c>
      <c r="BL81" s="1">
        <v>134345</v>
      </c>
      <c r="BM81" s="1">
        <v>143182</v>
      </c>
      <c r="BN81" s="1">
        <v>151155</v>
      </c>
      <c r="BO81" s="1">
        <v>161270</v>
      </c>
      <c r="BP81" s="1">
        <v>171036</v>
      </c>
      <c r="BQ81" s="1">
        <v>185062</v>
      </c>
      <c r="CS81" s="1">
        <f t="shared" si="168"/>
        <v>84749</v>
      </c>
      <c r="CT81" s="1">
        <f t="shared" si="169"/>
        <v>97599</v>
      </c>
      <c r="CU81" s="1">
        <f t="shared" si="170"/>
        <v>112668</v>
      </c>
      <c r="CV81" s="1">
        <f t="shared" si="171"/>
        <v>134345</v>
      </c>
      <c r="CW81" s="1">
        <f t="shared" si="172"/>
        <v>171036</v>
      </c>
      <c r="CY81" s="121"/>
      <c r="CZ81" s="123"/>
      <c r="DA81" s="123"/>
    </row>
    <row r="82" spans="2:161" ht="14.25" customHeight="1">
      <c r="B82" s="1" t="s">
        <v>287</v>
      </c>
      <c r="AZ82" s="1">
        <v>12211</v>
      </c>
      <c r="BA82" s="1">
        <v>12598</v>
      </c>
      <c r="BB82" s="1">
        <v>12978</v>
      </c>
      <c r="BC82" s="1">
        <v>12918</v>
      </c>
      <c r="BD82" s="1">
        <v>12959</v>
      </c>
      <c r="BE82" s="1">
        <v>12992</v>
      </c>
      <c r="BF82" s="1">
        <v>13398</v>
      </c>
      <c r="BG82" s="1">
        <v>13677</v>
      </c>
      <c r="BH82" s="1">
        <v>14381</v>
      </c>
      <c r="BI82" s="1">
        <v>14447</v>
      </c>
      <c r="BJ82" s="1">
        <v>14469</v>
      </c>
      <c r="BK82" s="1">
        <v>14199</v>
      </c>
      <c r="BL82" s="1">
        <v>14091</v>
      </c>
      <c r="BM82" s="1">
        <v>13768</v>
      </c>
      <c r="BN82" s="1">
        <v>13606</v>
      </c>
      <c r="BO82" s="1">
        <v>13561</v>
      </c>
      <c r="BP82" s="1">
        <v>13588</v>
      </c>
      <c r="BQ82" s="1">
        <v>13722</v>
      </c>
      <c r="CS82" s="1">
        <f t="shared" si="168"/>
        <v>12211</v>
      </c>
      <c r="CT82" s="1">
        <f t="shared" si="169"/>
        <v>12959</v>
      </c>
      <c r="CU82" s="1">
        <f t="shared" si="170"/>
        <v>14381</v>
      </c>
      <c r="CV82" s="1">
        <f t="shared" si="171"/>
        <v>14091</v>
      </c>
      <c r="CW82" s="1">
        <f t="shared" si="172"/>
        <v>13588</v>
      </c>
      <c r="CY82" s="121" t="s">
        <v>2818</v>
      </c>
      <c r="CZ82" s="125">
        <f>NPV(CZ80,CX59:FF59)</f>
        <v>2549692.6251407503</v>
      </c>
      <c r="DA82" s="123"/>
    </row>
    <row r="83" spans="2:161" ht="14.25" customHeight="1">
      <c r="B83" s="1" t="s">
        <v>379</v>
      </c>
      <c r="AZ83" s="1">
        <v>1445</v>
      </c>
      <c r="BA83" s="1">
        <v>1823</v>
      </c>
      <c r="BB83" s="1">
        <v>1626</v>
      </c>
      <c r="BC83" s="1">
        <v>1549</v>
      </c>
      <c r="BD83" s="1">
        <v>1417</v>
      </c>
      <c r="BE83" s="1">
        <v>1313</v>
      </c>
      <c r="BF83" s="1">
        <v>1377</v>
      </c>
      <c r="BG83" s="1">
        <v>2192</v>
      </c>
      <c r="BH83" s="1">
        <v>2084</v>
      </c>
      <c r="BI83" s="1">
        <v>1968</v>
      </c>
      <c r="BJ83" s="1">
        <v>1966</v>
      </c>
      <c r="BK83" s="1">
        <v>1833</v>
      </c>
      <c r="BL83" s="1">
        <v>0</v>
      </c>
      <c r="BM83" s="1">
        <v>0</v>
      </c>
      <c r="BN83" s="1">
        <v>0</v>
      </c>
      <c r="BO83" s="1">
        <v>0</v>
      </c>
      <c r="BP83" s="1">
        <v>0</v>
      </c>
      <c r="BQ83" s="1">
        <v>0</v>
      </c>
      <c r="CS83" s="1">
        <f t="shared" si="168"/>
        <v>1445</v>
      </c>
      <c r="CT83" s="1">
        <f t="shared" si="169"/>
        <v>1417</v>
      </c>
      <c r="CU83" s="1">
        <f t="shared" si="170"/>
        <v>2084</v>
      </c>
      <c r="CV83" s="1">
        <f t="shared" si="171"/>
        <v>0</v>
      </c>
      <c r="CW83" s="1">
        <f t="shared" si="172"/>
        <v>0</v>
      </c>
      <c r="CY83" s="121" t="s">
        <v>79</v>
      </c>
      <c r="CZ83" s="125">
        <f>Main!C4</f>
        <v>12135</v>
      </c>
      <c r="DA83" s="123"/>
    </row>
    <row r="84" spans="2:161" ht="14.25" customHeight="1">
      <c r="B84" s="1" t="s">
        <v>288</v>
      </c>
      <c r="AZ84" s="1">
        <v>21175</v>
      </c>
      <c r="BA84" s="1">
        <v>22341</v>
      </c>
      <c r="BB84" s="1">
        <v>22406</v>
      </c>
      <c r="BC84" s="1">
        <v>22623</v>
      </c>
      <c r="BD84" s="1">
        <v>22956</v>
      </c>
      <c r="BE84" s="1">
        <v>23010</v>
      </c>
      <c r="BF84" s="1">
        <v>23949</v>
      </c>
      <c r="BG84" s="1">
        <v>28834</v>
      </c>
      <c r="BH84" s="1">
        <v>28960</v>
      </c>
      <c r="BI84" s="1">
        <v>28994</v>
      </c>
      <c r="BJ84" s="1">
        <v>29210</v>
      </c>
      <c r="BK84" s="1">
        <v>29146</v>
      </c>
      <c r="BL84" s="1">
        <v>29198</v>
      </c>
      <c r="BM84" s="1">
        <v>29183</v>
      </c>
      <c r="BN84" s="1">
        <v>29185</v>
      </c>
      <c r="BO84" s="1">
        <v>31935</v>
      </c>
      <c r="BP84" s="1">
        <v>31885</v>
      </c>
      <c r="BQ84" s="1">
        <v>32173</v>
      </c>
      <c r="CS84" s="1">
        <f t="shared" si="168"/>
        <v>21175</v>
      </c>
      <c r="CT84" s="1">
        <f t="shared" si="169"/>
        <v>22956</v>
      </c>
      <c r="CU84" s="1">
        <f t="shared" si="170"/>
        <v>28960</v>
      </c>
      <c r="CV84" s="1">
        <f t="shared" si="171"/>
        <v>29198</v>
      </c>
      <c r="CW84" s="1">
        <f t="shared" si="172"/>
        <v>31885</v>
      </c>
      <c r="CY84" s="121" t="s">
        <v>2819</v>
      </c>
      <c r="CZ84" s="126">
        <f>CZ82/CZ83</f>
        <v>210.11064072029257</v>
      </c>
      <c r="DA84" s="123"/>
    </row>
    <row r="85" spans="2:161" ht="14.25" customHeight="1">
      <c r="B85" s="1" t="s">
        <v>289</v>
      </c>
      <c r="AZ85" s="1">
        <v>3953</v>
      </c>
      <c r="BA85" s="1">
        <v>4167</v>
      </c>
      <c r="BB85" s="1">
        <v>4298</v>
      </c>
      <c r="BC85" s="1">
        <v>4276</v>
      </c>
      <c r="BD85" s="1">
        <v>5361</v>
      </c>
      <c r="BE85" s="1">
        <v>5778</v>
      </c>
      <c r="BF85" s="1">
        <v>5712</v>
      </c>
      <c r="BG85" s="1">
        <v>5670</v>
      </c>
      <c r="BH85" s="1">
        <v>6623</v>
      </c>
      <c r="BI85" s="1">
        <v>6439</v>
      </c>
      <c r="BJ85" s="1">
        <v>6822</v>
      </c>
      <c r="BK85" s="1">
        <v>7628</v>
      </c>
      <c r="BL85" s="1">
        <v>10051</v>
      </c>
      <c r="BM85" s="1">
        <v>10065</v>
      </c>
      <c r="BN85" s="1">
        <v>9699</v>
      </c>
      <c r="BO85" s="1">
        <v>13867</v>
      </c>
      <c r="BP85" s="1">
        <v>14874</v>
      </c>
      <c r="BQ85" s="1">
        <v>12950</v>
      </c>
      <c r="CS85" s="1">
        <f t="shared" si="168"/>
        <v>3953</v>
      </c>
      <c r="CT85" s="1">
        <f t="shared" si="169"/>
        <v>5361</v>
      </c>
      <c r="CU85" s="1">
        <f t="shared" si="170"/>
        <v>6623</v>
      </c>
      <c r="CV85" s="1">
        <f t="shared" si="171"/>
        <v>10051</v>
      </c>
      <c r="CW85" s="1">
        <f t="shared" si="172"/>
        <v>14874</v>
      </c>
      <c r="CY85" s="121" t="s">
        <v>2820</v>
      </c>
      <c r="CZ85" s="126">
        <f>Main!C3</f>
        <v>166.54</v>
      </c>
      <c r="DA85" s="123"/>
    </row>
    <row r="86" spans="2:161" s="2" customFormat="1" ht="14.25" customHeight="1">
      <c r="B86" s="2" t="s">
        <v>290</v>
      </c>
      <c r="AW86" s="2">
        <f>SUM(AW73:AW85)</f>
        <v>0</v>
      </c>
      <c r="AX86" s="2">
        <f>SUM(AX73:AX85)</f>
        <v>0</v>
      </c>
      <c r="AY86" s="2">
        <f>SUM(AY73:AY85)</f>
        <v>0</v>
      </c>
      <c r="AZ86" s="2">
        <f>SUM(AZ73:AZ85)</f>
        <v>319616</v>
      </c>
      <c r="BA86" s="2">
        <f>SUM(BA73:BA85)</f>
        <v>327095</v>
      </c>
      <c r="BB86" s="2">
        <f>SUM(BB73:BB85)</f>
        <v>335387</v>
      </c>
      <c r="BC86" s="2">
        <f>SUM(BC73:BC85)</f>
        <v>347403</v>
      </c>
      <c r="BD86" s="2">
        <f>SUM(BD73:BD85)</f>
        <v>356268</v>
      </c>
      <c r="BE86" s="2">
        <f>SUM(BE73:BE85)</f>
        <v>357096</v>
      </c>
      <c r="BF86" s="2">
        <f>SUM(BF73:BF85)</f>
        <v>355185</v>
      </c>
      <c r="BG86" s="2">
        <f>SUM(BG73:BG85)</f>
        <v>358255</v>
      </c>
      <c r="BH86" s="2">
        <f>SUM(BH73:BH85)</f>
        <v>365264</v>
      </c>
      <c r="BI86" s="2">
        <f>SUM(BI73:BI85)</f>
        <v>369491</v>
      </c>
      <c r="BJ86" s="2">
        <f>SUM(BJ73:BJ85)</f>
        <v>383044</v>
      </c>
      <c r="BK86" s="2">
        <f>SUM(BK73:BK85)</f>
        <v>396711</v>
      </c>
      <c r="BL86" s="2">
        <f>SUM(BL73:BL85)</f>
        <v>402392</v>
      </c>
      <c r="BM86" s="2">
        <f>SUM(BM73:BM85)</f>
        <v>407350</v>
      </c>
      <c r="BN86" s="2">
        <f>SUM(BN73:BN85)</f>
        <v>414770</v>
      </c>
      <c r="BO86" s="2">
        <f>SUM(BO73:BO85)</f>
        <v>430266</v>
      </c>
      <c r="BP86" s="2">
        <f>SUM(BP73:BP85)</f>
        <v>450256</v>
      </c>
      <c r="BQ86" s="2">
        <f>SUM(BQ73:BQ85)</f>
        <v>475374</v>
      </c>
      <c r="BR86" s="34"/>
      <c r="BS86" s="34"/>
      <c r="BT86" s="34"/>
      <c r="BU86" s="34"/>
      <c r="BV86" s="34"/>
      <c r="BW86" s="34"/>
      <c r="BX86" s="34"/>
      <c r="BY86" s="34"/>
      <c r="BZ86" s="34"/>
      <c r="CA86" s="34"/>
      <c r="CB86" s="34"/>
      <c r="CC86" s="34"/>
      <c r="CS86" s="2">
        <f t="shared" si="168"/>
        <v>319616</v>
      </c>
      <c r="CT86" s="2">
        <f t="shared" si="169"/>
        <v>356268</v>
      </c>
      <c r="CU86" s="2">
        <f t="shared" si="170"/>
        <v>365264</v>
      </c>
      <c r="CV86" s="2">
        <f t="shared" si="171"/>
        <v>402392</v>
      </c>
      <c r="CW86" s="2">
        <f t="shared" si="172"/>
        <v>450256</v>
      </c>
      <c r="CX86" s="34"/>
      <c r="CY86" s="121" t="s">
        <v>2821</v>
      </c>
      <c r="CZ86" s="124">
        <f>CZ84/CZ85-1</f>
        <v>0.26162267755669855</v>
      </c>
      <c r="DA86" s="127" t="str">
        <f>IF(CZ86&gt;0,"Upside","Downside")</f>
        <v>Upside</v>
      </c>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row>
    <row r="88" spans="2:161">
      <c r="B88" s="1" t="s">
        <v>291</v>
      </c>
      <c r="AZ88" s="1">
        <v>5589</v>
      </c>
      <c r="BA88" s="1">
        <v>4801</v>
      </c>
      <c r="BB88" s="1">
        <v>4708</v>
      </c>
      <c r="BC88" s="1">
        <v>4616</v>
      </c>
      <c r="BD88" s="1">
        <v>6037</v>
      </c>
      <c r="BE88" s="1">
        <v>3436</v>
      </c>
      <c r="BF88" s="1">
        <v>4409</v>
      </c>
      <c r="BG88" s="1">
        <v>6303</v>
      </c>
      <c r="BH88" s="1">
        <v>5128</v>
      </c>
      <c r="BI88" s="1">
        <v>4184</v>
      </c>
      <c r="BJ88" s="1">
        <v>5313</v>
      </c>
      <c r="BK88" s="1">
        <v>5803</v>
      </c>
      <c r="BL88" s="1">
        <v>7493</v>
      </c>
      <c r="BM88" s="1">
        <v>6198</v>
      </c>
      <c r="BN88" s="1">
        <v>6092</v>
      </c>
      <c r="BO88" s="1">
        <v>7049</v>
      </c>
      <c r="BP88" s="1">
        <v>7987</v>
      </c>
      <c r="BQ88" s="1">
        <v>8497</v>
      </c>
      <c r="CS88" s="1">
        <f t="shared" si="168"/>
        <v>5589</v>
      </c>
      <c r="CT88" s="1">
        <f t="shared" si="169"/>
        <v>6037</v>
      </c>
      <c r="CU88" s="1">
        <f t="shared" si="170"/>
        <v>5128</v>
      </c>
      <c r="CV88" s="1">
        <f t="shared" si="171"/>
        <v>7493</v>
      </c>
      <c r="CW88" s="1">
        <f t="shared" ref="CW88:CW102" si="173">BP88</f>
        <v>7987</v>
      </c>
    </row>
    <row r="89" spans="2:161">
      <c r="B89" s="1" t="s">
        <v>292</v>
      </c>
      <c r="AZ89" s="1">
        <v>11086</v>
      </c>
      <c r="BA89" s="1">
        <v>8375</v>
      </c>
      <c r="BB89" s="1">
        <v>10088</v>
      </c>
      <c r="BC89" s="1">
        <v>12170</v>
      </c>
      <c r="BD89" s="1">
        <v>13889</v>
      </c>
      <c r="BE89" s="1">
        <v>9803</v>
      </c>
      <c r="BF89" s="1">
        <v>10852</v>
      </c>
      <c r="BG89" s="1">
        <v>12366</v>
      </c>
      <c r="BH89" s="1">
        <v>14028</v>
      </c>
      <c r="BI89" s="1">
        <v>9954</v>
      </c>
      <c r="BJ89" s="1">
        <v>11260</v>
      </c>
      <c r="BK89" s="1">
        <v>12562</v>
      </c>
      <c r="BL89" s="1">
        <v>15140</v>
      </c>
      <c r="BM89" s="1">
        <v>9703</v>
      </c>
      <c r="BN89" s="1">
        <v>11373</v>
      </c>
      <c r="BO89" s="1">
        <v>12908</v>
      </c>
      <c r="BP89" s="1">
        <v>15069</v>
      </c>
      <c r="BQ89" s="1">
        <v>9984</v>
      </c>
      <c r="CS89" s="1">
        <f t="shared" si="168"/>
        <v>11086</v>
      </c>
      <c r="CT89" s="1">
        <f t="shared" si="169"/>
        <v>13889</v>
      </c>
      <c r="CU89" s="1">
        <f t="shared" si="170"/>
        <v>14028</v>
      </c>
      <c r="CV89" s="1">
        <f t="shared" si="171"/>
        <v>15140</v>
      </c>
      <c r="CW89" s="1">
        <f t="shared" si="173"/>
        <v>15069</v>
      </c>
    </row>
    <row r="90" spans="2:161">
      <c r="B90" s="1" t="s">
        <v>293</v>
      </c>
      <c r="AZ90" s="1">
        <v>28631</v>
      </c>
      <c r="BA90" s="1">
        <v>30732</v>
      </c>
      <c r="BB90" s="1">
        <v>28981</v>
      </c>
      <c r="BC90" s="1">
        <v>30113</v>
      </c>
      <c r="BD90" s="1">
        <v>31236</v>
      </c>
      <c r="BE90" s="1">
        <v>33051</v>
      </c>
      <c r="BF90" s="1">
        <v>32976</v>
      </c>
      <c r="BG90" s="1">
        <v>35038</v>
      </c>
      <c r="BH90" s="1">
        <v>37866</v>
      </c>
      <c r="BI90" s="1">
        <v>43185</v>
      </c>
      <c r="BJ90" s="1">
        <v>29300</v>
      </c>
      <c r="BK90" s="1">
        <v>55602</v>
      </c>
      <c r="BL90" s="1">
        <v>46168</v>
      </c>
      <c r="BM90" s="1">
        <v>48603</v>
      </c>
      <c r="BN90" s="1">
        <v>47298</v>
      </c>
      <c r="BO90" s="1">
        <v>46585</v>
      </c>
      <c r="BP90" s="1">
        <v>51228</v>
      </c>
      <c r="BQ90" s="1">
        <v>58300</v>
      </c>
      <c r="CS90" s="1">
        <f t="shared" si="168"/>
        <v>28631</v>
      </c>
      <c r="CT90" s="1">
        <f t="shared" si="169"/>
        <v>31236</v>
      </c>
      <c r="CU90" s="1">
        <f t="shared" si="170"/>
        <v>37866</v>
      </c>
      <c r="CV90" s="1">
        <f t="shared" si="171"/>
        <v>46168</v>
      </c>
      <c r="CW90" s="1">
        <f t="shared" si="173"/>
        <v>51228</v>
      </c>
    </row>
    <row r="91" spans="2:161">
      <c r="B91" s="1" t="s">
        <v>296</v>
      </c>
      <c r="AZ91" s="1">
        <v>7500</v>
      </c>
      <c r="BA91" s="1">
        <v>6962</v>
      </c>
      <c r="BB91" s="1">
        <v>7438</v>
      </c>
      <c r="BC91" s="1">
        <v>7745</v>
      </c>
      <c r="BD91" s="1">
        <v>8996</v>
      </c>
      <c r="BE91" s="1">
        <v>8116</v>
      </c>
      <c r="BF91" s="1">
        <v>7889</v>
      </c>
      <c r="BG91" s="1">
        <v>7662</v>
      </c>
      <c r="BH91" s="1">
        <v>8370</v>
      </c>
      <c r="BI91" s="1">
        <v>7816</v>
      </c>
      <c r="BJ91" s="1">
        <v>7990</v>
      </c>
      <c r="BK91" s="1">
        <v>8025</v>
      </c>
      <c r="BL91" s="1">
        <v>8876</v>
      </c>
      <c r="BM91" s="1">
        <v>8520</v>
      </c>
      <c r="BN91" s="1">
        <v>8899</v>
      </c>
      <c r="BO91" s="1">
        <v>9365</v>
      </c>
      <c r="BP91" s="1">
        <v>9802</v>
      </c>
      <c r="BQ91" s="1">
        <v>9965</v>
      </c>
      <c r="CS91" s="1">
        <f t="shared" si="168"/>
        <v>7500</v>
      </c>
      <c r="CT91" s="1">
        <f t="shared" si="169"/>
        <v>8996</v>
      </c>
      <c r="CU91" s="1">
        <f t="shared" si="170"/>
        <v>8370</v>
      </c>
      <c r="CV91" s="1">
        <f t="shared" si="171"/>
        <v>8876</v>
      </c>
      <c r="CW91" s="1">
        <f t="shared" si="173"/>
        <v>9802</v>
      </c>
    </row>
    <row r="92" spans="2:161">
      <c r="B92" s="1" t="s">
        <v>294</v>
      </c>
      <c r="AZ92" s="1">
        <v>2543</v>
      </c>
      <c r="BA92" s="1">
        <v>2690</v>
      </c>
      <c r="BB92" s="1">
        <v>2715</v>
      </c>
      <c r="BC92" s="1">
        <v>2968</v>
      </c>
      <c r="BD92" s="1">
        <v>3288</v>
      </c>
      <c r="BE92" s="1">
        <v>3198</v>
      </c>
      <c r="BF92" s="1">
        <v>3272</v>
      </c>
      <c r="BG92" s="1">
        <v>3585</v>
      </c>
      <c r="BH92" s="1">
        <v>3908</v>
      </c>
      <c r="BI92" s="1">
        <v>3715</v>
      </c>
      <c r="BJ92" s="1">
        <v>3846</v>
      </c>
      <c r="BK92" s="1">
        <v>4303</v>
      </c>
      <c r="BL92" s="1">
        <v>4137</v>
      </c>
      <c r="BM92" s="1">
        <v>3973</v>
      </c>
      <c r="BN92" s="1">
        <v>4251</v>
      </c>
      <c r="BO92" s="1">
        <v>4896</v>
      </c>
      <c r="BP92" s="1">
        <v>5036</v>
      </c>
      <c r="BQ92" s="1">
        <v>4908</v>
      </c>
      <c r="CS92" s="1">
        <f t="shared" si="168"/>
        <v>2543</v>
      </c>
      <c r="CT92" s="1">
        <f t="shared" si="169"/>
        <v>3288</v>
      </c>
      <c r="CU92" s="1">
        <f t="shared" si="170"/>
        <v>3908</v>
      </c>
      <c r="CV92" s="1">
        <f t="shared" si="171"/>
        <v>4137</v>
      </c>
      <c r="CW92" s="1">
        <f t="shared" si="173"/>
        <v>5036</v>
      </c>
    </row>
    <row r="93" spans="2:161">
      <c r="B93" s="1" t="s">
        <v>381</v>
      </c>
      <c r="AZ93" s="1">
        <v>1485</v>
      </c>
      <c r="BA93" s="1">
        <v>1893</v>
      </c>
      <c r="BB93" s="1">
        <v>1811</v>
      </c>
      <c r="BC93" s="1">
        <v>4170</v>
      </c>
      <c r="BD93" s="1">
        <v>808</v>
      </c>
      <c r="BE93" s="1">
        <v>4344</v>
      </c>
      <c r="BF93" s="1">
        <v>1956</v>
      </c>
      <c r="BG93" s="1">
        <v>1025</v>
      </c>
      <c r="BH93" s="1">
        <v>0</v>
      </c>
      <c r="BI93" s="1">
        <v>0</v>
      </c>
      <c r="BJ93" s="1">
        <v>0</v>
      </c>
      <c r="BK93" s="1">
        <v>0</v>
      </c>
      <c r="BL93" s="1">
        <v>0</v>
      </c>
      <c r="BM93" s="1">
        <v>0</v>
      </c>
      <c r="BN93" s="1">
        <v>0</v>
      </c>
      <c r="BO93" s="1">
        <v>0</v>
      </c>
      <c r="BP93" s="1">
        <v>0</v>
      </c>
      <c r="BQ93" s="1">
        <v>0</v>
      </c>
      <c r="CS93" s="1">
        <f t="shared" si="168"/>
        <v>1485</v>
      </c>
      <c r="CT93" s="1">
        <f t="shared" si="169"/>
        <v>808</v>
      </c>
      <c r="CU93" s="1">
        <f t="shared" si="170"/>
        <v>0</v>
      </c>
      <c r="CV93" s="1">
        <f t="shared" si="171"/>
        <v>0</v>
      </c>
      <c r="CW93" s="1">
        <f t="shared" si="173"/>
        <v>0</v>
      </c>
    </row>
    <row r="94" spans="2:161">
      <c r="B94" s="1" t="s">
        <v>295</v>
      </c>
      <c r="AZ94" s="1">
        <v>13932</v>
      </c>
      <c r="BA94" s="1">
        <v>13887</v>
      </c>
      <c r="BB94" s="1">
        <v>14328</v>
      </c>
      <c r="BC94" s="1">
        <v>14288</v>
      </c>
      <c r="BD94" s="1">
        <v>14817</v>
      </c>
      <c r="BE94" s="1">
        <v>14791</v>
      </c>
      <c r="BF94" s="1">
        <v>14734</v>
      </c>
      <c r="BG94" s="1">
        <v>14653</v>
      </c>
      <c r="BH94" s="1">
        <v>14701</v>
      </c>
      <c r="BI94" s="1">
        <v>13697</v>
      </c>
      <c r="BJ94" s="1">
        <v>13705</v>
      </c>
      <c r="BK94" s="1">
        <v>13781</v>
      </c>
      <c r="BL94" s="1">
        <v>13253</v>
      </c>
      <c r="BM94" s="1">
        <v>13228</v>
      </c>
      <c r="BN94" s="1">
        <v>13238</v>
      </c>
      <c r="BO94" s="1">
        <v>12297</v>
      </c>
      <c r="BP94" s="1">
        <v>10883</v>
      </c>
      <c r="BQ94" s="1">
        <v>10886</v>
      </c>
      <c r="CS94" s="1">
        <f t="shared" si="168"/>
        <v>13932</v>
      </c>
      <c r="CT94" s="1">
        <f t="shared" si="169"/>
        <v>14817</v>
      </c>
      <c r="CU94" s="1">
        <f t="shared" si="170"/>
        <v>14701</v>
      </c>
      <c r="CV94" s="1">
        <f t="shared" si="171"/>
        <v>13253</v>
      </c>
      <c r="CW94" s="1">
        <f t="shared" si="173"/>
        <v>10883</v>
      </c>
    </row>
    <row r="95" spans="2:161">
      <c r="B95" s="1" t="s">
        <v>375</v>
      </c>
      <c r="AZ95" s="1">
        <v>481</v>
      </c>
      <c r="BA95" s="1">
        <v>530</v>
      </c>
      <c r="BB95" s="1">
        <v>510</v>
      </c>
      <c r="BC95" s="1">
        <v>510</v>
      </c>
      <c r="BD95" s="1">
        <v>535</v>
      </c>
      <c r="BE95" s="1">
        <v>499</v>
      </c>
      <c r="BF95" s="1">
        <v>472</v>
      </c>
      <c r="BG95" s="1">
        <v>594</v>
      </c>
      <c r="BH95" s="1">
        <v>599</v>
      </c>
      <c r="BI95" s="1">
        <v>610</v>
      </c>
      <c r="BJ95" s="1">
        <v>667</v>
      </c>
      <c r="BK95" s="1">
        <v>884</v>
      </c>
      <c r="BL95" s="1">
        <v>911</v>
      </c>
      <c r="BM95" s="1">
        <v>921</v>
      </c>
      <c r="BN95" s="1">
        <v>985</v>
      </c>
      <c r="BO95" s="1">
        <v>1015</v>
      </c>
      <c r="BP95" s="1">
        <v>0</v>
      </c>
      <c r="BQ95" s="1">
        <v>0</v>
      </c>
      <c r="CS95" s="1">
        <f t="shared" si="168"/>
        <v>481</v>
      </c>
      <c r="CT95" s="1">
        <f t="shared" si="169"/>
        <v>535</v>
      </c>
      <c r="CU95" s="1">
        <f t="shared" si="170"/>
        <v>599</v>
      </c>
      <c r="CV95" s="1">
        <f t="shared" si="171"/>
        <v>911</v>
      </c>
      <c r="CW95" s="1">
        <f t="shared" si="173"/>
        <v>0</v>
      </c>
    </row>
    <row r="96" spans="2:161">
      <c r="B96" s="1" t="s">
        <v>376</v>
      </c>
      <c r="AZ96" s="1">
        <v>8849</v>
      </c>
      <c r="BA96" s="1">
        <v>9278</v>
      </c>
      <c r="BB96" s="1">
        <v>8651</v>
      </c>
      <c r="BC96" s="1">
        <v>8984</v>
      </c>
      <c r="BD96" s="1">
        <v>9176</v>
      </c>
      <c r="BE96" s="1">
        <v>9406</v>
      </c>
      <c r="BF96" s="1">
        <v>8163</v>
      </c>
      <c r="BG96" s="1">
        <v>8572</v>
      </c>
      <c r="BH96" s="1">
        <v>9258</v>
      </c>
      <c r="BI96" s="1">
        <v>9722</v>
      </c>
      <c r="BJ96" s="1">
        <v>8753</v>
      </c>
      <c r="BK96" s="1">
        <v>8038</v>
      </c>
      <c r="BL96" s="1">
        <v>8474</v>
      </c>
      <c r="BM96" s="1">
        <v>9234</v>
      </c>
      <c r="BN96" s="1">
        <v>7703</v>
      </c>
      <c r="BO96" s="1">
        <v>8219</v>
      </c>
      <c r="BP96" s="1">
        <v>0</v>
      </c>
      <c r="BQ96" s="1">
        <v>0</v>
      </c>
      <c r="CS96" s="1">
        <f t="shared" si="168"/>
        <v>8849</v>
      </c>
      <c r="CT96" s="1">
        <f t="shared" si="169"/>
        <v>9176</v>
      </c>
      <c r="CU96" s="1">
        <f t="shared" si="170"/>
        <v>9258</v>
      </c>
      <c r="CV96" s="1">
        <f t="shared" si="171"/>
        <v>8474</v>
      </c>
      <c r="CW96" s="1">
        <f t="shared" si="173"/>
        <v>0</v>
      </c>
    </row>
    <row r="97" spans="2:161">
      <c r="B97" s="1" t="s">
        <v>377</v>
      </c>
      <c r="AZ97" s="1">
        <v>3561</v>
      </c>
      <c r="BA97" s="1">
        <v>4406</v>
      </c>
      <c r="BB97" s="1">
        <v>4703</v>
      </c>
      <c r="BC97" s="1">
        <v>3551</v>
      </c>
      <c r="BD97" s="1">
        <v>5257</v>
      </c>
      <c r="BE97" s="1">
        <v>2843</v>
      </c>
      <c r="BF97" s="1">
        <v>924</v>
      </c>
      <c r="BG97" s="1">
        <v>476</v>
      </c>
      <c r="BH97" s="1">
        <v>514</v>
      </c>
      <c r="BI97" s="1">
        <v>542</v>
      </c>
      <c r="BJ97" s="1">
        <v>558</v>
      </c>
      <c r="BK97" s="1">
        <v>528</v>
      </c>
      <c r="BL97" s="1">
        <v>485</v>
      </c>
      <c r="BM97" s="1">
        <v>486</v>
      </c>
      <c r="BN97" s="1">
        <v>717</v>
      </c>
      <c r="BO97" s="1">
        <v>706</v>
      </c>
      <c r="BP97" s="1">
        <v>8782</v>
      </c>
      <c r="BQ97" s="1">
        <v>9773</v>
      </c>
      <c r="CS97" s="1">
        <f t="shared" si="168"/>
        <v>3561</v>
      </c>
      <c r="CT97" s="1">
        <f t="shared" si="169"/>
        <v>5257</v>
      </c>
      <c r="CU97" s="1">
        <f t="shared" si="170"/>
        <v>514</v>
      </c>
      <c r="CV97" s="1">
        <f t="shared" si="171"/>
        <v>485</v>
      </c>
      <c r="CW97" s="1">
        <f t="shared" si="173"/>
        <v>8782</v>
      </c>
    </row>
    <row r="98" spans="2:161">
      <c r="B98" s="1" t="s">
        <v>297</v>
      </c>
      <c r="AZ98" s="1">
        <v>11146</v>
      </c>
      <c r="BA98" s="1">
        <v>11382</v>
      </c>
      <c r="BB98" s="1">
        <v>11619</v>
      </c>
      <c r="BC98" s="1">
        <v>11471</v>
      </c>
      <c r="BD98" s="1">
        <v>11389</v>
      </c>
      <c r="BE98" s="1">
        <v>11363</v>
      </c>
      <c r="BF98" s="1">
        <v>11697</v>
      </c>
      <c r="BG98" s="1">
        <v>11984</v>
      </c>
      <c r="BH98" s="1">
        <v>12501</v>
      </c>
      <c r="BI98" s="1">
        <v>12799</v>
      </c>
      <c r="BJ98" s="1">
        <v>12746</v>
      </c>
      <c r="BK98" s="1">
        <v>12550</v>
      </c>
      <c r="BL98" s="1">
        <v>12460</v>
      </c>
      <c r="BM98" s="1">
        <v>11957</v>
      </c>
      <c r="BN98" s="1">
        <v>11708</v>
      </c>
      <c r="BO98" s="1">
        <v>11654</v>
      </c>
      <c r="BP98" s="1">
        <v>11691</v>
      </c>
      <c r="BQ98" s="1">
        <v>11678</v>
      </c>
      <c r="CS98" s="1">
        <f t="shared" si="168"/>
        <v>11146</v>
      </c>
      <c r="CT98" s="1">
        <f t="shared" si="169"/>
        <v>11389</v>
      </c>
      <c r="CU98" s="1">
        <f t="shared" si="170"/>
        <v>12501</v>
      </c>
      <c r="CV98" s="1">
        <f t="shared" si="171"/>
        <v>12460</v>
      </c>
      <c r="CW98" s="1">
        <f t="shared" si="173"/>
        <v>11691</v>
      </c>
    </row>
    <row r="99" spans="2:161">
      <c r="B99" s="1" t="s">
        <v>298</v>
      </c>
      <c r="AZ99" s="1">
        <v>2269</v>
      </c>
      <c r="BA99" s="1">
        <v>2146</v>
      </c>
      <c r="BB99" s="1">
        <v>2270</v>
      </c>
      <c r="BC99" s="1">
        <v>2250</v>
      </c>
      <c r="BD99" s="1">
        <v>2205</v>
      </c>
      <c r="BE99" s="1">
        <v>2242</v>
      </c>
      <c r="BF99" s="1">
        <v>2422</v>
      </c>
      <c r="BG99" s="1">
        <v>2371</v>
      </c>
      <c r="BH99" s="1">
        <v>2247</v>
      </c>
      <c r="BI99" s="1">
        <v>2373</v>
      </c>
      <c r="BJ99" s="1">
        <v>1765</v>
      </c>
      <c r="BK99" s="1">
        <v>1433</v>
      </c>
      <c r="BL99" s="1">
        <v>1616</v>
      </c>
      <c r="BM99" s="1">
        <v>1683</v>
      </c>
      <c r="BN99" s="1">
        <v>1753</v>
      </c>
      <c r="BO99" s="1">
        <v>1453</v>
      </c>
      <c r="BP99" s="1">
        <v>4694</v>
      </c>
      <c r="BQ99" s="1">
        <v>6116</v>
      </c>
      <c r="CS99" s="1">
        <f t="shared" si="168"/>
        <v>2269</v>
      </c>
      <c r="CT99" s="1">
        <f t="shared" si="169"/>
        <v>2205</v>
      </c>
      <c r="CU99" s="1">
        <f t="shared" si="170"/>
        <v>2247</v>
      </c>
      <c r="CV99" s="1">
        <f t="shared" si="171"/>
        <v>1616</v>
      </c>
      <c r="CW99" s="1">
        <f t="shared" si="173"/>
        <v>4694</v>
      </c>
    </row>
    <row r="100" spans="2:161" s="2" customFormat="1" ht="15">
      <c r="B100" s="2" t="s">
        <v>299</v>
      </c>
      <c r="AW100" s="2">
        <f>SUM(AW88:AW99)</f>
        <v>0</v>
      </c>
      <c r="AX100" s="2">
        <f t="shared" ref="AX100:BQ100" si="174">SUM(AX88:AX99)</f>
        <v>0</v>
      </c>
      <c r="AY100" s="2">
        <f t="shared" si="174"/>
        <v>0</v>
      </c>
      <c r="AZ100" s="2">
        <f t="shared" si="174"/>
        <v>97072</v>
      </c>
      <c r="BA100" s="2">
        <f t="shared" si="174"/>
        <v>97082</v>
      </c>
      <c r="BB100" s="2">
        <f t="shared" si="174"/>
        <v>97822</v>
      </c>
      <c r="BC100" s="2">
        <f t="shared" si="174"/>
        <v>102836</v>
      </c>
      <c r="BD100" s="2">
        <f t="shared" si="174"/>
        <v>107633</v>
      </c>
      <c r="BE100" s="2">
        <f t="shared" si="174"/>
        <v>103092</v>
      </c>
      <c r="BF100" s="2">
        <f t="shared" si="174"/>
        <v>99766</v>
      </c>
      <c r="BG100" s="2">
        <f t="shared" si="174"/>
        <v>104629</v>
      </c>
      <c r="BH100" s="2">
        <f t="shared" si="174"/>
        <v>109120</v>
      </c>
      <c r="BI100" s="2">
        <f t="shared" si="174"/>
        <v>108597</v>
      </c>
      <c r="BJ100" s="2">
        <f t="shared" si="174"/>
        <v>95903</v>
      </c>
      <c r="BK100" s="2">
        <f t="shared" si="174"/>
        <v>123509</v>
      </c>
      <c r="BL100" s="2">
        <f t="shared" si="174"/>
        <v>119013</v>
      </c>
      <c r="BM100" s="2">
        <f t="shared" si="174"/>
        <v>114506</v>
      </c>
      <c r="BN100" s="2">
        <f t="shared" si="174"/>
        <v>114017</v>
      </c>
      <c r="BO100" s="2">
        <f t="shared" si="174"/>
        <v>116147</v>
      </c>
      <c r="BP100" s="2">
        <f t="shared" si="174"/>
        <v>125172</v>
      </c>
      <c r="BQ100" s="2">
        <f t="shared" si="174"/>
        <v>130107</v>
      </c>
      <c r="BR100" s="34"/>
      <c r="BS100" s="34"/>
      <c r="BT100" s="34"/>
      <c r="BU100" s="34"/>
      <c r="BV100" s="34"/>
      <c r="BW100" s="34"/>
      <c r="BX100" s="34"/>
      <c r="BY100" s="34"/>
      <c r="BZ100" s="34"/>
      <c r="CA100" s="34"/>
      <c r="CB100" s="34"/>
      <c r="CC100" s="34"/>
      <c r="CS100" s="2">
        <f t="shared" si="168"/>
        <v>97072</v>
      </c>
      <c r="CT100" s="2">
        <f t="shared" si="169"/>
        <v>107633</v>
      </c>
      <c r="CU100" s="2">
        <f t="shared" si="170"/>
        <v>109120</v>
      </c>
      <c r="CV100" s="2">
        <f t="shared" si="171"/>
        <v>119013</v>
      </c>
      <c r="CW100" s="2">
        <f t="shared" si="173"/>
        <v>125172</v>
      </c>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row>
    <row r="101" spans="2:161">
      <c r="B101" s="1" t="s">
        <v>300</v>
      </c>
      <c r="AZ101" s="1">
        <v>222544</v>
      </c>
      <c r="BA101" s="1">
        <v>230013</v>
      </c>
      <c r="BB101" s="1">
        <v>237565</v>
      </c>
      <c r="BC101" s="1">
        <v>244567</v>
      </c>
      <c r="BD101" s="1">
        <v>251635</v>
      </c>
      <c r="BE101" s="1">
        <v>254004</v>
      </c>
      <c r="BF101" s="1">
        <v>255419</v>
      </c>
      <c r="BG101" s="1">
        <v>253626</v>
      </c>
      <c r="BH101" s="1">
        <v>256144</v>
      </c>
      <c r="BI101" s="1">
        <v>260894</v>
      </c>
      <c r="BJ101" s="1">
        <v>267141</v>
      </c>
      <c r="BK101" s="1">
        <v>273202</v>
      </c>
      <c r="BL101" s="1">
        <v>283379</v>
      </c>
      <c r="BM101" s="1">
        <v>292844</v>
      </c>
      <c r="BN101" s="1">
        <v>300753</v>
      </c>
      <c r="BO101" s="1">
        <v>314119</v>
      </c>
      <c r="BP101" s="1">
        <v>325084</v>
      </c>
      <c r="BQ101" s="1">
        <v>345267</v>
      </c>
      <c r="CS101" s="1">
        <f t="shared" si="168"/>
        <v>222544</v>
      </c>
      <c r="CT101" s="1">
        <f t="shared" si="169"/>
        <v>251635</v>
      </c>
      <c r="CU101" s="1">
        <f t="shared" si="170"/>
        <v>256144</v>
      </c>
      <c r="CV101" s="1">
        <f t="shared" si="171"/>
        <v>283379</v>
      </c>
      <c r="CW101" s="1">
        <f t="shared" si="173"/>
        <v>325084</v>
      </c>
    </row>
    <row r="102" spans="2:161" s="2" customFormat="1" ht="15">
      <c r="B102" s="2" t="s">
        <v>301</v>
      </c>
      <c r="AW102" s="2">
        <f>AW100+AW101</f>
        <v>0</v>
      </c>
      <c r="AX102" s="2">
        <f t="shared" ref="AX102:BQ102" si="175">AX100+AX101</f>
        <v>0</v>
      </c>
      <c r="AY102" s="2">
        <f t="shared" si="175"/>
        <v>0</v>
      </c>
      <c r="AZ102" s="2">
        <f t="shared" si="175"/>
        <v>319616</v>
      </c>
      <c r="BA102" s="2">
        <f t="shared" si="175"/>
        <v>327095</v>
      </c>
      <c r="BB102" s="2">
        <f t="shared" si="175"/>
        <v>335387</v>
      </c>
      <c r="BC102" s="2">
        <f t="shared" si="175"/>
        <v>347403</v>
      </c>
      <c r="BD102" s="2">
        <f t="shared" si="175"/>
        <v>359268</v>
      </c>
      <c r="BE102" s="2">
        <f t="shared" si="175"/>
        <v>357096</v>
      </c>
      <c r="BF102" s="2">
        <f t="shared" si="175"/>
        <v>355185</v>
      </c>
      <c r="BG102" s="2">
        <f t="shared" si="175"/>
        <v>358255</v>
      </c>
      <c r="BH102" s="2">
        <f t="shared" si="175"/>
        <v>365264</v>
      </c>
      <c r="BI102" s="2">
        <f t="shared" si="175"/>
        <v>369491</v>
      </c>
      <c r="BJ102" s="2">
        <f t="shared" si="175"/>
        <v>363044</v>
      </c>
      <c r="BK102" s="2">
        <f t="shared" si="175"/>
        <v>396711</v>
      </c>
      <c r="BL102" s="2">
        <f t="shared" si="175"/>
        <v>402392</v>
      </c>
      <c r="BM102" s="2">
        <f t="shared" si="175"/>
        <v>407350</v>
      </c>
      <c r="BN102" s="2">
        <f t="shared" si="175"/>
        <v>414770</v>
      </c>
      <c r="BO102" s="2">
        <f t="shared" si="175"/>
        <v>430266</v>
      </c>
      <c r="BP102" s="2">
        <f t="shared" si="175"/>
        <v>450256</v>
      </c>
      <c r="BQ102" s="2">
        <f t="shared" si="175"/>
        <v>475374</v>
      </c>
      <c r="BR102" s="34"/>
      <c r="BS102" s="34"/>
      <c r="BT102" s="34"/>
      <c r="BU102" s="34"/>
      <c r="BV102" s="34"/>
      <c r="BW102" s="34"/>
      <c r="BX102" s="34"/>
      <c r="BY102" s="34"/>
      <c r="BZ102" s="34"/>
      <c r="CA102" s="34"/>
      <c r="CB102" s="34"/>
      <c r="CC102" s="34"/>
      <c r="CS102" s="2">
        <f t="shared" si="168"/>
        <v>319616</v>
      </c>
      <c r="CT102" s="2">
        <f t="shared" si="169"/>
        <v>359268</v>
      </c>
      <c r="CU102" s="2">
        <f t="shared" si="170"/>
        <v>365264</v>
      </c>
      <c r="CV102" s="2">
        <f t="shared" si="171"/>
        <v>402392</v>
      </c>
      <c r="CW102" s="2">
        <f t="shared" si="173"/>
        <v>450256</v>
      </c>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row>
    <row r="104" spans="2:161">
      <c r="B104" s="1" t="s">
        <v>69</v>
      </c>
    </row>
    <row r="105" spans="2:161">
      <c r="B105" s="1" t="s">
        <v>70</v>
      </c>
    </row>
    <row r="106" spans="2:161">
      <c r="B106" s="1" t="s">
        <v>71</v>
      </c>
    </row>
    <row r="107" spans="2:161">
      <c r="B107" s="1" t="s">
        <v>72</v>
      </c>
    </row>
    <row r="108" spans="2:161">
      <c r="B108" s="1" t="s">
        <v>73</v>
      </c>
    </row>
    <row r="109" spans="2:161">
      <c r="B109" s="1" t="s">
        <v>74</v>
      </c>
    </row>
    <row r="110" spans="2:161">
      <c r="B110" s="1" t="s">
        <v>75</v>
      </c>
    </row>
    <row r="112" spans="2:161">
      <c r="B112" s="1" t="s">
        <v>76</v>
      </c>
      <c r="C112" s="53">
        <f t="shared" ref="C112:AV112" si="176">C59</f>
        <v>1246.4000000000001</v>
      </c>
      <c r="D112" s="53">
        <f t="shared" si="176"/>
        <v>1290.4000000000001</v>
      </c>
      <c r="E112" s="53">
        <f t="shared" si="176"/>
        <v>1423</v>
      </c>
      <c r="F112" s="53">
        <f t="shared" si="176"/>
        <v>1485</v>
      </c>
      <c r="G112" s="53">
        <f t="shared" si="176"/>
        <v>1639</v>
      </c>
      <c r="H112" s="53">
        <f t="shared" si="176"/>
        <v>1973</v>
      </c>
      <c r="I112" s="53">
        <f t="shared" si="176"/>
        <v>1955</v>
      </c>
      <c r="J112" s="53">
        <f t="shared" si="176"/>
        <v>1840</v>
      </c>
      <c r="K112" s="53">
        <f t="shared" si="176"/>
        <v>2167</v>
      </c>
      <c r="L112" s="53">
        <f t="shared" si="176"/>
        <v>2543</v>
      </c>
      <c r="M112" s="53">
        <f t="shared" si="176"/>
        <v>1798</v>
      </c>
      <c r="N112" s="53">
        <f t="shared" si="176"/>
        <v>2505</v>
      </c>
      <c r="O112" s="53">
        <f t="shared" si="176"/>
        <v>2729</v>
      </c>
      <c r="P112" s="53">
        <f t="shared" si="176"/>
        <v>2705</v>
      </c>
      <c r="Q112" s="53">
        <f t="shared" si="176"/>
        <v>2890</v>
      </c>
      <c r="R112" s="53">
        <f t="shared" si="176"/>
        <v>2833</v>
      </c>
      <c r="S112" s="53">
        <f t="shared" si="176"/>
        <v>2158</v>
      </c>
      <c r="T112" s="53">
        <f t="shared" si="176"/>
        <v>3672</v>
      </c>
      <c r="U112" s="53">
        <f t="shared" si="176"/>
        <v>3528</v>
      </c>
      <c r="V112" s="53">
        <f t="shared" si="176"/>
        <v>2774</v>
      </c>
      <c r="W112" s="53">
        <f t="shared" si="176"/>
        <v>3163</v>
      </c>
      <c r="X112" s="53">
        <f t="shared" si="176"/>
        <v>3695</v>
      </c>
      <c r="Y112" s="53">
        <f t="shared" si="176"/>
        <v>3650</v>
      </c>
      <c r="Z112" s="53">
        <f t="shared" si="176"/>
        <v>3419</v>
      </c>
      <c r="AA112" s="53">
        <f t="shared" si="176"/>
        <v>2924</v>
      </c>
      <c r="AB112" s="53">
        <f t="shared" si="176"/>
        <v>3627</v>
      </c>
      <c r="AC112" s="53">
        <f t="shared" si="176"/>
        <v>3515</v>
      </c>
      <c r="AD112" s="53">
        <f t="shared" si="176"/>
        <v>3931</v>
      </c>
      <c r="AE112" s="53">
        <f t="shared" si="176"/>
        <v>3979</v>
      </c>
      <c r="AF112" s="53">
        <f t="shared" si="176"/>
        <v>4923</v>
      </c>
      <c r="AG112" s="53">
        <f t="shared" si="176"/>
        <v>4207</v>
      </c>
      <c r="AH112" s="53">
        <f t="shared" si="176"/>
        <v>4877</v>
      </c>
      <c r="AI112" s="53">
        <f t="shared" si="176"/>
        <v>5061</v>
      </c>
      <c r="AJ112" s="53">
        <f t="shared" si="176"/>
        <v>5333</v>
      </c>
      <c r="AK112" s="53">
        <f t="shared" si="176"/>
        <v>5426</v>
      </c>
      <c r="AL112" s="53">
        <f t="shared" si="176"/>
        <v>3524</v>
      </c>
      <c r="AM112" s="53">
        <f t="shared" si="176"/>
        <v>6732</v>
      </c>
      <c r="AN112" s="53">
        <f t="shared" si="176"/>
        <v>-3020</v>
      </c>
      <c r="AO112" s="53">
        <f t="shared" si="176"/>
        <v>9401</v>
      </c>
      <c r="AP112" s="53">
        <f t="shared" si="176"/>
        <v>3195</v>
      </c>
      <c r="AQ112" s="53">
        <f t="shared" si="176"/>
        <v>9192</v>
      </c>
      <c r="AR112" s="53">
        <f t="shared" si="176"/>
        <v>8948</v>
      </c>
      <c r="AS112" s="53">
        <f t="shared" si="176"/>
        <v>6657</v>
      </c>
      <c r="AT112" s="53">
        <f t="shared" si="176"/>
        <v>9947</v>
      </c>
      <c r="AU112" s="53">
        <f t="shared" si="176"/>
        <v>7068</v>
      </c>
      <c r="AV112" s="53">
        <f t="shared" si="176"/>
        <v>10671</v>
      </c>
      <c r="AW112" s="53">
        <f>AW59</f>
        <v>6836</v>
      </c>
      <c r="AX112" s="1">
        <f>AX59</f>
        <v>6959</v>
      </c>
      <c r="AY112" s="1">
        <f>AY59</f>
        <v>11247</v>
      </c>
      <c r="AZ112" s="1">
        <f>AZ59</f>
        <v>15227</v>
      </c>
      <c r="BA112" s="1">
        <f>BA59</f>
        <v>17930</v>
      </c>
      <c r="BB112" s="1">
        <f>BB59</f>
        <v>18525</v>
      </c>
      <c r="BC112" s="1">
        <f>BC59</f>
        <v>18936</v>
      </c>
      <c r="BD112" s="1">
        <f>BD59</f>
        <v>20642</v>
      </c>
      <c r="BE112" s="1">
        <f>BE59</f>
        <v>16436</v>
      </c>
      <c r="BF112" s="1">
        <f>BF59</f>
        <v>16002</v>
      </c>
      <c r="BG112" s="1">
        <f>BG59</f>
        <v>13910</v>
      </c>
      <c r="BH112" s="1">
        <f>BH59</f>
        <v>13624</v>
      </c>
      <c r="BI112" s="1">
        <f>BI59</f>
        <v>15051</v>
      </c>
      <c r="BJ112" s="1">
        <f>BJ59</f>
        <v>18368</v>
      </c>
      <c r="BK112" s="1">
        <f>BK59</f>
        <v>19689</v>
      </c>
      <c r="BL112" s="1">
        <f>BL59</f>
        <v>20687</v>
      </c>
      <c r="BM112" s="1">
        <f>BM59</f>
        <v>23662</v>
      </c>
      <c r="BN112" s="1">
        <f>BN59</f>
        <v>23619</v>
      </c>
      <c r="BO112" s="1">
        <f>BO59</f>
        <v>26301</v>
      </c>
      <c r="BP112" s="1">
        <f>BP59</f>
        <v>26536</v>
      </c>
      <c r="BQ112" s="1">
        <f>BQ59</f>
        <v>34540</v>
      </c>
      <c r="CS112" s="1">
        <f t="shared" ref="CS112:CS117" si="177">SUM(AW112:AZ112)</f>
        <v>40269</v>
      </c>
      <c r="CT112" s="1">
        <f t="shared" ref="CT112:CT117" si="178">SUM(BA112:BD112)</f>
        <v>76033</v>
      </c>
      <c r="CU112" s="1">
        <f t="shared" ref="CU112:CU117" si="179">SUM(BE112:BH112)</f>
        <v>59972</v>
      </c>
      <c r="CV112" s="1">
        <f t="shared" ref="CV112:CV117" si="180">SUM(BI112:BL112)</f>
        <v>73795</v>
      </c>
      <c r="CW112" s="1">
        <f t="shared" ref="CW112:CW117" si="181">SUM(BM112:BP112)</f>
        <v>100118</v>
      </c>
    </row>
    <row r="113" spans="2:161" s="2" customFormat="1" ht="15">
      <c r="B113" s="2" t="s">
        <v>77</v>
      </c>
      <c r="C113" s="54">
        <v>2185</v>
      </c>
      <c r="D113" s="54">
        <v>2122.4</v>
      </c>
      <c r="E113" s="54">
        <v>2250</v>
      </c>
      <c r="F113" s="54">
        <v>1609</v>
      </c>
      <c r="G113" s="54">
        <v>2726</v>
      </c>
      <c r="H113" s="54">
        <v>2731</v>
      </c>
      <c r="I113" s="54">
        <v>2584</v>
      </c>
      <c r="J113" s="54">
        <v>2085</v>
      </c>
      <c r="K113" s="54">
        <v>2886</v>
      </c>
      <c r="L113" s="54">
        <v>3526</v>
      </c>
      <c r="M113" s="54">
        <v>3172</v>
      </c>
      <c r="N113" s="54">
        <v>3519</v>
      </c>
      <c r="O113" s="54">
        <v>3950</v>
      </c>
      <c r="P113" s="54">
        <v>3924</v>
      </c>
      <c r="Q113" s="54">
        <v>3694</v>
      </c>
      <c r="R113" s="54">
        <v>4252</v>
      </c>
      <c r="S113" s="54">
        <v>4004</v>
      </c>
      <c r="T113" s="54">
        <v>4669</v>
      </c>
      <c r="U113" s="54">
        <v>3633</v>
      </c>
      <c r="V113" s="54">
        <v>4705</v>
      </c>
      <c r="W113" s="54">
        <v>5083</v>
      </c>
      <c r="X113" s="54">
        <v>5238</v>
      </c>
      <c r="Y113" s="54">
        <v>4391</v>
      </c>
      <c r="Z113" s="54">
        <v>5627</v>
      </c>
      <c r="AA113" s="54">
        <v>5994</v>
      </c>
      <c r="AB113" s="54">
        <v>7012</v>
      </c>
      <c r="AC113" s="54">
        <v>6722</v>
      </c>
      <c r="AD113" s="54">
        <v>7096</v>
      </c>
      <c r="AE113" s="54">
        <v>6145</v>
      </c>
      <c r="AF113" s="54">
        <v>6609</v>
      </c>
      <c r="AG113" s="54">
        <v>7658</v>
      </c>
      <c r="AH113" s="54">
        <v>9120</v>
      </c>
      <c r="AI113" s="54">
        <v>9845</v>
      </c>
      <c r="AJ113" s="54">
        <v>9413</v>
      </c>
      <c r="AK113" s="54">
        <v>9548</v>
      </c>
      <c r="AL113" s="54">
        <v>7403</v>
      </c>
      <c r="AM113" s="54">
        <v>9872</v>
      </c>
      <c r="AN113" s="54">
        <v>10268</v>
      </c>
      <c r="AO113" s="54">
        <v>11642</v>
      </c>
      <c r="AP113" s="54">
        <v>10132</v>
      </c>
      <c r="AQ113" s="54">
        <v>13210</v>
      </c>
      <c r="AR113" s="54">
        <v>12987</v>
      </c>
      <c r="AS113" s="54">
        <v>12000</v>
      </c>
      <c r="AT113" s="54">
        <v>12627</v>
      </c>
      <c r="AU113" s="54">
        <v>15466</v>
      </c>
      <c r="AV113" s="54">
        <v>14427</v>
      </c>
      <c r="AW113" s="54">
        <v>11451</v>
      </c>
      <c r="AX113" s="54">
        <v>13993</v>
      </c>
      <c r="AY113" s="54">
        <v>17003</v>
      </c>
      <c r="AZ113" s="54">
        <v>22677</v>
      </c>
      <c r="BA113" s="54">
        <v>19289</v>
      </c>
      <c r="BB113" s="54">
        <v>21890</v>
      </c>
      <c r="BC113" s="54">
        <v>25539</v>
      </c>
      <c r="BD113" s="54">
        <v>24934</v>
      </c>
      <c r="BE113" s="54">
        <v>25106</v>
      </c>
      <c r="BF113" s="54">
        <v>19422</v>
      </c>
      <c r="BG113" s="54">
        <v>23353</v>
      </c>
      <c r="BH113" s="54">
        <v>23614</v>
      </c>
      <c r="BI113" s="54">
        <v>23509</v>
      </c>
      <c r="BJ113" s="54">
        <v>28666</v>
      </c>
      <c r="BK113" s="54">
        <v>30656</v>
      </c>
      <c r="BL113" s="54">
        <v>18915</v>
      </c>
      <c r="BM113" s="54">
        <v>28848</v>
      </c>
      <c r="BN113" s="54">
        <v>26640</v>
      </c>
      <c r="BO113" s="54">
        <v>30698</v>
      </c>
      <c r="BP113" s="54">
        <v>39113</v>
      </c>
      <c r="BQ113" s="54">
        <v>36150</v>
      </c>
      <c r="BR113" s="34"/>
      <c r="BS113" s="34"/>
      <c r="BT113" s="34"/>
      <c r="BU113" s="34"/>
      <c r="BV113" s="34"/>
      <c r="BW113" s="34"/>
      <c r="BX113" s="34"/>
      <c r="BY113" s="34"/>
      <c r="BZ113" s="34"/>
      <c r="CA113" s="34"/>
      <c r="CB113" s="34"/>
      <c r="CC113" s="34"/>
      <c r="CS113" s="2">
        <f t="shared" si="177"/>
        <v>65124</v>
      </c>
      <c r="CT113" s="2">
        <f t="shared" si="178"/>
        <v>91652</v>
      </c>
      <c r="CU113" s="2">
        <f t="shared" si="179"/>
        <v>91495</v>
      </c>
      <c r="CV113" s="2">
        <f t="shared" si="180"/>
        <v>101746</v>
      </c>
      <c r="CW113" s="2">
        <f t="shared" si="181"/>
        <v>125299</v>
      </c>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row>
    <row r="114" spans="2:161">
      <c r="B114" s="1" t="s">
        <v>302</v>
      </c>
      <c r="C114" s="53"/>
      <c r="D114" s="53"/>
      <c r="E114" s="53"/>
      <c r="F114" s="53"/>
      <c r="G114" s="53"/>
      <c r="H114" s="53"/>
      <c r="I114" s="53"/>
      <c r="J114" s="53"/>
      <c r="K114" s="53"/>
      <c r="L114" s="53"/>
      <c r="M114" s="53"/>
      <c r="N114" s="53"/>
      <c r="O114" s="53"/>
      <c r="P114" s="53"/>
      <c r="Q114" s="53"/>
      <c r="R114" s="53"/>
      <c r="S114" s="53"/>
      <c r="T114" s="53"/>
      <c r="U114" s="53"/>
      <c r="V114" s="53"/>
      <c r="W114" s="53"/>
      <c r="Y114" s="53">
        <v>-2345</v>
      </c>
      <c r="Z114" s="53">
        <v>-2646</v>
      </c>
      <c r="AA114" s="53">
        <v>-2417</v>
      </c>
      <c r="AB114" s="53">
        <v>-3606</v>
      </c>
      <c r="AC114" s="53">
        <v>-2927</v>
      </c>
      <c r="AD114" s="53">
        <v>-2515</v>
      </c>
      <c r="AE114" s="53">
        <v>-2406</v>
      </c>
      <c r="AF114" s="53">
        <v>-2102</v>
      </c>
      <c r="AG114" s="53">
        <v>-2444</v>
      </c>
      <c r="AH114" s="53">
        <v>-2136</v>
      </c>
      <c r="AI114" s="53">
        <v>-2554</v>
      </c>
      <c r="AJ114" s="53">
        <v>-3078</v>
      </c>
      <c r="AK114" s="53">
        <v>-2508</v>
      </c>
      <c r="AL114" s="53">
        <v>-2831</v>
      </c>
      <c r="AM114" s="53">
        <v>-3538</v>
      </c>
      <c r="AN114" s="53">
        <v>-4307</v>
      </c>
      <c r="AO114" s="53">
        <v>-7299</v>
      </c>
      <c r="AP114" s="53">
        <v>-5477</v>
      </c>
      <c r="AQ114" s="53">
        <v>-5282</v>
      </c>
      <c r="AR114" s="53">
        <v>-7081</v>
      </c>
      <c r="AS114" s="53">
        <v>-4638</v>
      </c>
      <c r="AT114" s="53">
        <v>-6126</v>
      </c>
      <c r="AU114" s="53">
        <v>-6732</v>
      </c>
      <c r="AV114" s="53">
        <v>-6052</v>
      </c>
      <c r="AW114" s="53">
        <v>-6005</v>
      </c>
      <c r="AX114" s="53">
        <v>-5391</v>
      </c>
      <c r="AY114" s="53">
        <v>-5406</v>
      </c>
      <c r="AZ114" s="53">
        <v>-5479</v>
      </c>
      <c r="BA114" s="53">
        <v>-5942</v>
      </c>
      <c r="BB114" s="53">
        <v>-5496</v>
      </c>
      <c r="BC114" s="53">
        <v>-6819</v>
      </c>
      <c r="BD114" s="53">
        <v>-6383</v>
      </c>
      <c r="BE114" s="53">
        <v>-9786</v>
      </c>
      <c r="BF114" s="53">
        <v>-6828</v>
      </c>
      <c r="BG114" s="53">
        <v>-7276</v>
      </c>
      <c r="BH114" s="53">
        <v>-7595</v>
      </c>
      <c r="BI114" s="53">
        <v>-6289</v>
      </c>
      <c r="BJ114" s="53">
        <v>-6888</v>
      </c>
      <c r="BK114" s="53">
        <v>-8055</v>
      </c>
      <c r="BL114" s="53">
        <v>-11019</v>
      </c>
      <c r="BM114" s="53">
        <v>-12012</v>
      </c>
      <c r="BN114" s="53">
        <v>-13186</v>
      </c>
      <c r="BO114" s="53">
        <v>-13061</v>
      </c>
      <c r="BP114" s="53">
        <v>-14276</v>
      </c>
      <c r="BQ114" s="53">
        <v>-17197</v>
      </c>
      <c r="CS114" s="1">
        <f t="shared" si="177"/>
        <v>-22281</v>
      </c>
      <c r="CT114" s="1">
        <f t="shared" si="178"/>
        <v>-24640</v>
      </c>
      <c r="CU114" s="1">
        <f t="shared" si="179"/>
        <v>-31485</v>
      </c>
      <c r="CV114" s="1">
        <f t="shared" si="180"/>
        <v>-32251</v>
      </c>
      <c r="CW114" s="1">
        <f t="shared" si="181"/>
        <v>-52535</v>
      </c>
    </row>
    <row r="115" spans="2:161" s="2" customFormat="1" ht="15">
      <c r="B115" s="2" t="s">
        <v>78</v>
      </c>
      <c r="C115" s="54"/>
      <c r="D115" s="54"/>
      <c r="E115" s="54"/>
      <c r="F115" s="54"/>
      <c r="G115" s="54"/>
      <c r="H115" s="54"/>
      <c r="I115" s="54"/>
      <c r="J115" s="54"/>
      <c r="K115" s="54"/>
      <c r="L115" s="54"/>
      <c r="M115" s="54"/>
      <c r="N115" s="54"/>
      <c r="O115" s="54"/>
      <c r="P115" s="54"/>
      <c r="Q115" s="54"/>
      <c r="R115" s="54"/>
      <c r="S115" s="54"/>
      <c r="T115" s="54"/>
      <c r="U115" s="54"/>
      <c r="V115" s="54"/>
      <c r="W115" s="54"/>
      <c r="X115" s="54"/>
      <c r="Y115" s="54">
        <f>Y113+Y114</f>
        <v>2046</v>
      </c>
      <c r="Z115" s="54">
        <f t="shared" ref="Z115:BQ115" si="182">Z113+Z114</f>
        <v>2981</v>
      </c>
      <c r="AA115" s="54">
        <f t="shared" si="182"/>
        <v>3577</v>
      </c>
      <c r="AB115" s="54">
        <f t="shared" si="182"/>
        <v>3406</v>
      </c>
      <c r="AC115" s="54">
        <f t="shared" si="182"/>
        <v>3795</v>
      </c>
      <c r="AD115" s="54">
        <f t="shared" si="182"/>
        <v>4581</v>
      </c>
      <c r="AE115" s="54">
        <f t="shared" si="182"/>
        <v>3739</v>
      </c>
      <c r="AF115" s="54">
        <f t="shared" si="182"/>
        <v>4507</v>
      </c>
      <c r="AG115" s="54">
        <f t="shared" si="182"/>
        <v>5214</v>
      </c>
      <c r="AH115" s="54">
        <f t="shared" si="182"/>
        <v>6984</v>
      </c>
      <c r="AI115" s="54">
        <f t="shared" si="182"/>
        <v>7291</v>
      </c>
      <c r="AJ115" s="54">
        <f t="shared" si="182"/>
        <v>6335</v>
      </c>
      <c r="AK115" s="54">
        <f t="shared" si="182"/>
        <v>7040</v>
      </c>
      <c r="AL115" s="54">
        <f t="shared" si="182"/>
        <v>4572</v>
      </c>
      <c r="AM115" s="54">
        <f t="shared" si="182"/>
        <v>6334</v>
      </c>
      <c r="AN115" s="54">
        <f t="shared" si="182"/>
        <v>5961</v>
      </c>
      <c r="AO115" s="54">
        <f t="shared" si="182"/>
        <v>4343</v>
      </c>
      <c r="AP115" s="54">
        <f t="shared" si="182"/>
        <v>4655</v>
      </c>
      <c r="AQ115" s="54">
        <f t="shared" si="182"/>
        <v>7928</v>
      </c>
      <c r="AR115" s="54">
        <f t="shared" si="182"/>
        <v>5906</v>
      </c>
      <c r="AS115" s="54">
        <f t="shared" si="182"/>
        <v>7362</v>
      </c>
      <c r="AT115" s="54">
        <f t="shared" si="182"/>
        <v>6501</v>
      </c>
      <c r="AU115" s="54">
        <f t="shared" si="182"/>
        <v>8734</v>
      </c>
      <c r="AV115" s="54">
        <f t="shared" si="182"/>
        <v>8375</v>
      </c>
      <c r="AW115" s="54">
        <f t="shared" si="182"/>
        <v>5446</v>
      </c>
      <c r="AX115" s="54">
        <f t="shared" si="182"/>
        <v>8602</v>
      </c>
      <c r="AY115" s="54">
        <f t="shared" si="182"/>
        <v>11597</v>
      </c>
      <c r="AZ115" s="54">
        <f t="shared" si="182"/>
        <v>17198</v>
      </c>
      <c r="BA115" s="54">
        <f t="shared" si="182"/>
        <v>13347</v>
      </c>
      <c r="BB115" s="54">
        <f t="shared" si="182"/>
        <v>16394</v>
      </c>
      <c r="BC115" s="54">
        <f t="shared" si="182"/>
        <v>18720</v>
      </c>
      <c r="BD115" s="54">
        <f t="shared" si="182"/>
        <v>18551</v>
      </c>
      <c r="BE115" s="54">
        <f t="shared" si="182"/>
        <v>15320</v>
      </c>
      <c r="BF115" s="54">
        <f t="shared" si="182"/>
        <v>12594</v>
      </c>
      <c r="BG115" s="54">
        <f t="shared" si="182"/>
        <v>16077</v>
      </c>
      <c r="BH115" s="54">
        <f t="shared" si="182"/>
        <v>16019</v>
      </c>
      <c r="BI115" s="54">
        <f t="shared" si="182"/>
        <v>17220</v>
      </c>
      <c r="BJ115" s="54">
        <f t="shared" si="182"/>
        <v>21778</v>
      </c>
      <c r="BK115" s="54">
        <f t="shared" si="182"/>
        <v>22601</v>
      </c>
      <c r="BL115" s="54">
        <f t="shared" si="182"/>
        <v>7896</v>
      </c>
      <c r="BM115" s="54">
        <f t="shared" si="182"/>
        <v>16836</v>
      </c>
      <c r="BN115" s="54">
        <f t="shared" si="182"/>
        <v>13454</v>
      </c>
      <c r="BO115" s="54">
        <f t="shared" si="182"/>
        <v>17637</v>
      </c>
      <c r="BP115" s="54">
        <f t="shared" si="182"/>
        <v>24837</v>
      </c>
      <c r="BQ115" s="54">
        <f t="shared" si="182"/>
        <v>18953</v>
      </c>
      <c r="BR115" s="34"/>
      <c r="BS115" s="34"/>
      <c r="BT115" s="34"/>
      <c r="BU115" s="34"/>
      <c r="BV115" s="34"/>
      <c r="BW115" s="34"/>
      <c r="BX115" s="34"/>
      <c r="BY115" s="34"/>
      <c r="BZ115" s="34"/>
      <c r="CA115" s="34"/>
      <c r="CB115" s="34"/>
      <c r="CC115" s="34"/>
      <c r="CS115" s="2">
        <f t="shared" si="177"/>
        <v>42843</v>
      </c>
      <c r="CT115" s="2">
        <f t="shared" si="178"/>
        <v>67012</v>
      </c>
      <c r="CU115" s="2">
        <f t="shared" si="179"/>
        <v>60010</v>
      </c>
      <c r="CV115" s="2">
        <f t="shared" si="180"/>
        <v>69495</v>
      </c>
      <c r="CW115" s="2">
        <f t="shared" si="181"/>
        <v>72764</v>
      </c>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row>
    <row r="116" spans="2:161">
      <c r="B116" s="1" t="s">
        <v>303</v>
      </c>
      <c r="AW116" s="1">
        <f>AW60</f>
        <v>13729</v>
      </c>
      <c r="AX116" s="1">
        <f>AX60</f>
        <v>13635</v>
      </c>
      <c r="AY116" s="1">
        <f>AY60</f>
        <v>13589</v>
      </c>
      <c r="AZ116" s="1">
        <f>AZ60</f>
        <v>13616</v>
      </c>
      <c r="BA116" s="1">
        <f>BA60</f>
        <v>13464</v>
      </c>
      <c r="BB116" s="1">
        <f>BB60</f>
        <v>13379</v>
      </c>
      <c r="BC116" s="1">
        <f>BC60</f>
        <v>13315</v>
      </c>
      <c r="BD116" s="1">
        <f>BD60</f>
        <v>13353</v>
      </c>
      <c r="BE116" s="1">
        <f>BE60</f>
        <v>13203</v>
      </c>
      <c r="BF116" s="1">
        <f>BF60</f>
        <v>13133</v>
      </c>
      <c r="BG116" s="1">
        <f>BG60</f>
        <v>13018</v>
      </c>
      <c r="BH116" s="1">
        <f>BH60</f>
        <v>13063</v>
      </c>
      <c r="BI116" s="1">
        <f>BI60</f>
        <v>12781</v>
      </c>
      <c r="BJ116" s="1">
        <f>BJ60</f>
        <v>12668</v>
      </c>
      <c r="BK116" s="1">
        <f>BK60</f>
        <v>12581</v>
      </c>
      <c r="BL116" s="1">
        <f>BL60</f>
        <v>12488</v>
      </c>
      <c r="BM116" s="1">
        <f>BM60</f>
        <v>12415</v>
      </c>
      <c r="BN116" s="1">
        <f>BN60</f>
        <v>12343</v>
      </c>
      <c r="BO116" s="1">
        <f>BO60</f>
        <v>12290</v>
      </c>
      <c r="BP116" s="1">
        <f>BP60</f>
        <v>12228</v>
      </c>
      <c r="BQ116" s="1">
        <f>BQ60</f>
        <v>12183</v>
      </c>
      <c r="CS116" s="1">
        <f>AVERAGE(AW116:AZ116)</f>
        <v>13642.25</v>
      </c>
      <c r="CT116" s="1">
        <f>AVERAGE(BA116:BD116)</f>
        <v>13377.75</v>
      </c>
      <c r="CU116" s="1">
        <f>AVERAGE(BE116:BH116)</f>
        <v>13104.25</v>
      </c>
      <c r="CV116" s="1">
        <f>AVERAGE(BI116:BL116)</f>
        <v>12629.5</v>
      </c>
      <c r="CW116" s="1">
        <f>AVERAGE(BM116:BP116)</f>
        <v>12319</v>
      </c>
    </row>
    <row r="117" spans="2:161">
      <c r="B117" s="1" t="s">
        <v>80</v>
      </c>
      <c r="AW117" s="40">
        <f>AW115/AW116</f>
        <v>0.39667856362444459</v>
      </c>
      <c r="AX117" s="40">
        <f t="shared" ref="AX117:BQ117" si="183">AX115/AX116</f>
        <v>0.63087642097543084</v>
      </c>
      <c r="AY117" s="40">
        <f t="shared" si="183"/>
        <v>0.85341084700860992</v>
      </c>
      <c r="AZ117" s="40">
        <f t="shared" si="183"/>
        <v>1.2630728554641597</v>
      </c>
      <c r="BA117" s="40">
        <f t="shared" si="183"/>
        <v>0.99131016042780751</v>
      </c>
      <c r="BB117" s="40">
        <f t="shared" si="183"/>
        <v>1.2253531654084759</v>
      </c>
      <c r="BC117" s="40">
        <f t="shared" si="183"/>
        <v>1.4059331580923771</v>
      </c>
      <c r="BD117" s="40">
        <f t="shared" si="183"/>
        <v>1.3892758181682019</v>
      </c>
      <c r="BE117" s="40">
        <f t="shared" si="183"/>
        <v>1.160342346436416</v>
      </c>
      <c r="BF117" s="40">
        <f t="shared" si="183"/>
        <v>0.9589583491966801</v>
      </c>
      <c r="BG117" s="40">
        <f t="shared" si="183"/>
        <v>1.2349823321554769</v>
      </c>
      <c r="BH117" s="40">
        <f t="shared" si="183"/>
        <v>1.2262879889764986</v>
      </c>
      <c r="BI117" s="40">
        <f t="shared" si="183"/>
        <v>1.3473124168687896</v>
      </c>
      <c r="BJ117" s="40">
        <f t="shared" si="183"/>
        <v>1.7191348279128513</v>
      </c>
      <c r="BK117" s="40">
        <f t="shared" si="183"/>
        <v>1.7964390747953263</v>
      </c>
      <c r="BL117" s="40">
        <f t="shared" si="183"/>
        <v>0.63228699551569512</v>
      </c>
      <c r="BM117" s="40">
        <f t="shared" si="183"/>
        <v>1.3561014901329038</v>
      </c>
      <c r="BN117" s="40">
        <f t="shared" si="183"/>
        <v>1.090010532285506</v>
      </c>
      <c r="BO117" s="40">
        <f t="shared" si="183"/>
        <v>1.4350691619202605</v>
      </c>
      <c r="BP117" s="40">
        <f t="shared" si="183"/>
        <v>2.0311579980372914</v>
      </c>
      <c r="BQ117" s="40">
        <f t="shared" si="183"/>
        <v>1.5556923582040549</v>
      </c>
      <c r="CS117" s="40">
        <f t="shared" si="177"/>
        <v>3.1440386870726451</v>
      </c>
      <c r="CT117" s="40">
        <f t="shared" si="178"/>
        <v>5.0118723020968625</v>
      </c>
      <c r="CU117" s="40">
        <f t="shared" si="179"/>
        <v>4.5805710167650719</v>
      </c>
      <c r="CV117" s="40">
        <f t="shared" si="180"/>
        <v>5.4951733150926625</v>
      </c>
      <c r="CW117" s="40">
        <f t="shared" si="181"/>
        <v>5.9123391823759617</v>
      </c>
    </row>
  </sheetData>
  <pageMargins left="0.7" right="0.7" top="0.75" bottom="0.75" header="0.3" footer="0.3"/>
  <ignoredErrors>
    <ignoredError sqref="AW54 AZ49:AZ61 CS113:CW115 CH48:CR60" formulaRange="1"/>
    <ignoredError sqref="CX7:DG7" formula="1"/>
    <ignoredError sqref="CS60:CW60 CS116:CW116" formula="1"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C1881"/>
  <sheetViews>
    <sheetView topLeftCell="AD180" zoomScale="70" zoomScaleNormal="70" workbookViewId="0">
      <selection activeCell="AF34" sqref="AF34"/>
    </sheetView>
  </sheetViews>
  <sheetFormatPr defaultRowHeight="14.25"/>
  <cols>
    <col min="1" max="7" width="0" style="1" hidden="1" customWidth="1"/>
    <col min="8" max="8" width="3.140625" style="1" customWidth="1"/>
    <col min="9" max="15" width="9.140625" style="1"/>
    <col min="16" max="16" width="9.140625" style="1" customWidth="1"/>
    <col min="17" max="30" width="9.140625" style="1"/>
    <col min="31" max="31" width="2.85546875" style="1" customWidth="1"/>
    <col min="32" max="16384" width="9.140625" style="1"/>
  </cols>
  <sheetData>
    <row r="1" spans="8:81">
      <c r="CC1" s="1">
        <v>0</v>
      </c>
    </row>
    <row r="2" spans="8:81" ht="15">
      <c r="H2" s="2" t="s">
        <v>260</v>
      </c>
      <c r="AF2" s="2" t="s">
        <v>81</v>
      </c>
    </row>
    <row r="33" spans="8:32" ht="15">
      <c r="H33" s="2" t="s">
        <v>13</v>
      </c>
      <c r="AF33" s="2" t="s">
        <v>82</v>
      </c>
    </row>
    <row r="34" spans="8:32" ht="15">
      <c r="AF34" s="2" t="s">
        <v>83</v>
      </c>
    </row>
    <row r="62" spans="9:10">
      <c r="I62" s="1" t="s">
        <v>14</v>
      </c>
      <c r="J62" s="1" t="s">
        <v>15</v>
      </c>
    </row>
    <row r="63" spans="9:10">
      <c r="J63" s="1" t="s">
        <v>16</v>
      </c>
    </row>
    <row r="64" spans="9:10">
      <c r="J64" s="1" t="s">
        <v>17</v>
      </c>
    </row>
    <row r="66" spans="8:8" ht="15">
      <c r="H66" s="2" t="s">
        <v>2148</v>
      </c>
    </row>
    <row r="98" spans="8:32">
      <c r="I98" s="1" t="s">
        <v>14</v>
      </c>
      <c r="J98" s="1" t="s">
        <v>15</v>
      </c>
    </row>
    <row r="99" spans="8:32">
      <c r="J99" s="1" t="s">
        <v>16</v>
      </c>
    </row>
    <row r="100" spans="8:32">
      <c r="J100" s="1" t="s">
        <v>17</v>
      </c>
    </row>
    <row r="102" spans="8:32" ht="15">
      <c r="H102" s="2" t="s">
        <v>18</v>
      </c>
      <c r="AF102" s="2" t="s">
        <v>2822</v>
      </c>
    </row>
    <row r="120" spans="1:7">
      <c r="A120" s="1" t="s">
        <v>2145</v>
      </c>
    </row>
    <row r="121" spans="1:7">
      <c r="A121" s="24" t="s">
        <v>19</v>
      </c>
      <c r="B121" s="24" t="s">
        <v>20</v>
      </c>
      <c r="C121" s="24" t="s">
        <v>21</v>
      </c>
      <c r="D121" s="24" t="s">
        <v>22</v>
      </c>
      <c r="E121" s="24" t="s">
        <v>23</v>
      </c>
      <c r="F121" s="24" t="s">
        <v>24</v>
      </c>
      <c r="G121" s="24" t="s">
        <v>25</v>
      </c>
    </row>
    <row r="122" spans="1:7">
      <c r="A122" s="52">
        <v>163.98</v>
      </c>
      <c r="B122" s="52">
        <v>168.5</v>
      </c>
      <c r="C122" s="52">
        <v>162.9</v>
      </c>
      <c r="D122" s="52">
        <v>166.43</v>
      </c>
      <c r="E122" s="52">
        <v>46416911</v>
      </c>
      <c r="F122" s="52" t="s">
        <v>2144</v>
      </c>
      <c r="G122" s="25">
        <f>A122/D122-1</f>
        <v>-1.4720903683230313E-2</v>
      </c>
    </row>
    <row r="123" spans="1:7">
      <c r="A123" s="52">
        <v>166.54</v>
      </c>
      <c r="B123" s="52">
        <v>166.64</v>
      </c>
      <c r="C123" s="52">
        <v>164.22</v>
      </c>
      <c r="D123" s="52">
        <v>164.51</v>
      </c>
      <c r="E123" s="52">
        <v>30426097</v>
      </c>
      <c r="F123" s="52" t="s">
        <v>2143</v>
      </c>
      <c r="G123" s="25">
        <f t="shared" ref="G123:G186" si="0">A123/D123-1</f>
        <v>1.2339675399671846E-2</v>
      </c>
    </row>
    <row r="124" spans="1:7">
      <c r="A124" s="52">
        <v>166.19</v>
      </c>
      <c r="B124" s="52">
        <v>169.35</v>
      </c>
      <c r="C124" s="52">
        <v>165.62</v>
      </c>
      <c r="D124" s="52">
        <v>167.72499999999999</v>
      </c>
      <c r="E124" s="52">
        <v>42303250</v>
      </c>
      <c r="F124" s="52" t="s">
        <v>2142</v>
      </c>
      <c r="G124" s="25">
        <f t="shared" si="0"/>
        <v>-9.1518855269041577E-3</v>
      </c>
    </row>
    <row r="125" spans="1:7">
      <c r="A125" s="52">
        <v>163.96</v>
      </c>
      <c r="B125" s="52">
        <v>166.20500000000001</v>
      </c>
      <c r="C125" s="52">
        <v>162.3732</v>
      </c>
      <c r="D125" s="52">
        <v>165.84</v>
      </c>
      <c r="E125" s="52">
        <v>33146669</v>
      </c>
      <c r="F125" s="52" t="s">
        <v>2141</v>
      </c>
      <c r="G125" s="25">
        <f t="shared" si="0"/>
        <v>-1.1336227689339062E-2</v>
      </c>
    </row>
    <row r="126" spans="1:7">
      <c r="A126" s="52">
        <v>165.37</v>
      </c>
      <c r="B126" s="52">
        <v>167</v>
      </c>
      <c r="C126" s="52">
        <v>159.61000000000001</v>
      </c>
      <c r="D126" s="52">
        <v>159.96</v>
      </c>
      <c r="E126" s="52">
        <v>48755869</v>
      </c>
      <c r="F126" s="52" t="s">
        <v>2140</v>
      </c>
      <c r="G126" s="25">
        <f t="shared" si="0"/>
        <v>3.3820955238809569E-2</v>
      </c>
    </row>
    <row r="127" spans="1:7">
      <c r="A127" s="52">
        <v>159.53</v>
      </c>
      <c r="B127" s="52">
        <v>160.57</v>
      </c>
      <c r="C127" s="52">
        <v>156.16</v>
      </c>
      <c r="D127" s="52">
        <v>158.79</v>
      </c>
      <c r="E127" s="52">
        <v>42382126</v>
      </c>
      <c r="F127" s="52" t="s">
        <v>2139</v>
      </c>
      <c r="G127" s="25">
        <f t="shared" si="0"/>
        <v>4.6602430883557755E-3</v>
      </c>
    </row>
    <row r="128" spans="1:7">
      <c r="A128" s="52">
        <v>158.46</v>
      </c>
      <c r="B128" s="52">
        <v>159.1</v>
      </c>
      <c r="C128" s="52">
        <v>156.25</v>
      </c>
      <c r="D128" s="52">
        <v>157.48500000000001</v>
      </c>
      <c r="E128" s="52">
        <v>44138818</v>
      </c>
      <c r="F128" s="52" t="s">
        <v>2138</v>
      </c>
      <c r="G128" s="25">
        <f t="shared" si="0"/>
        <v>6.1910658157919851E-3</v>
      </c>
    </row>
    <row r="129" spans="1:11">
      <c r="A129" s="52">
        <v>152.75</v>
      </c>
      <c r="B129" s="52">
        <v>155.05000000000001</v>
      </c>
      <c r="C129" s="52">
        <v>152.19999999999999</v>
      </c>
      <c r="D129" s="52">
        <v>154.16999999999999</v>
      </c>
      <c r="E129" s="52">
        <v>32435281</v>
      </c>
      <c r="F129" s="52" t="s">
        <v>2137</v>
      </c>
      <c r="G129" s="25">
        <f t="shared" si="0"/>
        <v>-9.2106116624504075E-3</v>
      </c>
    </row>
    <row r="130" spans="1:11">
      <c r="A130" s="52">
        <v>154.28</v>
      </c>
      <c r="B130" s="52">
        <v>155.93</v>
      </c>
      <c r="C130" s="52">
        <v>152.9</v>
      </c>
      <c r="D130" s="52">
        <v>155</v>
      </c>
      <c r="E130" s="52">
        <v>57498692</v>
      </c>
      <c r="F130" s="52" t="s">
        <v>2136</v>
      </c>
      <c r="G130" s="25">
        <f t="shared" si="0"/>
        <v>-4.6451612903225525E-3</v>
      </c>
    </row>
    <row r="131" spans="1:11">
      <c r="A131" s="52">
        <v>151.38</v>
      </c>
      <c r="B131" s="52">
        <v>165</v>
      </c>
      <c r="C131" s="52">
        <v>147.84</v>
      </c>
      <c r="D131" s="52">
        <v>164.08</v>
      </c>
      <c r="E131" s="52">
        <v>127747554</v>
      </c>
      <c r="F131" s="52" t="s">
        <v>2135</v>
      </c>
      <c r="G131" s="25">
        <f t="shared" si="0"/>
        <v>-7.740126767430533E-2</v>
      </c>
      <c r="I131" s="1" t="s">
        <v>14</v>
      </c>
      <c r="J131" s="1" t="s">
        <v>382</v>
      </c>
    </row>
    <row r="132" spans="1:11">
      <c r="A132" s="52">
        <v>163.22999999999999</v>
      </c>
      <c r="B132" s="52">
        <v>164.8</v>
      </c>
      <c r="C132" s="52">
        <v>161.19</v>
      </c>
      <c r="D132" s="52">
        <v>162.16999999999999</v>
      </c>
      <c r="E132" s="52">
        <v>21277210</v>
      </c>
      <c r="F132" s="52" t="s">
        <v>2134</v>
      </c>
      <c r="G132" s="25">
        <f t="shared" si="0"/>
        <v>6.53635074304737E-3</v>
      </c>
      <c r="K132" s="1" t="s">
        <v>383</v>
      </c>
    </row>
    <row r="133" spans="1:11" ht="15">
      <c r="A133" s="52">
        <v>164.21</v>
      </c>
      <c r="B133" s="52">
        <v>165.39</v>
      </c>
      <c r="C133" s="52">
        <v>162.72</v>
      </c>
      <c r="D133" s="52">
        <v>163</v>
      </c>
      <c r="E133" s="52">
        <v>21341814</v>
      </c>
      <c r="F133" s="52" t="s">
        <v>2133</v>
      </c>
      <c r="G133" s="25">
        <f t="shared" si="0"/>
        <v>7.4233128834355622E-3</v>
      </c>
      <c r="K133" s="2" t="s">
        <v>384</v>
      </c>
    </row>
    <row r="134" spans="1:11">
      <c r="A134" s="52">
        <v>164.03</v>
      </c>
      <c r="B134" s="52">
        <v>164.97</v>
      </c>
      <c r="C134" s="52">
        <v>161.87</v>
      </c>
      <c r="D134" s="52">
        <v>163.405</v>
      </c>
      <c r="E134" s="52">
        <v>25715005</v>
      </c>
      <c r="F134" s="52" t="s">
        <v>2132</v>
      </c>
      <c r="G134" s="25">
        <f t="shared" si="0"/>
        <v>3.8248523606989604E-3</v>
      </c>
      <c r="J134" s="1" t="s">
        <v>16</v>
      </c>
    </row>
    <row r="135" spans="1:11">
      <c r="A135" s="52">
        <v>161.30000000000001</v>
      </c>
      <c r="B135" s="52">
        <v>161.94999999999999</v>
      </c>
      <c r="C135" s="52">
        <v>158.91</v>
      </c>
      <c r="D135" s="52">
        <v>160.44999999999999</v>
      </c>
      <c r="E135" s="52">
        <v>30203248</v>
      </c>
      <c r="F135" s="52" t="s">
        <v>2131</v>
      </c>
      <c r="G135" s="25">
        <f t="shared" si="0"/>
        <v>5.2976004985978431E-3</v>
      </c>
      <c r="J135" s="1" t="s">
        <v>17</v>
      </c>
    </row>
    <row r="136" spans="1:11">
      <c r="A136" s="52">
        <v>158.80000000000001</v>
      </c>
      <c r="B136" s="52">
        <v>159.27000000000001</v>
      </c>
      <c r="C136" s="52">
        <v>155.4</v>
      </c>
      <c r="D136" s="52">
        <v>157.97499999999999</v>
      </c>
      <c r="E136" s="52">
        <v>34981059</v>
      </c>
      <c r="F136" s="52" t="s">
        <v>2130</v>
      </c>
      <c r="G136" s="25">
        <f t="shared" si="0"/>
        <v>5.2223453078019677E-3</v>
      </c>
    </row>
    <row r="137" spans="1:11" ht="15">
      <c r="A137" s="52">
        <v>160.16</v>
      </c>
      <c r="B137" s="52">
        <v>160.74</v>
      </c>
      <c r="C137" s="52">
        <v>157.52000000000001</v>
      </c>
      <c r="D137" s="52">
        <v>160.32499999999999</v>
      </c>
      <c r="E137" s="52">
        <v>26808958</v>
      </c>
      <c r="F137" s="52" t="s">
        <v>2129</v>
      </c>
      <c r="G137" s="25">
        <f t="shared" si="0"/>
        <v>-1.0291595197254866E-3</v>
      </c>
      <c r="H137" s="2" t="s">
        <v>2146</v>
      </c>
    </row>
    <row r="138" spans="1:11">
      <c r="A138" s="52">
        <v>160.61000000000001</v>
      </c>
      <c r="B138" s="52">
        <v>163.15</v>
      </c>
      <c r="C138" s="52">
        <v>158.6</v>
      </c>
      <c r="D138" s="52">
        <v>162.42500000000001</v>
      </c>
      <c r="E138" s="52">
        <v>29745782</v>
      </c>
      <c r="F138" s="52" t="s">
        <v>2128</v>
      </c>
      <c r="G138" s="25">
        <f t="shared" si="0"/>
        <v>-1.1174388179159611E-2</v>
      </c>
    </row>
    <row r="139" spans="1:11">
      <c r="A139" s="52">
        <v>161.96</v>
      </c>
      <c r="B139" s="52">
        <v>166.1</v>
      </c>
      <c r="C139" s="52">
        <v>161.04</v>
      </c>
      <c r="D139" s="52">
        <v>165.07</v>
      </c>
      <c r="E139" s="52">
        <v>56033995</v>
      </c>
      <c r="F139" s="52" t="s">
        <v>2127</v>
      </c>
      <c r="G139" s="25">
        <f t="shared" si="0"/>
        <v>-1.8840491912521906E-2</v>
      </c>
    </row>
    <row r="140" spans="1:11">
      <c r="A140" s="52">
        <v>159.28</v>
      </c>
      <c r="B140" s="52">
        <v>159.59</v>
      </c>
      <c r="C140" s="52">
        <v>155.79</v>
      </c>
      <c r="D140" s="52">
        <v>156.15</v>
      </c>
      <c r="E140" s="52">
        <v>45893951</v>
      </c>
      <c r="F140" s="52" t="s">
        <v>2126</v>
      </c>
      <c r="G140" s="25">
        <f t="shared" si="0"/>
        <v>2.0044828690361838E-2</v>
      </c>
    </row>
    <row r="141" spans="1:11">
      <c r="A141" s="52">
        <v>155.35</v>
      </c>
      <c r="B141" s="52">
        <v>157.52500000000001</v>
      </c>
      <c r="C141" s="52">
        <v>153.81</v>
      </c>
      <c r="D141" s="52">
        <v>155.61000000000001</v>
      </c>
      <c r="E141" s="52">
        <v>31128833</v>
      </c>
      <c r="F141" s="52" t="s">
        <v>2125</v>
      </c>
      <c r="G141" s="25">
        <f t="shared" si="0"/>
        <v>-1.6708437761070449E-3</v>
      </c>
    </row>
    <row r="142" spans="1:11">
      <c r="A142" s="52">
        <v>151.47</v>
      </c>
      <c r="B142" s="52">
        <v>152.19</v>
      </c>
      <c r="C142" s="52">
        <v>148.54</v>
      </c>
      <c r="D142" s="52">
        <v>148.88999999999999</v>
      </c>
      <c r="E142" s="52">
        <v>26971774</v>
      </c>
      <c r="F142" s="52" t="s">
        <v>2124</v>
      </c>
      <c r="G142" s="25">
        <f t="shared" si="0"/>
        <v>1.7328228893814357E-2</v>
      </c>
    </row>
    <row r="143" spans="1:11">
      <c r="A143" s="52">
        <v>147.66999999999999</v>
      </c>
      <c r="B143" s="52">
        <v>148.94499999999999</v>
      </c>
      <c r="C143" s="52">
        <v>146.1</v>
      </c>
      <c r="D143" s="52">
        <v>148.88</v>
      </c>
      <c r="E143" s="52">
        <v>26049115</v>
      </c>
      <c r="F143" s="52" t="s">
        <v>2123</v>
      </c>
      <c r="G143" s="25">
        <f t="shared" si="0"/>
        <v>-8.1273508866201993E-3</v>
      </c>
    </row>
    <row r="144" spans="1:11">
      <c r="A144" s="52">
        <v>151.16</v>
      </c>
      <c r="B144" s="52">
        <v>154.68</v>
      </c>
      <c r="C144" s="52">
        <v>148.5</v>
      </c>
      <c r="D144" s="52">
        <v>154.29</v>
      </c>
      <c r="E144" s="52">
        <v>33046576</v>
      </c>
      <c r="F144" s="52" t="s">
        <v>2122</v>
      </c>
      <c r="G144" s="25">
        <f t="shared" si="0"/>
        <v>-2.0286473523883575E-2</v>
      </c>
    </row>
    <row r="145" spans="1:7">
      <c r="A145" s="52">
        <v>153.33000000000001</v>
      </c>
      <c r="B145" s="52">
        <v>155.88999999999999</v>
      </c>
      <c r="C145" s="52">
        <v>151.51</v>
      </c>
      <c r="D145" s="52">
        <v>153.1</v>
      </c>
      <c r="E145" s="52">
        <v>28187421</v>
      </c>
      <c r="F145" s="52" t="s">
        <v>2121</v>
      </c>
      <c r="G145" s="25">
        <f t="shared" si="0"/>
        <v>1.5022860875246735E-3</v>
      </c>
    </row>
    <row r="146" spans="1:7">
      <c r="A146" s="52">
        <v>156.31</v>
      </c>
      <c r="B146" s="52">
        <v>159.65</v>
      </c>
      <c r="C146" s="52">
        <v>155.21</v>
      </c>
      <c r="D146" s="52">
        <v>159.125</v>
      </c>
      <c r="E146" s="52">
        <v>27551534</v>
      </c>
      <c r="F146" s="52" t="s">
        <v>2120</v>
      </c>
      <c r="G146" s="25">
        <f t="shared" si="0"/>
        <v>-1.7690494893951247E-2</v>
      </c>
    </row>
    <row r="147" spans="1:7">
      <c r="A147" s="52">
        <v>159.07</v>
      </c>
      <c r="B147" s="52">
        <v>161.72</v>
      </c>
      <c r="C147" s="52">
        <v>157.56</v>
      </c>
      <c r="D147" s="52">
        <v>159.995</v>
      </c>
      <c r="E147" s="52">
        <v>30332957</v>
      </c>
      <c r="F147" s="52" t="s">
        <v>2119</v>
      </c>
      <c r="G147" s="25">
        <f t="shared" si="0"/>
        <v>-5.7814306697084872E-3</v>
      </c>
    </row>
    <row r="148" spans="1:7">
      <c r="A148" s="52">
        <v>157.13999999999999</v>
      </c>
      <c r="B148" s="52">
        <v>157.66999999999999</v>
      </c>
      <c r="C148" s="52">
        <v>152.82</v>
      </c>
      <c r="D148" s="52">
        <v>152.9</v>
      </c>
      <c r="E148" s="52">
        <v>33636239</v>
      </c>
      <c r="F148" s="52" t="s">
        <v>2118</v>
      </c>
      <c r="G148" s="25">
        <f t="shared" si="0"/>
        <v>2.773054283845644E-2</v>
      </c>
    </row>
    <row r="149" spans="1:7">
      <c r="A149" s="52">
        <v>152.82</v>
      </c>
      <c r="B149" s="52">
        <v>157.72</v>
      </c>
      <c r="C149" s="52">
        <v>149.93</v>
      </c>
      <c r="D149" s="52">
        <v>156.54</v>
      </c>
      <c r="E149" s="52">
        <v>48021972</v>
      </c>
      <c r="F149" s="52" t="s">
        <v>2117</v>
      </c>
      <c r="G149" s="25">
        <f t="shared" si="0"/>
        <v>-2.3763894212341929E-2</v>
      </c>
    </row>
    <row r="150" spans="1:7">
      <c r="A150" s="52">
        <v>158.71</v>
      </c>
      <c r="B150" s="52">
        <v>159.55000000000001</v>
      </c>
      <c r="C150" s="52">
        <v>143.905</v>
      </c>
      <c r="D150" s="52">
        <v>144.41499999999999</v>
      </c>
      <c r="E150" s="52">
        <v>70406232</v>
      </c>
      <c r="F150" s="52" t="s">
        <v>2116</v>
      </c>
      <c r="G150" s="25">
        <f t="shared" si="0"/>
        <v>9.8985562441574748E-2</v>
      </c>
    </row>
    <row r="151" spans="1:7">
      <c r="A151" s="52">
        <v>144.69999999999999</v>
      </c>
      <c r="B151" s="52">
        <v>152.24</v>
      </c>
      <c r="C151" s="52">
        <v>143.03</v>
      </c>
      <c r="D151" s="52">
        <v>151.22</v>
      </c>
      <c r="E151" s="52">
        <v>52200208</v>
      </c>
      <c r="F151" s="52" t="s">
        <v>2115</v>
      </c>
      <c r="G151" s="25">
        <f t="shared" si="0"/>
        <v>-4.3115989948419586E-2</v>
      </c>
    </row>
    <row r="152" spans="1:7">
      <c r="A152" s="52">
        <v>146.75</v>
      </c>
      <c r="B152" s="52">
        <v>152.85</v>
      </c>
      <c r="C152" s="52">
        <v>140.53</v>
      </c>
      <c r="D152" s="52">
        <v>141.55000000000001</v>
      </c>
      <c r="E152" s="52">
        <v>76794136</v>
      </c>
      <c r="F152" s="52" t="s">
        <v>2114</v>
      </c>
      <c r="G152" s="25">
        <f t="shared" si="0"/>
        <v>3.6736135641116219E-2</v>
      </c>
    </row>
    <row r="153" spans="1:7">
      <c r="A153" s="52">
        <v>145.6</v>
      </c>
      <c r="B153" s="52">
        <v>151.07</v>
      </c>
      <c r="C153" s="52">
        <v>145.38</v>
      </c>
      <c r="D153" s="52">
        <v>148.01</v>
      </c>
      <c r="E153" s="52">
        <v>62259539</v>
      </c>
      <c r="F153" s="52" t="s">
        <v>2113</v>
      </c>
      <c r="G153" s="25">
        <f t="shared" si="0"/>
        <v>-1.6282683602459325E-2</v>
      </c>
    </row>
    <row r="154" spans="1:7" ht="15" customHeight="1">
      <c r="A154" s="52">
        <v>150.72</v>
      </c>
      <c r="B154" s="52">
        <v>152.7799</v>
      </c>
      <c r="C154" s="52">
        <v>150.38999999999999</v>
      </c>
      <c r="D154" s="52">
        <v>151.11000000000001</v>
      </c>
      <c r="E154" s="52">
        <v>46883371</v>
      </c>
      <c r="F154" s="52" t="s">
        <v>2112</v>
      </c>
      <c r="G154" s="25">
        <f t="shared" si="0"/>
        <v>-2.5809013301569816E-3</v>
      </c>
    </row>
    <row r="155" spans="1:7">
      <c r="A155" s="52">
        <v>157.04</v>
      </c>
      <c r="B155" s="52">
        <v>158.40520000000001</v>
      </c>
      <c r="C155" s="52">
        <v>154.69999999999999</v>
      </c>
      <c r="D155" s="52">
        <v>155.15</v>
      </c>
      <c r="E155" s="52">
        <v>25041730</v>
      </c>
      <c r="F155" s="52" t="s">
        <v>2111</v>
      </c>
      <c r="G155" s="25">
        <f t="shared" si="0"/>
        <v>1.2181759587495788E-2</v>
      </c>
    </row>
    <row r="156" spans="1:7">
      <c r="A156" s="52">
        <v>157.07</v>
      </c>
      <c r="B156" s="52">
        <v>158.1</v>
      </c>
      <c r="C156" s="52">
        <v>153.62</v>
      </c>
      <c r="D156" s="52">
        <v>153.62</v>
      </c>
      <c r="E156" s="52">
        <v>30672899</v>
      </c>
      <c r="F156" s="52" t="s">
        <v>2110</v>
      </c>
      <c r="G156" s="25">
        <f t="shared" si="0"/>
        <v>2.2458013279520905E-2</v>
      </c>
    </row>
    <row r="157" spans="1:7">
      <c r="A157" s="52">
        <v>154.63999999999999</v>
      </c>
      <c r="B157" s="52">
        <v>155.54</v>
      </c>
      <c r="C157" s="52">
        <v>150.66200000000001</v>
      </c>
      <c r="D157" s="52">
        <v>153.11000000000001</v>
      </c>
      <c r="E157" s="52">
        <v>54603464</v>
      </c>
      <c r="F157" s="52" t="s">
        <v>2109</v>
      </c>
      <c r="G157" s="25">
        <f t="shared" si="0"/>
        <v>9.9928156227546694E-3</v>
      </c>
    </row>
    <row r="158" spans="1:7">
      <c r="A158" s="52">
        <v>154.33000000000001</v>
      </c>
      <c r="B158" s="52">
        <v>161.82</v>
      </c>
      <c r="C158" s="52">
        <v>153.63</v>
      </c>
      <c r="D158" s="52">
        <v>160.49</v>
      </c>
      <c r="E158" s="52">
        <v>48669335</v>
      </c>
      <c r="F158" s="52" t="s">
        <v>2108</v>
      </c>
      <c r="G158" s="25">
        <f t="shared" si="0"/>
        <v>-3.8382453735435251E-2</v>
      </c>
    </row>
    <row r="159" spans="1:7">
      <c r="A159" s="52">
        <v>162.24</v>
      </c>
      <c r="B159" s="52">
        <v>165.42</v>
      </c>
      <c r="C159" s="52">
        <v>162</v>
      </c>
      <c r="D159" s="52">
        <v>164.63</v>
      </c>
      <c r="E159" s="52">
        <v>24508273</v>
      </c>
      <c r="F159" s="52" t="s">
        <v>2107</v>
      </c>
      <c r="G159" s="25">
        <f t="shared" si="0"/>
        <v>-1.451740266051138E-2</v>
      </c>
    </row>
    <row r="160" spans="1:7">
      <c r="A160" s="52">
        <v>165.06</v>
      </c>
      <c r="B160" s="52">
        <v>169.61</v>
      </c>
      <c r="C160" s="52">
        <v>164.84</v>
      </c>
      <c r="D160" s="52">
        <v>169</v>
      </c>
      <c r="E160" s="52">
        <v>28939326</v>
      </c>
      <c r="F160" s="52" t="s">
        <v>2106</v>
      </c>
      <c r="G160" s="25">
        <f t="shared" si="0"/>
        <v>-2.3313609467455643E-2</v>
      </c>
    </row>
    <row r="161" spans="1:10">
      <c r="A161" s="52">
        <v>170.56</v>
      </c>
      <c r="B161" s="52">
        <v>170.63</v>
      </c>
      <c r="C161" s="52">
        <v>168.315</v>
      </c>
      <c r="D161" s="52">
        <v>168.98</v>
      </c>
      <c r="E161" s="52">
        <v>24174373</v>
      </c>
      <c r="F161" s="52" t="s">
        <v>2105</v>
      </c>
      <c r="G161" s="25">
        <f t="shared" si="0"/>
        <v>9.3502189608238861E-3</v>
      </c>
    </row>
    <row r="162" spans="1:10">
      <c r="A162" s="52">
        <v>167.68</v>
      </c>
      <c r="B162" s="52">
        <v>168.32</v>
      </c>
      <c r="C162" s="52">
        <v>165.14</v>
      </c>
      <c r="D162" s="52">
        <v>167.065</v>
      </c>
      <c r="E162" s="52">
        <v>30879129</v>
      </c>
      <c r="F162" s="52" t="s">
        <v>2104</v>
      </c>
      <c r="G162" s="25">
        <f t="shared" si="0"/>
        <v>3.6812019273935181E-3</v>
      </c>
    </row>
    <row r="163" spans="1:10">
      <c r="A163" s="52">
        <v>163.99</v>
      </c>
      <c r="B163" s="52">
        <v>164.24</v>
      </c>
      <c r="C163" s="52">
        <v>160.89009999999999</v>
      </c>
      <c r="D163" s="52">
        <v>161.20500000000001</v>
      </c>
      <c r="E163" s="52">
        <v>36625764</v>
      </c>
      <c r="F163" s="52" t="s">
        <v>2103</v>
      </c>
      <c r="G163" s="25">
        <f t="shared" si="0"/>
        <v>1.7276139077571973E-2</v>
      </c>
    </row>
    <row r="164" spans="1:10">
      <c r="A164" s="52">
        <v>162.80000000000001</v>
      </c>
      <c r="B164" s="52">
        <v>164.89</v>
      </c>
      <c r="C164" s="52">
        <v>160.96</v>
      </c>
      <c r="D164" s="52">
        <v>161.57</v>
      </c>
      <c r="E164" s="52">
        <v>28138464</v>
      </c>
      <c r="F164" s="52" t="s">
        <v>2102</v>
      </c>
      <c r="G164" s="25">
        <f t="shared" si="0"/>
        <v>7.6127994058303727E-3</v>
      </c>
    </row>
    <row r="165" spans="1:10">
      <c r="A165" s="52">
        <v>163.89</v>
      </c>
      <c r="B165" s="52">
        <v>165.87</v>
      </c>
      <c r="C165" s="52">
        <v>161</v>
      </c>
      <c r="D165" s="52">
        <v>161.76</v>
      </c>
      <c r="E165" s="52">
        <v>34275582</v>
      </c>
      <c r="F165" s="52" t="s">
        <v>2101</v>
      </c>
      <c r="G165" s="25">
        <f t="shared" si="0"/>
        <v>1.3167655786350041E-2</v>
      </c>
    </row>
    <row r="166" spans="1:10">
      <c r="A166" s="52">
        <v>160.66999999999999</v>
      </c>
      <c r="B166" s="52">
        <v>164.25</v>
      </c>
      <c r="C166" s="52">
        <v>156.72</v>
      </c>
      <c r="D166" s="52">
        <v>163.67500000000001</v>
      </c>
      <c r="E166" s="52">
        <v>42074751</v>
      </c>
      <c r="F166" s="52" t="s">
        <v>2100</v>
      </c>
      <c r="G166" s="25">
        <f t="shared" si="0"/>
        <v>-1.8359553994195976E-2</v>
      </c>
    </row>
    <row r="167" spans="1:10">
      <c r="A167" s="52">
        <v>164.29</v>
      </c>
      <c r="B167" s="52">
        <v>166.3</v>
      </c>
      <c r="C167" s="52">
        <v>163.66999999999999</v>
      </c>
      <c r="D167" s="52">
        <v>165.03</v>
      </c>
      <c r="E167" s="52">
        <v>31184335</v>
      </c>
      <c r="F167" s="52" t="s">
        <v>2099</v>
      </c>
      <c r="G167" s="25">
        <f t="shared" si="0"/>
        <v>-4.4840332060838151E-3</v>
      </c>
    </row>
    <row r="168" spans="1:10">
      <c r="A168" s="52">
        <v>165.49</v>
      </c>
      <c r="B168" s="52">
        <v>166.49</v>
      </c>
      <c r="C168" s="52">
        <v>162.44999999999999</v>
      </c>
      <c r="D168" s="52">
        <v>163.27000000000001</v>
      </c>
      <c r="E168" s="52">
        <v>31995894</v>
      </c>
      <c r="F168" s="52" t="s">
        <v>2098</v>
      </c>
      <c r="G168" s="25">
        <f t="shared" si="0"/>
        <v>1.3597109083113956E-2</v>
      </c>
    </row>
    <row r="169" spans="1:10">
      <c r="A169" s="52">
        <v>162.76</v>
      </c>
      <c r="B169" s="52">
        <v>166.13</v>
      </c>
      <c r="C169" s="52">
        <v>162.11000000000001</v>
      </c>
      <c r="D169" s="52">
        <v>166.035</v>
      </c>
      <c r="E169" s="52">
        <v>31756214</v>
      </c>
      <c r="F169" s="52" t="s">
        <v>2097</v>
      </c>
      <c r="G169" s="25">
        <f t="shared" si="0"/>
        <v>-1.9724756828379597E-2</v>
      </c>
    </row>
    <row r="170" spans="1:10">
      <c r="A170" s="52">
        <v>167.11</v>
      </c>
      <c r="B170" s="52">
        <v>167.63990000000001</v>
      </c>
      <c r="C170" s="52">
        <v>163.53</v>
      </c>
      <c r="D170" s="52">
        <v>166.58</v>
      </c>
      <c r="E170" s="52">
        <v>28372396</v>
      </c>
      <c r="F170" s="52" t="s">
        <v>2096</v>
      </c>
      <c r="G170" s="25">
        <f t="shared" si="0"/>
        <v>3.1816544603193719E-3</v>
      </c>
    </row>
    <row r="171" spans="1:10">
      <c r="A171" s="52">
        <v>164.04</v>
      </c>
      <c r="B171" s="52">
        <v>166.75</v>
      </c>
      <c r="C171" s="52">
        <v>161.37</v>
      </c>
      <c r="D171" s="52">
        <v>164.91</v>
      </c>
      <c r="E171" s="52">
        <v>39587414</v>
      </c>
      <c r="F171" s="52" t="s">
        <v>2095</v>
      </c>
      <c r="G171" s="25">
        <f t="shared" si="0"/>
        <v>-5.2756048753865858E-3</v>
      </c>
    </row>
    <row r="172" spans="1:10">
      <c r="A172" s="52">
        <v>165.87</v>
      </c>
      <c r="B172" s="52">
        <v>168.46</v>
      </c>
      <c r="C172" s="52">
        <v>163.69</v>
      </c>
      <c r="D172" s="52">
        <v>168.26</v>
      </c>
      <c r="E172" s="52">
        <v>43604027</v>
      </c>
      <c r="F172" s="52" t="s">
        <v>2094</v>
      </c>
      <c r="G172" s="25">
        <f t="shared" si="0"/>
        <v>-1.4204207773683475E-2</v>
      </c>
    </row>
    <row r="173" spans="1:10">
      <c r="A173" s="52">
        <v>173.66</v>
      </c>
      <c r="B173" s="52">
        <v>174.7687</v>
      </c>
      <c r="C173" s="52">
        <v>170.07409999999999</v>
      </c>
      <c r="D173" s="52">
        <v>171.06299999999999</v>
      </c>
      <c r="E173" s="52">
        <v>27385813</v>
      </c>
      <c r="F173" s="52" t="s">
        <v>2093</v>
      </c>
      <c r="G173" s="25">
        <f t="shared" si="0"/>
        <v>1.518154130349636E-2</v>
      </c>
    </row>
    <row r="174" spans="1:10">
      <c r="A174" s="52">
        <v>172.15170000000001</v>
      </c>
      <c r="B174" s="52">
        <v>174.60890000000001</v>
      </c>
      <c r="C174" s="52">
        <v>170.3039</v>
      </c>
      <c r="D174" s="52">
        <v>170.3338</v>
      </c>
      <c r="E174" s="52">
        <v>28301953</v>
      </c>
      <c r="F174" s="52" t="s">
        <v>2092</v>
      </c>
      <c r="G174" s="25">
        <f t="shared" si="0"/>
        <v>1.0672573499798776E-2</v>
      </c>
      <c r="I174" s="1" t="s">
        <v>14</v>
      </c>
      <c r="J174" s="1" t="s">
        <v>15</v>
      </c>
    </row>
    <row r="175" spans="1:10">
      <c r="A175" s="52">
        <v>172.821</v>
      </c>
      <c r="B175" s="52">
        <v>173.58009999999999</v>
      </c>
      <c r="C175" s="52">
        <v>168.8655</v>
      </c>
      <c r="D175" s="52">
        <v>170.32380000000001</v>
      </c>
      <c r="E175" s="52">
        <v>30954922</v>
      </c>
      <c r="F175" s="52" t="s">
        <v>2091</v>
      </c>
      <c r="G175" s="25">
        <f t="shared" si="0"/>
        <v>1.4661485946180219E-2</v>
      </c>
      <c r="J175" s="1" t="s">
        <v>16</v>
      </c>
    </row>
    <row r="176" spans="1:10">
      <c r="A176" s="52">
        <v>170.7234</v>
      </c>
      <c r="B176" s="52">
        <v>173.09530000000001</v>
      </c>
      <c r="C176" s="52">
        <v>165.60929999999999</v>
      </c>
      <c r="D176" s="52">
        <v>166.0488</v>
      </c>
      <c r="E176" s="52">
        <v>45387996</v>
      </c>
      <c r="F176" s="52" t="s">
        <v>2090</v>
      </c>
      <c r="G176" s="25">
        <f t="shared" si="0"/>
        <v>2.8151964964516552E-2</v>
      </c>
      <c r="J176" s="1" t="s">
        <v>17</v>
      </c>
    </row>
    <row r="177" spans="1:32">
      <c r="A177" s="52">
        <v>166.81790000000001</v>
      </c>
      <c r="B177" s="52">
        <v>173.17060000000001</v>
      </c>
      <c r="C177" s="52">
        <v>165.73910000000001</v>
      </c>
      <c r="D177" s="52">
        <v>171.72720000000001</v>
      </c>
      <c r="E177" s="52">
        <v>40770451</v>
      </c>
      <c r="F177" s="52" t="s">
        <v>2089</v>
      </c>
      <c r="G177" s="25">
        <f t="shared" si="0"/>
        <v>-2.858778341462509E-2</v>
      </c>
    </row>
    <row r="178" spans="1:32" ht="15" customHeight="1">
      <c r="A178" s="52">
        <v>170.08410000000001</v>
      </c>
      <c r="B178" s="52">
        <v>170.41370000000001</v>
      </c>
      <c r="C178" s="52">
        <v>166.57820000000001</v>
      </c>
      <c r="D178" s="52">
        <v>168.48599999999999</v>
      </c>
      <c r="E178" s="52">
        <v>48130565</v>
      </c>
      <c r="F178" s="52" t="s">
        <v>2088</v>
      </c>
      <c r="G178" s="25">
        <f t="shared" si="0"/>
        <v>9.4850610733236973E-3</v>
      </c>
    </row>
    <row r="179" spans="1:32" ht="15">
      <c r="A179" s="52">
        <v>168.30619999999999</v>
      </c>
      <c r="B179" s="52">
        <v>174.35919999999999</v>
      </c>
      <c r="C179" s="52">
        <v>167.74680000000001</v>
      </c>
      <c r="D179" s="52">
        <v>173.78989999999999</v>
      </c>
      <c r="E179" s="52">
        <v>39991015</v>
      </c>
      <c r="F179" s="52" t="s">
        <v>2087</v>
      </c>
      <c r="G179" s="25">
        <f t="shared" si="0"/>
        <v>-3.1553617327589212E-2</v>
      </c>
      <c r="AF179" s="2" t="s">
        <v>84</v>
      </c>
    </row>
    <row r="180" spans="1:32">
      <c r="A180" s="52">
        <v>172.53129999999999</v>
      </c>
      <c r="B180" s="52">
        <v>175.87739999999999</v>
      </c>
      <c r="C180" s="52">
        <v>171.38329999999999</v>
      </c>
      <c r="D180" s="52">
        <v>174.86859999999999</v>
      </c>
      <c r="E180" s="52">
        <v>35431268</v>
      </c>
      <c r="F180" s="52" t="s">
        <v>2086</v>
      </c>
      <c r="G180" s="25">
        <f t="shared" si="0"/>
        <v>-1.3366035983589986E-2</v>
      </c>
      <c r="I180" s="26"/>
      <c r="J180" s="26" t="s">
        <v>26</v>
      </c>
      <c r="K180" s="27">
        <f>MIN(G122:G1881)</f>
        <v>-7.740126767430533E-2</v>
      </c>
    </row>
    <row r="181" spans="1:32">
      <c r="A181" s="52">
        <v>175.2182</v>
      </c>
      <c r="B181" s="52">
        <v>178.53440000000001</v>
      </c>
      <c r="C181" s="52">
        <v>174.49289999999999</v>
      </c>
      <c r="D181" s="52">
        <v>177.83519999999999</v>
      </c>
      <c r="E181" s="52">
        <v>41913411</v>
      </c>
      <c r="F181" s="52" t="s">
        <v>2085</v>
      </c>
      <c r="G181" s="25">
        <f t="shared" si="0"/>
        <v>-1.4715871773417155E-2</v>
      </c>
      <c r="I181" s="26"/>
      <c r="J181" s="26" t="s">
        <v>27</v>
      </c>
      <c r="K181" s="27">
        <f>MAX(G122:G1881)</f>
        <v>9.8985562441574748E-2</v>
      </c>
    </row>
    <row r="182" spans="1:32">
      <c r="A182" s="52">
        <v>179.0438</v>
      </c>
      <c r="B182" s="52">
        <v>182.9093</v>
      </c>
      <c r="C182" s="52">
        <v>178.67920000000001</v>
      </c>
      <c r="D182" s="52">
        <v>181.78059999999999</v>
      </c>
      <c r="E182" s="52">
        <v>29854206</v>
      </c>
      <c r="F182" s="52" t="s">
        <v>2084</v>
      </c>
      <c r="G182" s="25">
        <f t="shared" si="0"/>
        <v>-1.5055511974324975E-2</v>
      </c>
      <c r="I182" s="26"/>
      <c r="J182" s="26" t="s">
        <v>28</v>
      </c>
      <c r="K182" s="27">
        <f>AVERAGE(G122:G1881)</f>
        <v>6.6088506481735965E-4</v>
      </c>
    </row>
    <row r="183" spans="1:32">
      <c r="A183" s="52">
        <v>179.45330000000001</v>
      </c>
      <c r="B183" s="52">
        <v>185.1268</v>
      </c>
      <c r="C183" s="52">
        <v>178.874</v>
      </c>
      <c r="D183" s="52">
        <v>184.93700000000001</v>
      </c>
      <c r="E183" s="52">
        <v>35199239</v>
      </c>
      <c r="F183" s="52" t="s">
        <v>2083</v>
      </c>
      <c r="G183" s="25">
        <f t="shared" si="0"/>
        <v>-2.9651719234117579E-2</v>
      </c>
      <c r="I183" s="26"/>
      <c r="J183" s="26" t="s">
        <v>29</v>
      </c>
      <c r="K183" s="27">
        <f>MEDIAN(G122:G1881)</f>
        <v>8.4709961200335471E-4</v>
      </c>
    </row>
    <row r="184" spans="1:32" ht="15">
      <c r="A184" s="52">
        <v>184.3477</v>
      </c>
      <c r="B184" s="52">
        <v>185.0968</v>
      </c>
      <c r="C184" s="52">
        <v>182.50980000000001</v>
      </c>
      <c r="D184" s="52">
        <v>184.5874</v>
      </c>
      <c r="E184" s="52">
        <v>20441462</v>
      </c>
      <c r="F184" s="52" t="s">
        <v>2082</v>
      </c>
      <c r="G184" s="25">
        <f t="shared" si="0"/>
        <v>-1.2985718418483394E-3</v>
      </c>
      <c r="I184" s="26"/>
      <c r="J184" s="26" t="s">
        <v>30</v>
      </c>
      <c r="K184" s="27">
        <f>_xlfn.STDEV.P(G122:G1881)</f>
        <v>1.4922733048697368E-2</v>
      </c>
      <c r="M184" s="2"/>
    </row>
    <row r="185" spans="1:32" ht="15">
      <c r="A185" s="52">
        <v>185.05690000000001</v>
      </c>
      <c r="B185" s="52">
        <v>185.2467</v>
      </c>
      <c r="C185" s="52">
        <v>183.37880000000001</v>
      </c>
      <c r="D185" s="52">
        <v>183.85830000000001</v>
      </c>
      <c r="E185" s="52">
        <v>19549396</v>
      </c>
      <c r="F185" s="52" t="s">
        <v>2081</v>
      </c>
      <c r="G185" s="25">
        <f t="shared" si="0"/>
        <v>6.5191508895710015E-3</v>
      </c>
      <c r="I185" s="26"/>
      <c r="J185" s="28" t="s">
        <v>31</v>
      </c>
      <c r="K185" s="27">
        <f>3*K184</f>
        <v>4.4768199146092105E-2</v>
      </c>
      <c r="L185" s="26"/>
      <c r="M185" s="2" t="s">
        <v>95</v>
      </c>
    </row>
    <row r="186" spans="1:32" ht="15">
      <c r="A186" s="52">
        <v>183.55860000000001</v>
      </c>
      <c r="B186" s="52">
        <v>185.74610000000001</v>
      </c>
      <c r="C186" s="52">
        <v>181.53100000000001</v>
      </c>
      <c r="D186" s="52">
        <v>185.38650000000001</v>
      </c>
      <c r="E186" s="52">
        <v>29916675</v>
      </c>
      <c r="F186" s="52" t="s">
        <v>2080</v>
      </c>
      <c r="G186" s="25">
        <f t="shared" si="0"/>
        <v>-9.8599412578586065E-3</v>
      </c>
      <c r="I186" s="26"/>
      <c r="J186" s="28" t="s">
        <v>32</v>
      </c>
      <c r="K186" s="26">
        <v>1.01</v>
      </c>
      <c r="L186" s="26"/>
      <c r="M186" s="2" t="s">
        <v>33</v>
      </c>
    </row>
    <row r="187" spans="1:32" ht="15" customHeight="1">
      <c r="A187" s="52">
        <v>185.01689999999999</v>
      </c>
      <c r="B187" s="52">
        <v>186.18559999999999</v>
      </c>
      <c r="C187" s="52">
        <v>184.108</v>
      </c>
      <c r="D187" s="52">
        <v>184.84209999999999</v>
      </c>
      <c r="E187" s="52">
        <v>20448437</v>
      </c>
      <c r="F187" s="52" t="s">
        <v>2079</v>
      </c>
      <c r="G187" s="25">
        <f t="shared" ref="G187:G250" si="1">A187/D187-1</f>
        <v>9.4567200870376844E-4</v>
      </c>
    </row>
    <row r="188" spans="1:32">
      <c r="A188" s="52">
        <v>185.92590000000001</v>
      </c>
      <c r="B188" s="52">
        <v>186.06569999999999</v>
      </c>
      <c r="C188" s="52">
        <v>182.92930000000001</v>
      </c>
      <c r="D188" s="52">
        <v>184.108</v>
      </c>
      <c r="E188" s="52">
        <v>21402523</v>
      </c>
      <c r="F188" s="52" t="s">
        <v>2078</v>
      </c>
      <c r="G188" s="25">
        <f t="shared" si="1"/>
        <v>9.8740956395160229E-3</v>
      </c>
    </row>
    <row r="189" spans="1:32">
      <c r="A189" s="52">
        <v>183.39879999999999</v>
      </c>
      <c r="B189" s="52">
        <v>184.89709999999999</v>
      </c>
      <c r="C189" s="52">
        <v>181.6208</v>
      </c>
      <c r="D189" s="52">
        <v>183.00919999999999</v>
      </c>
      <c r="E189" s="52">
        <v>22072559</v>
      </c>
      <c r="F189" s="52" t="s">
        <v>2077</v>
      </c>
      <c r="G189" s="25">
        <f t="shared" si="1"/>
        <v>2.1288547242432898E-3</v>
      </c>
      <c r="I189" s="29" t="s">
        <v>34</v>
      </c>
      <c r="J189" s="30">
        <v>1760</v>
      </c>
    </row>
    <row r="190" spans="1:32" ht="15" thickBot="1">
      <c r="A190" s="52">
        <v>185.10679999999999</v>
      </c>
      <c r="B190" s="52">
        <v>186.72499999999999</v>
      </c>
      <c r="C190" s="52">
        <v>184.06800000000001</v>
      </c>
      <c r="D190" s="52">
        <v>184.81720000000001</v>
      </c>
      <c r="E190" s="52">
        <v>21239519</v>
      </c>
      <c r="F190" s="52" t="s">
        <v>2076</v>
      </c>
      <c r="G190" s="25">
        <f t="shared" si="1"/>
        <v>1.5669537250859733E-3</v>
      </c>
      <c r="I190" s="1" t="s">
        <v>35</v>
      </c>
      <c r="L190" s="1" t="s">
        <v>36</v>
      </c>
      <c r="P190" s="1" t="s">
        <v>37</v>
      </c>
    </row>
    <row r="191" spans="1:32" ht="15" customHeight="1">
      <c r="A191" s="52">
        <v>186.25550000000001</v>
      </c>
      <c r="B191" s="52">
        <v>187.98349999999999</v>
      </c>
      <c r="C191" s="52">
        <v>185.64619999999999</v>
      </c>
      <c r="D191" s="52">
        <v>187.1345</v>
      </c>
      <c r="E191" s="52">
        <v>23105649</v>
      </c>
      <c r="F191" s="52" t="s">
        <v>2075</v>
      </c>
      <c r="G191" s="25">
        <f t="shared" si="1"/>
        <v>-4.6971563233930702E-3</v>
      </c>
      <c r="I191" s="60" t="s">
        <v>38</v>
      </c>
      <c r="J191" s="60" t="s">
        <v>39</v>
      </c>
      <c r="L191" s="31" t="s">
        <v>40</v>
      </c>
      <c r="M191" s="32" t="s">
        <v>41</v>
      </c>
      <c r="P191" s="31" t="s">
        <v>42</v>
      </c>
      <c r="Q191" s="32" t="s">
        <v>43</v>
      </c>
    </row>
    <row r="192" spans="1:32" ht="15">
      <c r="A192" s="52">
        <v>185.1268</v>
      </c>
      <c r="B192" s="52">
        <v>190.96010000000001</v>
      </c>
      <c r="C192" s="52">
        <v>183.0292</v>
      </c>
      <c r="D192" s="52">
        <v>190.83019999999999</v>
      </c>
      <c r="E192" s="52">
        <v>49314961</v>
      </c>
      <c r="F192" s="52" t="s">
        <v>2074</v>
      </c>
      <c r="G192" s="25">
        <f t="shared" si="1"/>
        <v>-2.9887302953096495E-2</v>
      </c>
      <c r="I192" s="57">
        <v>-0.05</v>
      </c>
      <c r="J192" s="58">
        <v>1</v>
      </c>
      <c r="L192" s="57">
        <v>-5.0999999999999997E-2</v>
      </c>
      <c r="M192" s="1">
        <f>_xlfn.NORM.DIST(L192,$K$182,$K$184,FALSE)</f>
        <v>6.6775706457171152E-2</v>
      </c>
      <c r="O192" s="1" t="s">
        <v>86</v>
      </c>
      <c r="P192" s="25">
        <f>K182</f>
        <v>6.6088506481735965E-4</v>
      </c>
      <c r="Q192" s="1">
        <v>0</v>
      </c>
    </row>
    <row r="193" spans="1:17" ht="15">
      <c r="A193" s="52">
        <v>191.37960000000001</v>
      </c>
      <c r="B193" s="52">
        <v>191.87899999999999</v>
      </c>
      <c r="C193" s="52">
        <v>188.50290000000001</v>
      </c>
      <c r="D193" s="52">
        <v>189.28200000000001</v>
      </c>
      <c r="E193" s="52">
        <v>29297442</v>
      </c>
      <c r="F193" s="52" t="s">
        <v>2073</v>
      </c>
      <c r="G193" s="25">
        <f t="shared" si="1"/>
        <v>1.1081877833074349E-2</v>
      </c>
      <c r="I193" s="57">
        <v>-4.7500000000000001E-2</v>
      </c>
      <c r="J193" s="58">
        <v>2</v>
      </c>
      <c r="L193" s="57">
        <v>-0.05</v>
      </c>
      <c r="M193" s="1">
        <f>_xlfn.NORM.DIST(L193,$K$182,$K$184,FALSE)</f>
        <v>8.4022264795402812E-2</v>
      </c>
      <c r="P193" s="25">
        <f>K182</f>
        <v>6.6088506481735965E-4</v>
      </c>
      <c r="Q193" s="1">
        <v>30</v>
      </c>
    </row>
    <row r="194" spans="1:17" ht="15">
      <c r="A194" s="52">
        <v>191.10990000000001</v>
      </c>
      <c r="B194" s="52">
        <v>192.5283</v>
      </c>
      <c r="C194" s="52">
        <v>187.81370000000001</v>
      </c>
      <c r="D194" s="52">
        <v>190.8502</v>
      </c>
      <c r="E194" s="52">
        <v>70461770</v>
      </c>
      <c r="F194" s="52" t="s">
        <v>2072</v>
      </c>
      <c r="G194" s="25">
        <f t="shared" si="1"/>
        <v>1.3607530932637779E-3</v>
      </c>
      <c r="I194" s="57">
        <v>-4.4999999999999998E-2</v>
      </c>
      <c r="J194" s="58">
        <v>2</v>
      </c>
      <c r="L194" s="57">
        <v>-4.7500000000000001E-2</v>
      </c>
      <c r="M194" s="1">
        <f>_xlfn.NORM.DIST(L194,$K$182,$K$184,FALSE)</f>
        <v>0.146319370465953</v>
      </c>
      <c r="O194" s="39" t="s">
        <v>87</v>
      </c>
      <c r="P194" s="25">
        <f>($K$184*-3)+$K$182</f>
        <v>-4.4107314081274746E-2</v>
      </c>
      <c r="Q194" s="1">
        <v>0</v>
      </c>
    </row>
    <row r="195" spans="1:17" ht="15">
      <c r="A195" s="52">
        <v>206.14259999999999</v>
      </c>
      <c r="B195" s="52">
        <v>206.81180000000001</v>
      </c>
      <c r="C195" s="52">
        <v>202.57669999999999</v>
      </c>
      <c r="D195" s="52">
        <v>203.15600000000001</v>
      </c>
      <c r="E195" s="52">
        <v>43856425</v>
      </c>
      <c r="F195" s="52" t="s">
        <v>2071</v>
      </c>
      <c r="G195" s="25">
        <f t="shared" si="1"/>
        <v>1.4701017936954663E-2</v>
      </c>
      <c r="I195" s="57">
        <v>-4.2500000000000003E-2</v>
      </c>
      <c r="J195" s="58">
        <v>4</v>
      </c>
      <c r="L195" s="57">
        <v>-4.4999999999999998E-2</v>
      </c>
      <c r="M195" s="1">
        <f>_xlfn.NORM.DIST(L195,$K$182,$K$184,FALSE)</f>
        <v>0.24775377353314157</v>
      </c>
      <c r="O195" s="40"/>
      <c r="P195" s="25">
        <f>($K$184*-3)+$K$182</f>
        <v>-4.4107314081274746E-2</v>
      </c>
      <c r="Q195" s="1">
        <v>5</v>
      </c>
    </row>
    <row r="196" spans="1:17" ht="15">
      <c r="A196" s="52">
        <v>200.99850000000001</v>
      </c>
      <c r="B196" s="52">
        <v>203.51560000000001</v>
      </c>
      <c r="C196" s="52">
        <v>199.8698</v>
      </c>
      <c r="D196" s="52">
        <v>200.45910000000001</v>
      </c>
      <c r="E196" s="52">
        <v>27838348</v>
      </c>
      <c r="F196" s="52" t="s">
        <v>2070</v>
      </c>
      <c r="G196" s="25">
        <f t="shared" si="1"/>
        <v>2.6908232153093348E-3</v>
      </c>
      <c r="I196" s="57">
        <v>-0.04</v>
      </c>
      <c r="J196" s="58">
        <v>2</v>
      </c>
      <c r="L196" s="57">
        <v>-4.2500000000000003E-2</v>
      </c>
      <c r="M196" s="1">
        <f>_xlfn.NORM.DIST(L196,$K$182,$K$184,FALSE)</f>
        <v>0.40789628100104386</v>
      </c>
      <c r="O196" s="39" t="s">
        <v>88</v>
      </c>
      <c r="P196" s="25">
        <f>($K$184*-2)+$K$182</f>
        <v>-2.9184581032577376E-2</v>
      </c>
      <c r="Q196" s="1">
        <v>0</v>
      </c>
    </row>
    <row r="197" spans="1:17" ht="15">
      <c r="A197" s="52">
        <v>203.78530000000001</v>
      </c>
      <c r="B197" s="52">
        <v>205.24359999999999</v>
      </c>
      <c r="C197" s="52">
        <v>201.56790000000001</v>
      </c>
      <c r="D197" s="52">
        <v>201.76759999999999</v>
      </c>
      <c r="E197" s="52">
        <v>32041952</v>
      </c>
      <c r="F197" s="52" t="s">
        <v>2069</v>
      </c>
      <c r="G197" s="25">
        <f t="shared" si="1"/>
        <v>1.0000118948731318E-2</v>
      </c>
      <c r="I197" s="57">
        <v>-3.7499999999999999E-2</v>
      </c>
      <c r="J197" s="58">
        <v>6</v>
      </c>
      <c r="L197" s="57">
        <v>-0.04</v>
      </c>
      <c r="M197" s="1">
        <f>_xlfn.NORM.DIST(L197,$K$182,$K$184,FALSE)</f>
        <v>0.65296548724252568</v>
      </c>
      <c r="O197" s="40"/>
      <c r="P197" s="25">
        <f>($K$184*-2)+$K$182</f>
        <v>-2.9184581032577376E-2</v>
      </c>
      <c r="Q197" s="1">
        <v>10</v>
      </c>
    </row>
    <row r="198" spans="1:17" ht="15">
      <c r="A198" s="52">
        <v>200.63890000000001</v>
      </c>
      <c r="B198" s="52">
        <v>201.16829999999999</v>
      </c>
      <c r="C198" s="52">
        <v>197.4426</v>
      </c>
      <c r="D198" s="52">
        <v>197.7722</v>
      </c>
      <c r="E198" s="52">
        <v>24354684</v>
      </c>
      <c r="F198" s="52" t="s">
        <v>2068</v>
      </c>
      <c r="G198" s="25">
        <f t="shared" si="1"/>
        <v>1.4494959352224557E-2</v>
      </c>
      <c r="I198" s="57">
        <v>-3.5000000000000003E-2</v>
      </c>
      <c r="J198" s="58">
        <v>4</v>
      </c>
      <c r="L198" s="57">
        <v>-3.7499999999999999E-2</v>
      </c>
      <c r="M198" s="1">
        <f>_xlfn.NORM.DIST(L198,$K$182,$K$184,FALSE)</f>
        <v>1.0163463274624231</v>
      </c>
      <c r="O198" s="41" t="s">
        <v>89</v>
      </c>
      <c r="P198" s="25">
        <f>($K$184*-1)+$K$182</f>
        <v>-1.4261847983880008E-2</v>
      </c>
      <c r="Q198" s="1">
        <v>0</v>
      </c>
    </row>
    <row r="199" spans="1:17" ht="15">
      <c r="A199" s="52">
        <v>195.18520000000001</v>
      </c>
      <c r="B199" s="52">
        <v>196.55860000000001</v>
      </c>
      <c r="C199" s="52">
        <v>193.20750000000001</v>
      </c>
      <c r="D199" s="52">
        <v>195.33</v>
      </c>
      <c r="E199" s="52">
        <v>18218256</v>
      </c>
      <c r="F199" s="52" t="s">
        <v>2067</v>
      </c>
      <c r="G199" s="25">
        <f t="shared" si="1"/>
        <v>-7.4130957866180847E-4</v>
      </c>
      <c r="I199" s="57">
        <v>-3.2500000000000001E-2</v>
      </c>
      <c r="J199" s="58">
        <v>9</v>
      </c>
      <c r="L199" s="57">
        <v>-3.5000000000000003E-2</v>
      </c>
      <c r="M199" s="1">
        <f>_xlfn.NORM.DIST(L199,$K$182,$K$184,FALSE)</f>
        <v>1.5381696255550978</v>
      </c>
      <c r="P199" s="25">
        <f>($K$184*-1)+$K$182</f>
        <v>-1.4261847983880008E-2</v>
      </c>
      <c r="Q199" s="1">
        <v>20</v>
      </c>
    </row>
    <row r="200" spans="1:17" ht="15">
      <c r="A200" s="52">
        <v>195.0753</v>
      </c>
      <c r="B200" s="52">
        <v>195.2551</v>
      </c>
      <c r="C200" s="52">
        <v>190.4607</v>
      </c>
      <c r="D200" s="52">
        <v>192.52330000000001</v>
      </c>
      <c r="E200" s="52">
        <v>24157929</v>
      </c>
      <c r="F200" s="52" t="s">
        <v>2066</v>
      </c>
      <c r="G200" s="25">
        <f t="shared" si="1"/>
        <v>1.3255538420544388E-2</v>
      </c>
      <c r="I200" s="57">
        <v>-0.03</v>
      </c>
      <c r="J200" s="58">
        <v>14</v>
      </c>
      <c r="L200" s="57">
        <v>-3.2500000000000001E-2</v>
      </c>
      <c r="M200" s="1">
        <f>_xlfn.NORM.DIST(L200,$K$182,$K$184,FALSE)</f>
        <v>2.2634856920355482</v>
      </c>
      <c r="O200" s="1" t="s">
        <v>90</v>
      </c>
      <c r="P200" s="25">
        <f>($K$184*1)+$K$182</f>
        <v>1.5583618113514728E-2</v>
      </c>
      <c r="Q200" s="1">
        <v>0</v>
      </c>
    </row>
    <row r="201" spans="1:17" ht="15">
      <c r="A201" s="52">
        <v>191.58940000000001</v>
      </c>
      <c r="B201" s="52">
        <v>196.65350000000001</v>
      </c>
      <c r="C201" s="52">
        <v>190.51060000000001</v>
      </c>
      <c r="D201" s="52">
        <v>192.18870000000001</v>
      </c>
      <c r="E201" s="52">
        <v>41728893</v>
      </c>
      <c r="F201" s="52" t="s">
        <v>2065</v>
      </c>
      <c r="G201" s="25">
        <f t="shared" si="1"/>
        <v>-3.1182894727941335E-3</v>
      </c>
      <c r="I201" s="57">
        <v>-2.75E-2</v>
      </c>
      <c r="J201" s="58">
        <v>16</v>
      </c>
      <c r="L201" s="57">
        <v>-0.03</v>
      </c>
      <c r="M201" s="1">
        <f>_xlfn.NORM.DIST(L201,$K$182,$K$184,FALSE)</f>
        <v>3.2386371240228002</v>
      </c>
      <c r="P201" s="25">
        <f>($K$184*1)+$K$182</f>
        <v>1.5583618113514728E-2</v>
      </c>
      <c r="Q201" s="1">
        <v>20</v>
      </c>
    </row>
    <row r="202" spans="1:17" ht="15">
      <c r="A202" s="52">
        <v>199.97970000000001</v>
      </c>
      <c r="B202" s="52">
        <v>200.66890000000001</v>
      </c>
      <c r="C202" s="52">
        <v>197.7722</v>
      </c>
      <c r="D202" s="52">
        <v>197.87209999999999</v>
      </c>
      <c r="E202" s="52">
        <v>23877521</v>
      </c>
      <c r="F202" s="52" t="s">
        <v>2064</v>
      </c>
      <c r="G202" s="25">
        <f t="shared" si="1"/>
        <v>1.0651324769889392E-2</v>
      </c>
      <c r="I202" s="57">
        <v>-2.5000000000000001E-2</v>
      </c>
      <c r="J202" s="58">
        <v>13</v>
      </c>
      <c r="L202" s="57">
        <v>-2.75E-2</v>
      </c>
      <c r="M202" s="1">
        <f>_xlfn.NORM.DIST(L202,$K$182,$K$184,FALSE)</f>
        <v>4.5056540169286459</v>
      </c>
      <c r="O202" s="42" t="s">
        <v>91</v>
      </c>
      <c r="P202" s="25">
        <f>($K$184*2)+$K$182</f>
        <v>3.0506351162212095E-2</v>
      </c>
      <c r="Q202" s="1">
        <v>0</v>
      </c>
    </row>
    <row r="203" spans="1:17" ht="15">
      <c r="A203" s="52">
        <v>197.75229999999999</v>
      </c>
      <c r="B203" s="52">
        <v>200.06960000000001</v>
      </c>
      <c r="C203" s="52">
        <v>194.97550000000001</v>
      </c>
      <c r="D203" s="52">
        <v>197.91210000000001</v>
      </c>
      <c r="E203" s="52">
        <v>26951357</v>
      </c>
      <c r="F203" s="52" t="s">
        <v>2063</v>
      </c>
      <c r="G203" s="25">
        <f t="shared" si="1"/>
        <v>-8.0742915668130522E-4</v>
      </c>
      <c r="I203" s="57">
        <v>-2.2499999999999999E-2</v>
      </c>
      <c r="J203" s="58">
        <v>25</v>
      </c>
      <c r="L203" s="57">
        <v>-2.5000000000000001E-2</v>
      </c>
      <c r="M203" s="1">
        <f>_xlfn.NORM.DIST(L203,$K$182,$K$184,FALSE)</f>
        <v>6.0948693915198593</v>
      </c>
      <c r="P203" s="25">
        <f>($K$184*2)+$K$182</f>
        <v>3.0506351162212095E-2</v>
      </c>
      <c r="Q203" s="1">
        <v>10</v>
      </c>
    </row>
    <row r="204" spans="1:17" ht="15">
      <c r="A204" s="52">
        <v>198.14179999999999</v>
      </c>
      <c r="B204" s="52">
        <v>200.24940000000001</v>
      </c>
      <c r="C204" s="52">
        <v>197.30279999999999</v>
      </c>
      <c r="D204" s="52">
        <v>198.83099999999999</v>
      </c>
      <c r="E204" s="52">
        <v>26200617</v>
      </c>
      <c r="F204" s="52" t="s">
        <v>2062</v>
      </c>
      <c r="G204" s="25">
        <f t="shared" si="1"/>
        <v>-3.4662602914032892E-3</v>
      </c>
      <c r="I204" s="57">
        <v>-0.02</v>
      </c>
      <c r="J204" s="58">
        <v>27</v>
      </c>
      <c r="L204" s="57">
        <v>-2.2499999999999999E-2</v>
      </c>
      <c r="M204" s="1">
        <f>_xlfn.NORM.DIST(L204,$K$182,$K$184,FALSE)</f>
        <v>8.0164480190311611</v>
      </c>
      <c r="O204" s="42" t="s">
        <v>92</v>
      </c>
      <c r="P204" s="25">
        <f>($K$184*3)+$K$182</f>
        <v>4.5429084210909465E-2</v>
      </c>
      <c r="Q204" s="1">
        <v>0</v>
      </c>
    </row>
    <row r="205" spans="1:17" ht="15">
      <c r="A205" s="52">
        <v>197.82220000000001</v>
      </c>
      <c r="B205" s="52">
        <v>202.0573</v>
      </c>
      <c r="C205" s="52">
        <v>197.64240000000001</v>
      </c>
      <c r="D205" s="52">
        <v>198.84100000000001</v>
      </c>
      <c r="E205" s="52">
        <v>29971292</v>
      </c>
      <c r="F205" s="52" t="s">
        <v>2061</v>
      </c>
      <c r="G205" s="25">
        <f t="shared" si="1"/>
        <v>-5.1236917939458948E-3</v>
      </c>
      <c r="I205" s="57">
        <v>-1.7500000000000002E-2</v>
      </c>
      <c r="J205" s="58">
        <v>39</v>
      </c>
      <c r="L205" s="57">
        <v>-0.02</v>
      </c>
      <c r="M205" s="1">
        <f>_xlfn.NORM.DIST(L205,$K$182,$K$184,FALSE)</f>
        <v>10.252046607820898</v>
      </c>
      <c r="P205" s="25">
        <f>($K$184*3)+$K$182</f>
        <v>4.5429084210909465E-2</v>
      </c>
      <c r="Q205" s="1">
        <v>5</v>
      </c>
    </row>
    <row r="206" spans="1:17" ht="15">
      <c r="A206" s="52">
        <v>195.77449999999999</v>
      </c>
      <c r="B206" s="52">
        <v>197.00309999999999</v>
      </c>
      <c r="C206" s="52">
        <v>193.52709999999999</v>
      </c>
      <c r="D206" s="52">
        <v>196.3039</v>
      </c>
      <c r="E206" s="52">
        <v>27735089</v>
      </c>
      <c r="F206" s="52" t="s">
        <v>2060</v>
      </c>
      <c r="G206" s="25">
        <f t="shared" si="1"/>
        <v>-2.6968389318806629E-3</v>
      </c>
      <c r="I206" s="57">
        <v>-1.4999999999999999E-2</v>
      </c>
      <c r="J206" s="58">
        <v>57</v>
      </c>
      <c r="L206" s="57">
        <v>-1.7500000000000002E-2</v>
      </c>
      <c r="M206" s="1">
        <f>_xlfn.NORM.DIST(L206,$K$182,$K$184,FALSE)</f>
        <v>12.748238407029527</v>
      </c>
    </row>
    <row r="207" spans="1:17" ht="15">
      <c r="A207" s="52">
        <v>192.68809999999999</v>
      </c>
      <c r="B207" s="52">
        <v>195.2551</v>
      </c>
      <c r="C207" s="52">
        <v>192.5882</v>
      </c>
      <c r="D207" s="52">
        <v>193.91669999999999</v>
      </c>
      <c r="E207" s="52">
        <v>17815432</v>
      </c>
      <c r="F207" s="52" t="s">
        <v>2059</v>
      </c>
      <c r="G207" s="25">
        <f t="shared" si="1"/>
        <v>-6.3357101270803406E-3</v>
      </c>
      <c r="I207" s="57">
        <v>-1.2500000000000001E-2</v>
      </c>
      <c r="J207" s="58">
        <v>57</v>
      </c>
      <c r="L207" s="57">
        <v>-1.4999999999999999E-2</v>
      </c>
      <c r="M207" s="1">
        <f>_xlfn.NORM.DIST(L207,$K$182,$K$184,FALSE)</f>
        <v>15.413483263697387</v>
      </c>
    </row>
    <row r="208" spans="1:17" ht="15">
      <c r="A208" s="52">
        <v>195.32499999999999</v>
      </c>
      <c r="B208" s="52">
        <v>196.13409999999999</v>
      </c>
      <c r="C208" s="52">
        <v>191.63929999999999</v>
      </c>
      <c r="D208" s="52">
        <v>192.86789999999999</v>
      </c>
      <c r="E208" s="52">
        <v>21775969</v>
      </c>
      <c r="F208" s="52" t="s">
        <v>2058</v>
      </c>
      <c r="G208" s="25">
        <f t="shared" si="1"/>
        <v>1.2739807920343349E-2</v>
      </c>
      <c r="I208" s="57">
        <v>-0.01</v>
      </c>
      <c r="J208" s="58">
        <v>79</v>
      </c>
      <c r="L208" s="57">
        <v>-1.2500000000000001E-2</v>
      </c>
      <c r="M208" s="1">
        <f>_xlfn.NORM.DIST(L208,$K$182,$K$184,FALSE)</f>
        <v>18.120176657727217</v>
      </c>
    </row>
    <row r="209" spans="1:15" ht="15">
      <c r="A209" s="52">
        <v>189.4418</v>
      </c>
      <c r="B209" s="52">
        <v>191.75919999999999</v>
      </c>
      <c r="C209" s="52">
        <v>188.0916</v>
      </c>
      <c r="D209" s="52">
        <v>191.02</v>
      </c>
      <c r="E209" s="52">
        <v>17174854</v>
      </c>
      <c r="F209" s="52" t="s">
        <v>2057</v>
      </c>
      <c r="G209" s="25">
        <f t="shared" si="1"/>
        <v>-8.2619620982096187E-3</v>
      </c>
      <c r="I209" s="57">
        <v>-7.4999999999999997E-3</v>
      </c>
      <c r="J209" s="58">
        <v>97</v>
      </c>
      <c r="L209" s="57">
        <v>-0.01</v>
      </c>
      <c r="M209" s="1">
        <f>_xlfn.NORM.DIST(L209,$K$182,$K$184,FALSE)</f>
        <v>20.712621705506777</v>
      </c>
    </row>
    <row r="210" spans="1:15" ht="15">
      <c r="A210" s="52">
        <v>190.7903</v>
      </c>
      <c r="B210" s="52">
        <v>190.96010000000001</v>
      </c>
      <c r="C210" s="52">
        <v>187.14449999999999</v>
      </c>
      <c r="D210" s="52">
        <v>189.85140000000001</v>
      </c>
      <c r="E210" s="52">
        <v>21823699</v>
      </c>
      <c r="F210" s="52" t="s">
        <v>2056</v>
      </c>
      <c r="G210" s="25">
        <f t="shared" si="1"/>
        <v>4.9454468073450997E-3</v>
      </c>
      <c r="I210" s="57">
        <v>-5.0000000000000001E-3</v>
      </c>
      <c r="J210" s="58">
        <v>111</v>
      </c>
      <c r="L210" s="57">
        <v>-7.4999999999999997E-3</v>
      </c>
      <c r="M210" s="1">
        <f>_xlfn.NORM.DIST(L210,$K$182,$K$184,FALSE)</f>
        <v>23.020711007658448</v>
      </c>
    </row>
    <row r="211" spans="1:15" ht="15">
      <c r="A211" s="52">
        <v>191.81909999999999</v>
      </c>
      <c r="B211" s="52">
        <v>196.29390000000001</v>
      </c>
      <c r="C211" s="52">
        <v>190.09110000000001</v>
      </c>
      <c r="D211" s="52">
        <v>194.07149999999999</v>
      </c>
      <c r="E211" s="52">
        <v>26665206</v>
      </c>
      <c r="F211" s="52" t="s">
        <v>2055</v>
      </c>
      <c r="G211" s="25">
        <f t="shared" si="1"/>
        <v>-1.1606031797559146E-2</v>
      </c>
      <c r="I211" s="57">
        <v>-2.5000000000000001E-3</v>
      </c>
      <c r="J211" s="58">
        <v>113</v>
      </c>
      <c r="L211" s="57">
        <v>-5.0000000000000001E-3</v>
      </c>
      <c r="M211" s="1">
        <f>_xlfn.NORM.DIST(L211,$K$182,$K$184,FALSE)</f>
        <v>24.877882154876609</v>
      </c>
    </row>
    <row r="212" spans="1:15" ht="15">
      <c r="A212" s="52">
        <v>193.7269</v>
      </c>
      <c r="B212" s="52">
        <v>196.0642</v>
      </c>
      <c r="C212" s="52">
        <v>192.15870000000001</v>
      </c>
      <c r="D212" s="52">
        <v>192.3485</v>
      </c>
      <c r="E212" s="52">
        <v>24864766</v>
      </c>
      <c r="F212" s="52" t="s">
        <v>2054</v>
      </c>
      <c r="G212" s="25">
        <f t="shared" si="1"/>
        <v>7.1661593409877433E-3</v>
      </c>
      <c r="I212" s="57">
        <v>0</v>
      </c>
      <c r="J212" s="58">
        <v>146</v>
      </c>
      <c r="L212" s="57">
        <v>-2.5000000000000001E-3</v>
      </c>
      <c r="M212" s="1">
        <f>_xlfn.NORM.DIST(L212,$K$182,$K$184,FALSE)</f>
        <v>26.140813176927853</v>
      </c>
    </row>
    <row r="213" spans="1:15" ht="15">
      <c r="A213" s="52">
        <v>195.26509999999999</v>
      </c>
      <c r="B213" s="52">
        <v>200.7688</v>
      </c>
      <c r="C213" s="52">
        <v>194.37610000000001</v>
      </c>
      <c r="D213" s="52">
        <v>196.88329999999999</v>
      </c>
      <c r="E213" s="52">
        <v>26487244</v>
      </c>
      <c r="F213" s="52" t="s">
        <v>2053</v>
      </c>
      <c r="G213" s="25">
        <f t="shared" si="1"/>
        <v>-8.2190820653655905E-3</v>
      </c>
      <c r="I213" s="57">
        <v>2.5000000000000001E-3</v>
      </c>
      <c r="J213" s="58">
        <v>147</v>
      </c>
      <c r="L213" s="57">
        <v>0</v>
      </c>
      <c r="M213" s="1">
        <f>_xlfn.NORM.DIST(L213,$K$182,$K$184,FALSE)</f>
        <v>26.707657244941068</v>
      </c>
    </row>
    <row r="214" spans="1:15" ht="15">
      <c r="A214" s="52">
        <v>196.64349999999999</v>
      </c>
      <c r="B214" s="52">
        <v>197.99420000000001</v>
      </c>
      <c r="C214" s="52">
        <v>193.62700000000001</v>
      </c>
      <c r="D214" s="52">
        <v>193.7569</v>
      </c>
      <c r="E214" s="52">
        <v>29563638</v>
      </c>
      <c r="F214" s="52" t="s">
        <v>2052</v>
      </c>
      <c r="G214" s="25">
        <f t="shared" si="1"/>
        <v>1.489805008234546E-2</v>
      </c>
      <c r="I214" s="57">
        <v>5.0000000000000001E-3</v>
      </c>
      <c r="J214" s="58">
        <v>134</v>
      </c>
      <c r="L214" s="57">
        <v>2.5000000000000001E-3</v>
      </c>
      <c r="M214" s="1">
        <f>_xlfn.NORM.DIST(L214,$K$182,$K$184,FALSE)</f>
        <v>26.53160411744031</v>
      </c>
      <c r="O214" s="42"/>
    </row>
    <row r="215" spans="1:15" ht="15">
      <c r="A215" s="52">
        <v>191.5694</v>
      </c>
      <c r="B215" s="52">
        <v>192.98769999999999</v>
      </c>
      <c r="C215" s="52">
        <v>189.75649999999999</v>
      </c>
      <c r="D215" s="52">
        <v>191.1499</v>
      </c>
      <c r="E215" s="52">
        <v>18596159</v>
      </c>
      <c r="F215" s="52" t="s">
        <v>2051</v>
      </c>
      <c r="G215" s="25">
        <f t="shared" si="1"/>
        <v>2.1946127097109969E-3</v>
      </c>
      <c r="I215" s="57">
        <v>7.4999999999999997E-3</v>
      </c>
      <c r="J215" s="58">
        <v>130</v>
      </c>
      <c r="L215" s="57">
        <v>5.0000000000000001E-3</v>
      </c>
      <c r="M215" s="1">
        <f>_xlfn.NORM.DIST(L215,$K$182,$K$184,FALSE)</f>
        <v>25.627263636340295</v>
      </c>
    </row>
    <row r="216" spans="1:15" ht="15">
      <c r="A216" s="52">
        <v>189.21209999999999</v>
      </c>
      <c r="B216" s="52">
        <v>191.7791</v>
      </c>
      <c r="C216" s="52">
        <v>187.2843</v>
      </c>
      <c r="D216" s="52">
        <v>190.4307</v>
      </c>
      <c r="E216" s="52">
        <v>20370828</v>
      </c>
      <c r="F216" s="52" t="s">
        <v>2050</v>
      </c>
      <c r="G216" s="25">
        <f t="shared" si="1"/>
        <v>-6.3991782837536926E-3</v>
      </c>
      <c r="I216" s="57">
        <v>0.01</v>
      </c>
      <c r="J216" s="58">
        <v>91</v>
      </c>
      <c r="L216" s="57">
        <v>7.4999999999999997E-3</v>
      </c>
      <c r="M216" s="1">
        <f>_xlfn.NORM.DIST(L216,$K$182,$K$184,FALSE)</f>
        <v>24.068663685973849</v>
      </c>
    </row>
    <row r="217" spans="1:15" ht="15">
      <c r="A217" s="52">
        <v>189.0822</v>
      </c>
      <c r="B217" s="52">
        <v>191.73920000000001</v>
      </c>
      <c r="C217" s="52">
        <v>188.29310000000001</v>
      </c>
      <c r="D217" s="52">
        <v>190.8552</v>
      </c>
      <c r="E217" s="52">
        <v>17466919</v>
      </c>
      <c r="F217" s="52" t="s">
        <v>2049</v>
      </c>
      <c r="G217" s="25">
        <f t="shared" si="1"/>
        <v>-9.2897652251550111E-3</v>
      </c>
      <c r="I217" s="57">
        <v>1.2500000000000001E-2</v>
      </c>
      <c r="J217" s="58">
        <v>107</v>
      </c>
      <c r="L217" s="57">
        <v>0.01</v>
      </c>
      <c r="M217" s="1">
        <f>_xlfn.NORM.DIST(L217,$K$182,$K$184,FALSE)</f>
        <v>21.979243179291533</v>
      </c>
    </row>
    <row r="218" spans="1:15" ht="15">
      <c r="A218" s="52">
        <v>191.02</v>
      </c>
      <c r="B218" s="52">
        <v>192.32849999999999</v>
      </c>
      <c r="C218" s="52">
        <v>188.9024</v>
      </c>
      <c r="D218" s="52">
        <v>189.58170000000001</v>
      </c>
      <c r="E218" s="52">
        <v>14264659</v>
      </c>
      <c r="F218" s="52" t="s">
        <v>2048</v>
      </c>
      <c r="G218" s="25">
        <f t="shared" si="1"/>
        <v>7.5867027249993946E-3</v>
      </c>
      <c r="I218" s="57">
        <v>1.4999999999999999E-2</v>
      </c>
      <c r="J218" s="58">
        <v>84</v>
      </c>
      <c r="L218" s="57">
        <v>1.2500000000000001E-2</v>
      </c>
      <c r="M218" s="1">
        <f>_xlfn.NORM.DIST(L218,$K$182,$K$184,FALSE)</f>
        <v>19.515716625059486</v>
      </c>
    </row>
    <row r="219" spans="1:15" ht="15">
      <c r="A219" s="52">
        <v>192.53829999999999</v>
      </c>
      <c r="B219" s="52">
        <v>195.09530000000001</v>
      </c>
      <c r="C219" s="52">
        <v>190.4307</v>
      </c>
      <c r="D219" s="52">
        <v>194.72569999999999</v>
      </c>
      <c r="E219" s="52">
        <v>18891362</v>
      </c>
      <c r="F219" s="52" t="s">
        <v>2047</v>
      </c>
      <c r="G219" s="25">
        <f t="shared" si="1"/>
        <v>-1.1233237317929801E-2</v>
      </c>
      <c r="I219" s="57">
        <v>1.7500000000000002E-2</v>
      </c>
      <c r="J219" s="58">
        <v>60</v>
      </c>
      <c r="L219" s="57">
        <v>1.4999999999999999E-2</v>
      </c>
      <c r="M219" s="1">
        <f>_xlfn.NORM.DIST(L219,$K$182,$K$184,FALSE)</f>
        <v>16.848734483707524</v>
      </c>
    </row>
    <row r="220" spans="1:15" ht="15">
      <c r="A220" s="52">
        <v>195.375</v>
      </c>
      <c r="B220" s="52">
        <v>196.52170000000001</v>
      </c>
      <c r="C220" s="52">
        <v>194.1514</v>
      </c>
      <c r="D220" s="52">
        <v>194.9255</v>
      </c>
      <c r="E220" s="52">
        <v>12057210</v>
      </c>
      <c r="F220" s="52" t="s">
        <v>2046</v>
      </c>
      <c r="G220" s="25">
        <f t="shared" si="1"/>
        <v>2.3060092189066683E-3</v>
      </c>
      <c r="I220" s="57">
        <v>0.02</v>
      </c>
      <c r="J220" s="58">
        <v>48</v>
      </c>
      <c r="L220" s="57">
        <v>1.7500000000000002E-2</v>
      </c>
      <c r="M220" s="1">
        <f>_xlfn.NORM.DIST(L220,$K$182,$K$184,FALSE)</f>
        <v>14.14363639867774</v>
      </c>
    </row>
    <row r="221" spans="1:15" ht="15">
      <c r="A221" s="52">
        <v>195.8844</v>
      </c>
      <c r="B221" s="52">
        <v>195.8844</v>
      </c>
      <c r="C221" s="52">
        <v>193.55709999999999</v>
      </c>
      <c r="D221" s="52">
        <v>194.61590000000001</v>
      </c>
      <c r="E221" s="52">
        <v>10403259</v>
      </c>
      <c r="F221" s="52" t="s">
        <v>2045</v>
      </c>
      <c r="G221" s="25">
        <f t="shared" si="1"/>
        <v>6.5179669287040998E-3</v>
      </c>
      <c r="I221" s="57">
        <v>2.2499999999999999E-2</v>
      </c>
      <c r="J221" s="58">
        <v>28</v>
      </c>
      <c r="L221" s="57">
        <v>0.02</v>
      </c>
      <c r="M221" s="1">
        <f>_xlfn.NORM.DIST(L221,$K$182,$K$184,FALSE)</f>
        <v>11.544254526713733</v>
      </c>
    </row>
    <row r="222" spans="1:15" ht="15">
      <c r="A222" s="52">
        <v>194.40610000000001</v>
      </c>
      <c r="B222" s="52">
        <v>194.87559999999999</v>
      </c>
      <c r="C222" s="52">
        <v>189.93129999999999</v>
      </c>
      <c r="D222" s="52">
        <v>192.39840000000001</v>
      </c>
      <c r="E222" s="52">
        <v>25675014</v>
      </c>
      <c r="F222" s="52" t="s">
        <v>2044</v>
      </c>
      <c r="G222" s="25">
        <f t="shared" si="1"/>
        <v>1.0435117963558893E-2</v>
      </c>
      <c r="I222" s="57">
        <v>2.5000000000000001E-2</v>
      </c>
      <c r="J222" s="58">
        <v>22</v>
      </c>
      <c r="L222" s="57">
        <v>2.2499999999999999E-2</v>
      </c>
      <c r="M222" s="1">
        <f>_xlfn.NORM.DIST(L222,$K$182,$K$184,FALSE)</f>
        <v>9.1618192098412692</v>
      </c>
    </row>
    <row r="223" spans="1:15" ht="15">
      <c r="A223" s="52">
        <v>191.18979999999999</v>
      </c>
      <c r="B223" s="52">
        <v>192.66810000000001</v>
      </c>
      <c r="C223" s="52">
        <v>185.0069</v>
      </c>
      <c r="D223" s="52">
        <v>185.56630000000001</v>
      </c>
      <c r="E223" s="52">
        <v>63462934</v>
      </c>
      <c r="F223" s="52" t="s">
        <v>2043</v>
      </c>
      <c r="G223" s="25">
        <f t="shared" si="1"/>
        <v>3.0304532665683226E-2</v>
      </c>
      <c r="I223" s="57">
        <v>2.75E-2</v>
      </c>
      <c r="J223" s="58">
        <v>25</v>
      </c>
      <c r="L223" s="57">
        <v>2.5000000000000001E-2</v>
      </c>
      <c r="M223" s="1">
        <f>_xlfn.NORM.DIST(L223,$K$182,$K$184,FALSE)</f>
        <v>7.0698232356101691</v>
      </c>
    </row>
    <row r="224" spans="1:15" ht="15">
      <c r="A224" s="52">
        <v>188.29310000000001</v>
      </c>
      <c r="B224" s="52">
        <v>192.80789999999999</v>
      </c>
      <c r="C224" s="52">
        <v>188.16329999999999</v>
      </c>
      <c r="D224" s="52">
        <v>191.40459999999999</v>
      </c>
      <c r="E224" s="52">
        <v>32265241</v>
      </c>
      <c r="F224" s="52" t="s">
        <v>2042</v>
      </c>
      <c r="G224" s="25">
        <f t="shared" si="1"/>
        <v>-1.6256140134563002E-2</v>
      </c>
      <c r="I224" s="57">
        <v>0.03</v>
      </c>
      <c r="J224" s="58">
        <v>14</v>
      </c>
      <c r="L224" s="57">
        <v>2.75E-2</v>
      </c>
      <c r="M224" s="1">
        <f>_xlfn.NORM.DIST(L224,$K$182,$K$184,FALSE)</f>
        <v>5.3045238565518211</v>
      </c>
    </row>
    <row r="225" spans="1:13" ht="15">
      <c r="A225" s="52">
        <v>188.1833</v>
      </c>
      <c r="B225" s="52">
        <v>196.77340000000001</v>
      </c>
      <c r="C225" s="52">
        <v>187.524</v>
      </c>
      <c r="D225" s="52">
        <v>194.99539999999999</v>
      </c>
      <c r="E225" s="52">
        <v>34166074</v>
      </c>
      <c r="F225" s="52" t="s">
        <v>2041</v>
      </c>
      <c r="G225" s="25">
        <f t="shared" si="1"/>
        <v>-3.4934670253759736E-2</v>
      </c>
      <c r="I225" s="57">
        <v>3.2500000000000001E-2</v>
      </c>
      <c r="J225" s="58">
        <v>12</v>
      </c>
      <c r="L225" s="57">
        <v>0.03</v>
      </c>
      <c r="M225" s="1">
        <f>_xlfn.NORM.DIST(L225,$K$182,$K$184,FALSE)</f>
        <v>3.8698601636061194</v>
      </c>
    </row>
    <row r="226" spans="1:13" ht="15">
      <c r="A226" s="52">
        <v>195.1952</v>
      </c>
      <c r="B226" s="52">
        <v>201.1883</v>
      </c>
      <c r="C226" s="52">
        <v>194.75569999999999</v>
      </c>
      <c r="D226" s="52">
        <v>197.0231</v>
      </c>
      <c r="E226" s="52">
        <v>43504025</v>
      </c>
      <c r="F226" s="52" t="s">
        <v>2040</v>
      </c>
      <c r="G226" s="25">
        <f t="shared" si="1"/>
        <v>-9.2775923229306834E-3</v>
      </c>
      <c r="I226" s="57">
        <v>3.5000000000000003E-2</v>
      </c>
      <c r="J226" s="58">
        <v>9</v>
      </c>
      <c r="L226" s="57">
        <v>3.2500000000000001E-2</v>
      </c>
      <c r="M226" s="1">
        <f>_xlfn.NORM.DIST(L226,$K$182,$K$184,FALSE)</f>
        <v>2.7450809196373842</v>
      </c>
    </row>
    <row r="227" spans="1:13" ht="15">
      <c r="A227" s="52">
        <v>196.43379999999999</v>
      </c>
      <c r="B227" s="52">
        <v>198.77109999999999</v>
      </c>
      <c r="C227" s="52">
        <v>192.39840000000001</v>
      </c>
      <c r="D227" s="52">
        <v>192.6481</v>
      </c>
      <c r="E227" s="52">
        <v>44934901</v>
      </c>
      <c r="F227" s="52" t="s">
        <v>2039</v>
      </c>
      <c r="G227" s="25">
        <f t="shared" si="1"/>
        <v>1.9650855627436625E-2</v>
      </c>
      <c r="I227" s="57">
        <v>3.7499999999999999E-2</v>
      </c>
      <c r="J227" s="58">
        <v>3</v>
      </c>
      <c r="L227" s="57">
        <v>3.5000000000000003E-2</v>
      </c>
      <c r="M227" s="1">
        <f>_xlfn.NORM.DIST(L227,$K$182,$K$184,FALSE)</f>
        <v>1.8933288115696254</v>
      </c>
    </row>
    <row r="228" spans="1:13" ht="15">
      <c r="A228" s="52">
        <v>189.60159999999999</v>
      </c>
      <c r="B228" s="52">
        <v>192.50829999999999</v>
      </c>
      <c r="C228" s="52">
        <v>189.42179999999999</v>
      </c>
      <c r="D228" s="52">
        <v>190.7903</v>
      </c>
      <c r="E228" s="52">
        <v>25143495</v>
      </c>
      <c r="F228" s="52" t="s">
        <v>2038</v>
      </c>
      <c r="G228" s="25">
        <f t="shared" si="1"/>
        <v>-6.2304006021270952E-3</v>
      </c>
      <c r="I228" s="57">
        <v>0.04</v>
      </c>
      <c r="J228" s="58">
        <v>1</v>
      </c>
      <c r="L228" s="57">
        <v>3.7499999999999999E-2</v>
      </c>
      <c r="M228" s="1">
        <f>_xlfn.NORM.DIST(L228,$K$182,$K$184,FALSE)</f>
        <v>1.2697199699184409</v>
      </c>
    </row>
    <row r="229" spans="1:13" ht="15">
      <c r="A229" s="52">
        <v>191.73920000000001</v>
      </c>
      <c r="B229" s="52">
        <v>194.9555</v>
      </c>
      <c r="C229" s="52">
        <v>191.48949999999999</v>
      </c>
      <c r="D229" s="52">
        <v>194.7757</v>
      </c>
      <c r="E229" s="52">
        <v>34817486</v>
      </c>
      <c r="F229" s="52" t="s">
        <v>2037</v>
      </c>
      <c r="G229" s="25">
        <f t="shared" si="1"/>
        <v>-1.5589727055274283E-2</v>
      </c>
      <c r="I229" s="57">
        <v>4.2500000000000003E-2</v>
      </c>
      <c r="J229" s="58">
        <v>1</v>
      </c>
      <c r="L229" s="57">
        <v>0.04</v>
      </c>
      <c r="M229" s="1">
        <f>_xlfn.NORM.DIST(L229,$K$182,$K$184,FALSE)</f>
        <v>0.82794382269872269</v>
      </c>
    </row>
    <row r="230" spans="1:13" ht="15">
      <c r="A230" s="52">
        <v>195.17519999999999</v>
      </c>
      <c r="B230" s="52">
        <v>195.38499999999999</v>
      </c>
      <c r="C230" s="52">
        <v>184.63740000000001</v>
      </c>
      <c r="D230" s="52">
        <v>185.0968</v>
      </c>
      <c r="E230" s="52">
        <v>67894071</v>
      </c>
      <c r="F230" s="52" t="s">
        <v>2036</v>
      </c>
      <c r="G230" s="25">
        <f t="shared" si="1"/>
        <v>5.444934758461506E-2</v>
      </c>
      <c r="I230" s="57">
        <v>4.4999999999999998E-2</v>
      </c>
      <c r="J230" s="58">
        <v>8</v>
      </c>
      <c r="L230" s="57">
        <v>4.2500000000000003E-2</v>
      </c>
      <c r="M230" s="1">
        <f>_xlfn.NORM.DIST(L230,$K$182,$K$184,FALSE)</f>
        <v>0.52493412212685409</v>
      </c>
    </row>
    <row r="231" spans="1:13" ht="15">
      <c r="A231" s="52">
        <v>184.95699999999999</v>
      </c>
      <c r="B231" s="52">
        <v>186.1456</v>
      </c>
      <c r="C231" s="52">
        <v>180.8417</v>
      </c>
      <c r="D231" s="52">
        <v>182.63470000000001</v>
      </c>
      <c r="E231" s="52">
        <v>54813022</v>
      </c>
      <c r="F231" s="52" t="s">
        <v>2035</v>
      </c>
      <c r="G231" s="25">
        <f t="shared" si="1"/>
        <v>1.2715546388501142E-2</v>
      </c>
      <c r="I231" s="57">
        <v>4.7500000000000001E-2</v>
      </c>
      <c r="J231" s="58">
        <v>0</v>
      </c>
      <c r="L231" s="57">
        <v>4.4999999999999998E-2</v>
      </c>
      <c r="M231" s="1">
        <f>_xlfn.NORM.DIST(L231,$K$182,$K$184,FALSE)</f>
        <v>0.32360837412860016</v>
      </c>
    </row>
    <row r="232" spans="1:13" ht="15">
      <c r="A232" s="52">
        <v>175.16829999999999</v>
      </c>
      <c r="B232" s="52">
        <v>176.05719999999999</v>
      </c>
      <c r="C232" s="52">
        <v>173.4502</v>
      </c>
      <c r="D232" s="52">
        <v>173.75989999999999</v>
      </c>
      <c r="E232" s="52">
        <v>25389631</v>
      </c>
      <c r="F232" s="52" t="s">
        <v>2034</v>
      </c>
      <c r="G232" s="25">
        <f t="shared" si="1"/>
        <v>8.1054374455786782E-3</v>
      </c>
      <c r="I232" s="57">
        <v>0.05</v>
      </c>
      <c r="J232" s="58">
        <v>1</v>
      </c>
      <c r="L232" s="57">
        <v>4.7500000000000001E-2</v>
      </c>
      <c r="M232" s="1">
        <f>_xlfn.NORM.DIST(L232,$K$182,$K$184,FALSE)</f>
        <v>0.19397497861951937</v>
      </c>
    </row>
    <row r="233" spans="1:13" ht="15.75" thickBot="1">
      <c r="A233" s="52">
        <v>174.30930000000001</v>
      </c>
      <c r="B233" s="52">
        <v>174.67840000000001</v>
      </c>
      <c r="C233" s="52">
        <v>171.4658</v>
      </c>
      <c r="D233" s="52">
        <v>171.6354</v>
      </c>
      <c r="E233" s="52">
        <v>21462393</v>
      </c>
      <c r="F233" s="52" t="s">
        <v>2033</v>
      </c>
      <c r="G233" s="25">
        <f t="shared" si="1"/>
        <v>1.5578953992008593E-2</v>
      </c>
      <c r="I233" s="59" t="s">
        <v>2147</v>
      </c>
      <c r="J233" s="59">
        <v>11</v>
      </c>
      <c r="L233" s="57">
        <v>0.05</v>
      </c>
      <c r="M233" s="1">
        <f>_xlfn.NORM.DIST(L233,$K$182,$K$184,FALSE)</f>
        <v>0.11305315519962138</v>
      </c>
    </row>
    <row r="234" spans="1:13" ht="15">
      <c r="A234" s="52">
        <v>172.244</v>
      </c>
      <c r="B234" s="52">
        <v>175.65620000000001</v>
      </c>
      <c r="C234" s="52">
        <v>171.93469999999999</v>
      </c>
      <c r="D234" s="52">
        <v>174.95779999999999</v>
      </c>
      <c r="E234" s="52">
        <v>21356243</v>
      </c>
      <c r="F234" s="52" t="s">
        <v>2032</v>
      </c>
      <c r="G234" s="25">
        <f t="shared" si="1"/>
        <v>-1.5511168979033707E-2</v>
      </c>
      <c r="I234" s="56"/>
      <c r="L234" s="57">
        <v>5.0999999999999997E-2</v>
      </c>
      <c r="M234" s="1">
        <f>_xlfn.NORM.DIST(L234,$K$182,$K$184,FALSE)</f>
        <v>9.0382544021678557E-2</v>
      </c>
    </row>
    <row r="235" spans="1:13">
      <c r="A235" s="52">
        <v>173.97</v>
      </c>
      <c r="B235" s="52">
        <v>174.50880000000001</v>
      </c>
      <c r="C235" s="52">
        <v>170.66759999999999</v>
      </c>
      <c r="D235" s="52">
        <v>170.75239999999999</v>
      </c>
      <c r="E235" s="52">
        <v>31615137</v>
      </c>
      <c r="F235" s="52" t="s">
        <v>2031</v>
      </c>
      <c r="G235" s="25">
        <f t="shared" si="1"/>
        <v>1.8843659005671309E-2</v>
      </c>
      <c r="I235" s="56"/>
    </row>
    <row r="236" spans="1:13">
      <c r="A236" s="52">
        <v>170.947</v>
      </c>
      <c r="B236" s="52">
        <v>172.28389999999999</v>
      </c>
      <c r="C236" s="52">
        <v>170.4581</v>
      </c>
      <c r="D236" s="52">
        <v>171.0966</v>
      </c>
      <c r="E236" s="52">
        <v>22248705</v>
      </c>
      <c r="F236" s="52" t="s">
        <v>2030</v>
      </c>
      <c r="G236" s="25">
        <f t="shared" si="1"/>
        <v>-8.7435986454431625E-4</v>
      </c>
      <c r="I236" s="56"/>
    </row>
    <row r="237" spans="1:13">
      <c r="A237" s="52">
        <v>171.0966</v>
      </c>
      <c r="B237" s="52">
        <v>171.68029999999999</v>
      </c>
      <c r="C237" s="52">
        <v>168.1833</v>
      </c>
      <c r="D237" s="52">
        <v>168.37790000000001</v>
      </c>
      <c r="E237" s="52">
        <v>23789084</v>
      </c>
      <c r="F237" s="52" t="s">
        <v>2029</v>
      </c>
      <c r="G237" s="25">
        <f t="shared" si="1"/>
        <v>1.6146418265104767E-2</v>
      </c>
      <c r="I237" s="56"/>
    </row>
    <row r="238" spans="1:13">
      <c r="A238" s="52">
        <v>168.5625</v>
      </c>
      <c r="B238" s="52">
        <v>169.04140000000001</v>
      </c>
      <c r="C238" s="52">
        <v>166.7766</v>
      </c>
      <c r="D238" s="52">
        <v>168.11349999999999</v>
      </c>
      <c r="E238" s="52">
        <v>14257244</v>
      </c>
      <c r="F238" s="52" t="s">
        <v>2028</v>
      </c>
      <c r="G238" s="25">
        <f t="shared" si="1"/>
        <v>2.670814657954379E-3</v>
      </c>
      <c r="I238" s="56"/>
    </row>
    <row r="239" spans="1:13">
      <c r="A239" s="52">
        <v>168.84180000000001</v>
      </c>
      <c r="B239" s="52">
        <v>169.09440000000001</v>
      </c>
      <c r="C239" s="52">
        <v>167.63460000000001</v>
      </c>
      <c r="D239" s="52">
        <v>168.6123</v>
      </c>
      <c r="E239" s="52">
        <v>19266511</v>
      </c>
      <c r="F239" s="52" t="s">
        <v>2027</v>
      </c>
      <c r="G239" s="25">
        <f t="shared" si="1"/>
        <v>1.3611106663036221E-3</v>
      </c>
      <c r="I239" s="56"/>
    </row>
    <row r="240" spans="1:13">
      <c r="A240" s="52">
        <v>168.7321</v>
      </c>
      <c r="B240" s="52">
        <v>169.43049999999999</v>
      </c>
      <c r="C240" s="52">
        <v>167.19560000000001</v>
      </c>
      <c r="D240" s="52">
        <v>167.24549999999999</v>
      </c>
      <c r="E240" s="52">
        <v>20486720</v>
      </c>
      <c r="F240" s="52" t="s">
        <v>2026</v>
      </c>
      <c r="G240" s="25">
        <f t="shared" si="1"/>
        <v>8.8887294426458485E-3</v>
      </c>
      <c r="I240" s="56"/>
    </row>
    <row r="241" spans="1:32">
      <c r="A241" s="52">
        <v>167.2654</v>
      </c>
      <c r="B241" s="52">
        <v>168.2432</v>
      </c>
      <c r="C241" s="52">
        <v>165.22730000000001</v>
      </c>
      <c r="D241" s="52">
        <v>165.709</v>
      </c>
      <c r="E241" s="52">
        <v>33135263</v>
      </c>
      <c r="F241" s="52" t="s">
        <v>2025</v>
      </c>
      <c r="G241" s="25">
        <f t="shared" si="1"/>
        <v>9.3923685496863918E-3</v>
      </c>
      <c r="I241" s="56"/>
    </row>
    <row r="242" spans="1:32">
      <c r="A242" s="52">
        <v>164.38210000000001</v>
      </c>
      <c r="B242" s="52">
        <v>166.07820000000001</v>
      </c>
      <c r="C242" s="52">
        <v>163.524</v>
      </c>
      <c r="D242" s="52">
        <v>165.46960000000001</v>
      </c>
      <c r="E242" s="52">
        <v>38604587</v>
      </c>
      <c r="F242" s="52" t="s">
        <v>2024</v>
      </c>
      <c r="G242" s="25">
        <f t="shared" si="1"/>
        <v>-6.5722041994421554E-3</v>
      </c>
      <c r="I242" s="56"/>
    </row>
    <row r="243" spans="1:32">
      <c r="A243" s="52">
        <v>167.24549999999999</v>
      </c>
      <c r="B243" s="52">
        <v>173.73060000000001</v>
      </c>
      <c r="C243" s="52">
        <v>163.3245</v>
      </c>
      <c r="D243" s="52">
        <v>173.50110000000001</v>
      </c>
      <c r="E243" s="52">
        <v>59734379</v>
      </c>
      <c r="F243" s="52" t="s">
        <v>2023</v>
      </c>
      <c r="G243" s="25">
        <f t="shared" si="1"/>
        <v>-3.6055102820673812E-2</v>
      </c>
      <c r="I243" s="56"/>
    </row>
    <row r="244" spans="1:32">
      <c r="A244" s="52">
        <v>175.5763</v>
      </c>
      <c r="B244" s="52">
        <v>177.26750000000001</v>
      </c>
      <c r="C244" s="52">
        <v>173.38140000000001</v>
      </c>
      <c r="D244" s="52">
        <v>176.9332</v>
      </c>
      <c r="E244" s="52">
        <v>18997111</v>
      </c>
      <c r="F244" s="52" t="s">
        <v>2022</v>
      </c>
      <c r="G244" s="25">
        <f t="shared" si="1"/>
        <v>-7.6689959826645726E-3</v>
      </c>
      <c r="I244" s="56"/>
    </row>
    <row r="245" spans="1:32">
      <c r="A245" s="52">
        <v>177.7114</v>
      </c>
      <c r="B245" s="52">
        <v>178.4597</v>
      </c>
      <c r="C245" s="52">
        <v>173.1619</v>
      </c>
      <c r="D245" s="52">
        <v>173.32149999999999</v>
      </c>
      <c r="E245" s="52">
        <v>23434925</v>
      </c>
      <c r="F245" s="52" t="s">
        <v>2021</v>
      </c>
      <c r="G245" s="25">
        <f t="shared" si="1"/>
        <v>2.5328075282062601E-2</v>
      </c>
      <c r="I245" s="56"/>
    </row>
    <row r="246" spans="1:32">
      <c r="A246" s="52">
        <v>174.89789999999999</v>
      </c>
      <c r="B246" s="52">
        <v>175.03559999999999</v>
      </c>
      <c r="C246" s="52">
        <v>172.5034</v>
      </c>
      <c r="D246" s="52">
        <v>173.0222</v>
      </c>
      <c r="E246" s="52">
        <v>20206613</v>
      </c>
      <c r="F246" s="52" t="s">
        <v>2020</v>
      </c>
      <c r="G246" s="25">
        <f t="shared" si="1"/>
        <v>1.0840805399538356E-2</v>
      </c>
      <c r="I246" s="56"/>
    </row>
    <row r="247" spans="1:32">
      <c r="A247" s="52">
        <v>172.0943</v>
      </c>
      <c r="B247" s="52">
        <v>173.7406</v>
      </c>
      <c r="C247" s="52">
        <v>170.82730000000001</v>
      </c>
      <c r="D247" s="52">
        <v>173.33150000000001</v>
      </c>
      <c r="E247" s="52">
        <v>32504649</v>
      </c>
      <c r="F247" s="52" t="s">
        <v>2019</v>
      </c>
      <c r="G247" s="25">
        <f t="shared" si="1"/>
        <v>-7.1377678033133218E-3</v>
      </c>
      <c r="I247" s="56"/>
    </row>
    <row r="248" spans="1:32">
      <c r="A248" s="52">
        <v>175.1773</v>
      </c>
      <c r="B248" s="52">
        <v>178.40979999999999</v>
      </c>
      <c r="C248" s="52">
        <v>173.92189999999999</v>
      </c>
      <c r="D248" s="52">
        <v>177.87110000000001</v>
      </c>
      <c r="E248" s="52">
        <v>31007457</v>
      </c>
      <c r="F248" s="52" t="s">
        <v>2018</v>
      </c>
      <c r="G248" s="25">
        <f t="shared" si="1"/>
        <v>-1.5144674992171314E-2</v>
      </c>
      <c r="I248" s="56"/>
    </row>
    <row r="249" spans="1:32">
      <c r="A249" s="52">
        <v>178.46969999999999</v>
      </c>
      <c r="B249" s="52">
        <v>180.54490000000001</v>
      </c>
      <c r="C249" s="52">
        <v>178.13050000000001</v>
      </c>
      <c r="D249" s="52">
        <v>180.0461</v>
      </c>
      <c r="E249" s="52">
        <v>23184003</v>
      </c>
      <c r="F249" s="52" t="s">
        <v>2017</v>
      </c>
      <c r="G249" s="25">
        <f t="shared" si="1"/>
        <v>-8.7555353878812081E-3</v>
      </c>
      <c r="I249" s="56"/>
    </row>
    <row r="250" spans="1:32">
      <c r="A250" s="52">
        <v>181.20339999999999</v>
      </c>
      <c r="B250" s="52">
        <v>182.07140000000001</v>
      </c>
      <c r="C250" s="52">
        <v>178.9785</v>
      </c>
      <c r="D250" s="52">
        <v>179.4075</v>
      </c>
      <c r="E250" s="52">
        <v>25134905</v>
      </c>
      <c r="F250" s="52" t="s">
        <v>2016</v>
      </c>
      <c r="G250" s="25">
        <f t="shared" si="1"/>
        <v>1.0010172372949766E-2</v>
      </c>
      <c r="I250" s="56"/>
    </row>
    <row r="251" spans="1:32">
      <c r="A251" s="52">
        <v>179.93629999999999</v>
      </c>
      <c r="B251" s="52">
        <v>180.1309</v>
      </c>
      <c r="C251" s="52">
        <v>178.06059999999999</v>
      </c>
      <c r="D251" s="52">
        <v>178.1704</v>
      </c>
      <c r="E251" s="52">
        <v>17450354</v>
      </c>
      <c r="F251" s="52" t="s">
        <v>2015</v>
      </c>
      <c r="G251" s="25">
        <f t="shared" ref="G251:G314" si="2">A251/D251-1</f>
        <v>9.9112983974891655E-3</v>
      </c>
      <c r="I251" s="56"/>
    </row>
    <row r="252" spans="1:32">
      <c r="A252" s="52">
        <v>177.9409</v>
      </c>
      <c r="B252" s="52">
        <v>180.48509999999999</v>
      </c>
      <c r="C252" s="52">
        <v>177.67150000000001</v>
      </c>
      <c r="D252" s="52">
        <v>180.23060000000001</v>
      </c>
      <c r="E252" s="52">
        <v>22006182</v>
      </c>
      <c r="F252" s="52" t="s">
        <v>2014</v>
      </c>
      <c r="G252" s="25">
        <f t="shared" si="2"/>
        <v>-1.2704279961338494E-2</v>
      </c>
      <c r="I252" s="56"/>
    </row>
    <row r="253" spans="1:32">
      <c r="A253" s="52">
        <v>180.33539999999999</v>
      </c>
      <c r="B253" s="52">
        <v>180.66460000000001</v>
      </c>
      <c r="C253" s="52">
        <v>176.78360000000001</v>
      </c>
      <c r="D253" s="52">
        <v>177.00309999999999</v>
      </c>
      <c r="E253" s="52">
        <v>25352939</v>
      </c>
      <c r="F253" s="52" t="s">
        <v>2013</v>
      </c>
      <c r="G253" s="25">
        <f t="shared" si="2"/>
        <v>1.8826223947490117E-2</v>
      </c>
      <c r="I253" s="56"/>
    </row>
    <row r="254" spans="1:32">
      <c r="A254" s="52">
        <v>176.10509999999999</v>
      </c>
      <c r="B254" s="52">
        <v>176.5341</v>
      </c>
      <c r="C254" s="52">
        <v>173.102</v>
      </c>
      <c r="D254" s="52">
        <v>173.40129999999999</v>
      </c>
      <c r="E254" s="52">
        <v>33695538</v>
      </c>
      <c r="F254" s="52" t="s">
        <v>2012</v>
      </c>
      <c r="G254" s="25">
        <f t="shared" si="2"/>
        <v>1.5592732003739229E-2</v>
      </c>
      <c r="I254" s="56"/>
    </row>
    <row r="255" spans="1:32">
      <c r="A255" s="52">
        <v>169.35069999999999</v>
      </c>
      <c r="B255" s="52">
        <v>170.1388</v>
      </c>
      <c r="C255" s="52">
        <v>168.45269999999999</v>
      </c>
      <c r="D255" s="52">
        <v>169.04140000000001</v>
      </c>
      <c r="E255" s="52">
        <v>18242050</v>
      </c>
      <c r="F255" s="52" t="s">
        <v>2011</v>
      </c>
      <c r="G255" s="25">
        <f t="shared" si="2"/>
        <v>1.8297292852518243E-3</v>
      </c>
      <c r="I255" s="56"/>
    </row>
    <row r="256" spans="1:32" ht="15">
      <c r="A256" s="52">
        <v>168.8518</v>
      </c>
      <c r="B256" s="52">
        <v>170.33840000000001</v>
      </c>
      <c r="C256" s="52">
        <v>167.62559999999999</v>
      </c>
      <c r="D256" s="52">
        <v>169.5402</v>
      </c>
      <c r="E256" s="52">
        <v>21492744</v>
      </c>
      <c r="F256" s="52" t="s">
        <v>2010</v>
      </c>
      <c r="G256" s="25">
        <f t="shared" si="2"/>
        <v>-4.0603939360694952E-3</v>
      </c>
      <c r="I256" s="56"/>
      <c r="AF256" s="2" t="s">
        <v>85</v>
      </c>
    </row>
    <row r="257" spans="1:9">
      <c r="A257" s="52">
        <v>170.89709999999999</v>
      </c>
      <c r="B257" s="52">
        <v>171.9247</v>
      </c>
      <c r="C257" s="52">
        <v>168.49260000000001</v>
      </c>
      <c r="D257" s="52">
        <v>169.6799</v>
      </c>
      <c r="E257" s="52">
        <v>31796477</v>
      </c>
      <c r="F257" s="52" t="s">
        <v>2009</v>
      </c>
      <c r="G257" s="25">
        <f t="shared" si="2"/>
        <v>7.1735072922602949E-3</v>
      </c>
      <c r="I257" s="56"/>
    </row>
    <row r="258" spans="1:9">
      <c r="A258" s="52">
        <v>170.7175</v>
      </c>
      <c r="B258" s="52">
        <v>176.4144</v>
      </c>
      <c r="C258" s="52">
        <v>170.6078</v>
      </c>
      <c r="D258" s="52">
        <v>172.7329</v>
      </c>
      <c r="E258" s="52">
        <v>44768981</v>
      </c>
      <c r="F258" s="52" t="s">
        <v>2008</v>
      </c>
      <c r="G258" s="25">
        <f t="shared" si="2"/>
        <v>-1.1667725140954599E-2</v>
      </c>
      <c r="I258" s="56"/>
    </row>
    <row r="259" spans="1:9">
      <c r="A259" s="52">
        <v>174.0598</v>
      </c>
      <c r="B259" s="52">
        <v>181.60249999999999</v>
      </c>
      <c r="C259" s="52">
        <v>173.66059999999999</v>
      </c>
      <c r="D259" s="52">
        <v>180.26560000000001</v>
      </c>
      <c r="E259" s="52">
        <v>68890787</v>
      </c>
      <c r="F259" s="52" t="s">
        <v>2007</v>
      </c>
      <c r="G259" s="25">
        <f t="shared" si="2"/>
        <v>-3.4425869383842511E-2</v>
      </c>
      <c r="I259" s="56"/>
    </row>
    <row r="260" spans="1:9">
      <c r="A260" s="52">
        <v>169.29079999999999</v>
      </c>
      <c r="B260" s="52">
        <v>169.98920000000001</v>
      </c>
      <c r="C260" s="52">
        <v>166.7063</v>
      </c>
      <c r="D260" s="52">
        <v>167.34530000000001</v>
      </c>
      <c r="E260" s="52">
        <v>42169025</v>
      </c>
      <c r="F260" s="52" t="s">
        <v>2006</v>
      </c>
      <c r="G260" s="25">
        <f t="shared" si="2"/>
        <v>1.1625662626915556E-2</v>
      </c>
      <c r="I260" s="56"/>
    </row>
    <row r="261" spans="1:9">
      <c r="A261" s="52">
        <v>166.33760000000001</v>
      </c>
      <c r="B261" s="52">
        <v>168.3629</v>
      </c>
      <c r="C261" s="52">
        <v>163.57390000000001</v>
      </c>
      <c r="D261" s="52">
        <v>168.3629</v>
      </c>
      <c r="E261" s="52">
        <v>32138641</v>
      </c>
      <c r="F261" s="52" t="s">
        <v>2005</v>
      </c>
      <c r="G261" s="25">
        <f t="shared" si="2"/>
        <v>-1.2029372266692873E-2</v>
      </c>
      <c r="I261" s="56"/>
    </row>
    <row r="262" spans="1:9">
      <c r="A262" s="52">
        <v>164.89089999999999</v>
      </c>
      <c r="B262" s="52">
        <v>165.21019999999999</v>
      </c>
      <c r="C262" s="52">
        <v>163.04509999999999</v>
      </c>
      <c r="D262" s="52">
        <v>163.2946</v>
      </c>
      <c r="E262" s="52">
        <v>19828884</v>
      </c>
      <c r="F262" s="52" t="s">
        <v>2004</v>
      </c>
      <c r="G262" s="25">
        <f t="shared" si="2"/>
        <v>9.7755835159276661E-3</v>
      </c>
      <c r="I262" s="56"/>
    </row>
    <row r="263" spans="1:9">
      <c r="A263" s="52">
        <v>162.3468</v>
      </c>
      <c r="B263" s="52">
        <v>162.9554</v>
      </c>
      <c r="C263" s="52">
        <v>160.64070000000001</v>
      </c>
      <c r="D263" s="52">
        <v>162.45650000000001</v>
      </c>
      <c r="E263" s="52">
        <v>22412527</v>
      </c>
      <c r="F263" s="52" t="s">
        <v>2003</v>
      </c>
      <c r="G263" s="25">
        <f t="shared" si="2"/>
        <v>-6.7525768436471623E-4</v>
      </c>
      <c r="I263" s="56"/>
    </row>
    <row r="264" spans="1:9">
      <c r="A264" s="52">
        <v>162.4066</v>
      </c>
      <c r="B264" s="52">
        <v>165.43960000000001</v>
      </c>
      <c r="C264" s="52">
        <v>161.55359999999999</v>
      </c>
      <c r="D264" s="52">
        <v>164.38210000000001</v>
      </c>
      <c r="E264" s="52">
        <v>18280518</v>
      </c>
      <c r="F264" s="52" t="s">
        <v>2002</v>
      </c>
      <c r="G264" s="25">
        <f t="shared" si="2"/>
        <v>-1.2017731857665859E-2</v>
      </c>
      <c r="I264" s="56"/>
    </row>
    <row r="265" spans="1:9">
      <c r="A265" s="52">
        <v>164.7612</v>
      </c>
      <c r="B265" s="52">
        <v>165.38980000000001</v>
      </c>
      <c r="C265" s="52">
        <v>162.6062</v>
      </c>
      <c r="D265" s="52">
        <v>162.6062</v>
      </c>
      <c r="E265" s="52">
        <v>16568121</v>
      </c>
      <c r="F265" s="52" t="s">
        <v>2001</v>
      </c>
      <c r="G265" s="25">
        <f t="shared" si="2"/>
        <v>1.3252877196564539E-2</v>
      </c>
      <c r="I265" s="56"/>
    </row>
    <row r="266" spans="1:9">
      <c r="A266" s="52">
        <v>163.69370000000001</v>
      </c>
      <c r="B266" s="52">
        <v>164.12270000000001</v>
      </c>
      <c r="C266" s="52">
        <v>162.24700000000001</v>
      </c>
      <c r="D266" s="52">
        <v>162.5762</v>
      </c>
      <c r="E266" s="52">
        <v>20946455</v>
      </c>
      <c r="F266" s="52" t="s">
        <v>2000</v>
      </c>
      <c r="G266" s="25">
        <f t="shared" si="2"/>
        <v>6.8736998404441696E-3</v>
      </c>
      <c r="I266" s="56"/>
    </row>
    <row r="267" spans="1:9">
      <c r="A267" s="52">
        <v>163.04509999999999</v>
      </c>
      <c r="B267" s="52">
        <v>164.3322</v>
      </c>
      <c r="C267" s="52">
        <v>162.70590000000001</v>
      </c>
      <c r="D267" s="52">
        <v>162.81569999999999</v>
      </c>
      <c r="E267" s="52">
        <v>19757661</v>
      </c>
      <c r="F267" s="52" t="s">
        <v>1999</v>
      </c>
      <c r="G267" s="25">
        <f t="shared" si="2"/>
        <v>1.4089550332061496E-3</v>
      </c>
      <c r="I267" s="55"/>
    </row>
    <row r="268" spans="1:9">
      <c r="A268" s="52">
        <v>162.55629999999999</v>
      </c>
      <c r="B268" s="52">
        <v>165.98840000000001</v>
      </c>
      <c r="C268" s="52">
        <v>162.38669999999999</v>
      </c>
      <c r="D268" s="52">
        <v>165.34989999999999</v>
      </c>
      <c r="E268" s="52">
        <v>21453395</v>
      </c>
      <c r="F268" s="52" t="s">
        <v>1998</v>
      </c>
      <c r="G268" s="25">
        <f t="shared" si="2"/>
        <v>-1.6895081279154067E-2</v>
      </c>
      <c r="I268" s="55"/>
    </row>
    <row r="269" spans="1:9">
      <c r="A269" s="52">
        <v>164.78120000000001</v>
      </c>
      <c r="B269" s="52">
        <v>165.41970000000001</v>
      </c>
      <c r="C269" s="52">
        <v>163.36439999999999</v>
      </c>
      <c r="D269" s="52">
        <v>164.15260000000001</v>
      </c>
      <c r="E269" s="52">
        <v>16406030</v>
      </c>
      <c r="F269" s="52" t="s">
        <v>1997</v>
      </c>
      <c r="G269" s="25">
        <f t="shared" si="2"/>
        <v>3.8293636530886133E-3</v>
      </c>
      <c r="I269" s="55"/>
    </row>
    <row r="270" spans="1:9">
      <c r="A270" s="52">
        <v>165.0805</v>
      </c>
      <c r="B270" s="52">
        <v>167.2954</v>
      </c>
      <c r="C270" s="52">
        <v>164.2474</v>
      </c>
      <c r="D270" s="52">
        <v>165.40469999999999</v>
      </c>
      <c r="E270" s="52">
        <v>20247195</v>
      </c>
      <c r="F270" s="52" t="s">
        <v>1996</v>
      </c>
      <c r="G270" s="25">
        <f t="shared" si="2"/>
        <v>-1.9600410387370371E-3</v>
      </c>
      <c r="I270" s="55"/>
    </row>
    <row r="271" spans="1:9">
      <c r="A271" s="52">
        <v>164.58160000000001</v>
      </c>
      <c r="B271" s="52">
        <v>165.84469999999999</v>
      </c>
      <c r="C271" s="52">
        <v>163.02520000000001</v>
      </c>
      <c r="D271" s="52">
        <v>163.2646</v>
      </c>
      <c r="E271" s="52">
        <v>19016141</v>
      </c>
      <c r="F271" s="52" t="s">
        <v>1995</v>
      </c>
      <c r="G271" s="25">
        <f t="shared" si="2"/>
        <v>8.0666598883041285E-3</v>
      </c>
      <c r="I271" s="55"/>
    </row>
    <row r="272" spans="1:9">
      <c r="A272" s="52">
        <v>162.8656</v>
      </c>
      <c r="B272" s="52">
        <v>163.524</v>
      </c>
      <c r="C272" s="52">
        <v>160.86519999999999</v>
      </c>
      <c r="D272" s="52">
        <v>161.75810000000001</v>
      </c>
      <c r="E272" s="52">
        <v>15344251</v>
      </c>
      <c r="F272" s="52" t="s">
        <v>1994</v>
      </c>
      <c r="G272" s="25">
        <f t="shared" si="2"/>
        <v>6.8466432283760259E-3</v>
      </c>
      <c r="I272" s="55"/>
    </row>
    <row r="273" spans="1:9">
      <c r="A273" s="52">
        <v>161.70820000000001</v>
      </c>
      <c r="B273" s="52">
        <v>162.696</v>
      </c>
      <c r="C273" s="52">
        <v>160.02709999999999</v>
      </c>
      <c r="D273" s="52">
        <v>160.501</v>
      </c>
      <c r="E273" s="52">
        <v>14144068</v>
      </c>
      <c r="F273" s="52" t="s">
        <v>1993</v>
      </c>
      <c r="G273" s="25">
        <f t="shared" si="2"/>
        <v>7.5214484644956503E-3</v>
      </c>
      <c r="I273" s="55"/>
    </row>
    <row r="274" spans="1:9">
      <c r="A274" s="52">
        <v>161.48869999999999</v>
      </c>
      <c r="B274" s="52">
        <v>164.46190000000001</v>
      </c>
      <c r="C274" s="52">
        <v>159.37360000000001</v>
      </c>
      <c r="D274" s="52">
        <v>163.07509999999999</v>
      </c>
      <c r="E274" s="52">
        <v>31181774</v>
      </c>
      <c r="F274" s="52" t="s">
        <v>1992</v>
      </c>
      <c r="G274" s="25">
        <f t="shared" si="2"/>
        <v>-9.7280332803720837E-3</v>
      </c>
      <c r="I274" s="55"/>
    </row>
    <row r="275" spans="1:9">
      <c r="A275" s="52">
        <v>164.00290000000001</v>
      </c>
      <c r="B275" s="52">
        <v>164.34719999999999</v>
      </c>
      <c r="C275" s="52">
        <v>162.49639999999999</v>
      </c>
      <c r="D275" s="52">
        <v>163.56399999999999</v>
      </c>
      <c r="E275" s="52">
        <v>23072733</v>
      </c>
      <c r="F275" s="52" t="s">
        <v>1991</v>
      </c>
      <c r="G275" s="25">
        <f t="shared" si="2"/>
        <v>2.6833533051284775E-3</v>
      </c>
      <c r="I275" s="55"/>
    </row>
    <row r="276" spans="1:9">
      <c r="A276" s="52">
        <v>162.6062</v>
      </c>
      <c r="B276" s="52">
        <v>168.09350000000001</v>
      </c>
      <c r="C276" s="52">
        <v>162.3767</v>
      </c>
      <c r="D276" s="52">
        <v>167.33529999999999</v>
      </c>
      <c r="E276" s="52">
        <v>22463140</v>
      </c>
      <c r="F276" s="52" t="s">
        <v>1990</v>
      </c>
      <c r="G276" s="25">
        <f t="shared" si="2"/>
        <v>-2.8261221631060485E-2</v>
      </c>
      <c r="I276" s="55"/>
    </row>
    <row r="277" spans="1:9">
      <c r="A277" s="52">
        <v>166.67679999999999</v>
      </c>
      <c r="B277" s="52">
        <v>167.8441</v>
      </c>
      <c r="C277" s="52">
        <v>165.10040000000001</v>
      </c>
      <c r="D277" s="52">
        <v>167.67449999999999</v>
      </c>
      <c r="E277" s="52">
        <v>19093724</v>
      </c>
      <c r="F277" s="52" t="s">
        <v>1989</v>
      </c>
      <c r="G277" s="25">
        <f t="shared" si="2"/>
        <v>-5.9502190255524834E-3</v>
      </c>
      <c r="I277" s="55"/>
    </row>
    <row r="278" spans="1:9">
      <c r="A278" s="52">
        <v>165.4796</v>
      </c>
      <c r="B278" s="52">
        <v>166.2578</v>
      </c>
      <c r="C278" s="52">
        <v>163.547</v>
      </c>
      <c r="D278" s="52">
        <v>164.03290000000001</v>
      </c>
      <c r="E278" s="52">
        <v>15073101</v>
      </c>
      <c r="F278" s="52" t="s">
        <v>1988</v>
      </c>
      <c r="G278" s="25">
        <f t="shared" si="2"/>
        <v>8.8195721711923358E-3</v>
      </c>
      <c r="I278" s="55"/>
    </row>
    <row r="279" spans="1:9">
      <c r="A279" s="52">
        <v>165.4796</v>
      </c>
      <c r="B279" s="52">
        <v>167.13570000000001</v>
      </c>
      <c r="C279" s="52">
        <v>164.35210000000001</v>
      </c>
      <c r="D279" s="52">
        <v>166.03829999999999</v>
      </c>
      <c r="E279" s="52">
        <v>17760179</v>
      </c>
      <c r="F279" s="52" t="s">
        <v>1987</v>
      </c>
      <c r="G279" s="25">
        <f t="shared" si="2"/>
        <v>-3.364886294306757E-3</v>
      </c>
      <c r="I279" s="55"/>
    </row>
    <row r="280" spans="1:9">
      <c r="A280" s="52">
        <v>166.607</v>
      </c>
      <c r="B280" s="52">
        <v>168.77199999999999</v>
      </c>
      <c r="C280" s="52">
        <v>164.20249999999999</v>
      </c>
      <c r="D280" s="52">
        <v>167.3004</v>
      </c>
      <c r="E280" s="52">
        <v>28338123</v>
      </c>
      <c r="F280" s="52" t="s">
        <v>1986</v>
      </c>
      <c r="G280" s="25">
        <f t="shared" si="2"/>
        <v>-4.1446404192697628E-3</v>
      </c>
      <c r="I280" s="55"/>
    </row>
    <row r="281" spans="1:9">
      <c r="A281" s="52">
        <v>165.46960000000001</v>
      </c>
      <c r="B281" s="52">
        <v>165.7689</v>
      </c>
      <c r="C281" s="52">
        <v>162.88550000000001</v>
      </c>
      <c r="D281" s="52">
        <v>162.94540000000001</v>
      </c>
      <c r="E281" s="52">
        <v>20481303</v>
      </c>
      <c r="F281" s="52" t="s">
        <v>1985</v>
      </c>
      <c r="G281" s="25">
        <f t="shared" si="2"/>
        <v>1.5491078606699071E-2</v>
      </c>
      <c r="I281" s="55"/>
    </row>
    <row r="282" spans="1:9">
      <c r="A282" s="52">
        <v>163.57390000000001</v>
      </c>
      <c r="B282" s="52">
        <v>165.31989999999999</v>
      </c>
      <c r="C282" s="52">
        <v>162.25309999999999</v>
      </c>
      <c r="D282" s="52">
        <v>162.4365</v>
      </c>
      <c r="E282" s="52">
        <v>21101307</v>
      </c>
      <c r="F282" s="52" t="s">
        <v>1984</v>
      </c>
      <c r="G282" s="25">
        <f t="shared" si="2"/>
        <v>7.0021208287547321E-3</v>
      </c>
      <c r="I282" s="55"/>
    </row>
    <row r="283" spans="1:9">
      <c r="A283" s="52">
        <v>162.35669999999999</v>
      </c>
      <c r="B283" s="52">
        <v>163.70359999999999</v>
      </c>
      <c r="C283" s="52">
        <v>161.90780000000001</v>
      </c>
      <c r="D283" s="52">
        <v>163.2646</v>
      </c>
      <c r="E283" s="52">
        <v>20319336</v>
      </c>
      <c r="F283" s="52" t="s">
        <v>1983</v>
      </c>
      <c r="G283" s="25">
        <f t="shared" si="2"/>
        <v>-5.5609115509425155E-3</v>
      </c>
      <c r="I283" s="55"/>
    </row>
    <row r="284" spans="1:9">
      <c r="A284" s="52">
        <v>161.11959999999999</v>
      </c>
      <c r="B284" s="52">
        <v>162.4365</v>
      </c>
      <c r="C284" s="52">
        <v>160.93</v>
      </c>
      <c r="D284" s="52">
        <v>161.09960000000001</v>
      </c>
      <c r="E284" s="52">
        <v>18869199</v>
      </c>
      <c r="F284" s="52" t="s">
        <v>1982</v>
      </c>
      <c r="G284" s="25">
        <f t="shared" si="2"/>
        <v>1.2414680110928167E-4</v>
      </c>
      <c r="I284" s="55"/>
    </row>
    <row r="285" spans="1:9">
      <c r="A285" s="52">
        <v>161.9177</v>
      </c>
      <c r="B285" s="52">
        <v>162.84139999999999</v>
      </c>
      <c r="C285" s="52">
        <v>160.32140000000001</v>
      </c>
      <c r="D285" s="52">
        <v>162.65600000000001</v>
      </c>
      <c r="E285" s="52">
        <v>23332147</v>
      </c>
      <c r="F285" s="52" t="s">
        <v>1981</v>
      </c>
      <c r="G285" s="25">
        <f t="shared" si="2"/>
        <v>-4.5390271493213064E-3</v>
      </c>
      <c r="I285" s="55"/>
    </row>
    <row r="286" spans="1:9">
      <c r="A286" s="52">
        <v>161.47880000000001</v>
      </c>
      <c r="B286" s="52">
        <v>165.1104</v>
      </c>
      <c r="C286" s="52">
        <v>161.29920000000001</v>
      </c>
      <c r="D286" s="52">
        <v>163.97300000000001</v>
      </c>
      <c r="E286" s="52">
        <v>24150852</v>
      </c>
      <c r="F286" s="52" t="s">
        <v>1980</v>
      </c>
      <c r="G286" s="25">
        <f t="shared" si="2"/>
        <v>-1.5211040842089907E-2</v>
      </c>
      <c r="I286" s="55"/>
    </row>
    <row r="287" spans="1:9">
      <c r="A287" s="52">
        <v>163.2148</v>
      </c>
      <c r="B287" s="52">
        <v>163.3544</v>
      </c>
      <c r="C287" s="52">
        <v>161.6883</v>
      </c>
      <c r="D287" s="52">
        <v>163.125</v>
      </c>
      <c r="E287" s="52">
        <v>40896438</v>
      </c>
      <c r="F287" s="52" t="s">
        <v>1979</v>
      </c>
      <c r="G287" s="25">
        <f t="shared" si="2"/>
        <v>5.5049808429119551E-4</v>
      </c>
      <c r="I287" s="55"/>
    </row>
    <row r="288" spans="1:9">
      <c r="A288" s="52">
        <v>161.7681</v>
      </c>
      <c r="B288" s="52">
        <v>163.4143</v>
      </c>
      <c r="C288" s="52">
        <v>160.9699</v>
      </c>
      <c r="D288" s="52">
        <v>163.33449999999999</v>
      </c>
      <c r="E288" s="52">
        <v>26587733</v>
      </c>
      <c r="F288" s="52" t="s">
        <v>1978</v>
      </c>
      <c r="G288" s="25">
        <f t="shared" si="2"/>
        <v>-9.5901355806641275E-3</v>
      </c>
      <c r="I288" s="55"/>
    </row>
    <row r="289" spans="1:32">
      <c r="A289" s="52">
        <v>159.4434</v>
      </c>
      <c r="B289" s="52">
        <v>160.1318</v>
      </c>
      <c r="C289" s="52">
        <v>158.2312</v>
      </c>
      <c r="D289" s="52">
        <v>159.4933</v>
      </c>
      <c r="E289" s="52">
        <v>23677315</v>
      </c>
      <c r="F289" s="52" t="s">
        <v>1977</v>
      </c>
      <c r="G289" s="25">
        <f t="shared" si="2"/>
        <v>-3.1286580690226273E-4</v>
      </c>
      <c r="I289" s="55"/>
    </row>
    <row r="290" spans="1:32">
      <c r="A290" s="52">
        <v>158.9546</v>
      </c>
      <c r="B290" s="52">
        <v>160.18170000000001</v>
      </c>
      <c r="C290" s="52">
        <v>158.01169999999999</v>
      </c>
      <c r="D290" s="52">
        <v>158.65520000000001</v>
      </c>
      <c r="E290" s="52">
        <v>20715612</v>
      </c>
      <c r="F290" s="52" t="s">
        <v>1976</v>
      </c>
      <c r="G290" s="25">
        <f t="shared" si="2"/>
        <v>1.8871111693785636E-3</v>
      </c>
      <c r="I290" s="55"/>
    </row>
    <row r="291" spans="1:32">
      <c r="A291" s="52">
        <v>157.69739999999999</v>
      </c>
      <c r="B291" s="52">
        <v>157.887</v>
      </c>
      <c r="C291" s="52">
        <v>156.24080000000001</v>
      </c>
      <c r="D291" s="52">
        <v>156.94919999999999</v>
      </c>
      <c r="E291" s="52">
        <v>18379775</v>
      </c>
      <c r="F291" s="52" t="s">
        <v>1975</v>
      </c>
      <c r="G291" s="25">
        <f t="shared" si="2"/>
        <v>4.7671475866075674E-3</v>
      </c>
      <c r="I291" s="55"/>
      <c r="AF291" s="1" t="s">
        <v>2823</v>
      </c>
    </row>
    <row r="292" spans="1:32">
      <c r="A292" s="52">
        <v>157.09880000000001</v>
      </c>
      <c r="B292" s="52">
        <v>158.01669999999999</v>
      </c>
      <c r="C292" s="52">
        <v>154.85400000000001</v>
      </c>
      <c r="D292" s="52">
        <v>155.0735</v>
      </c>
      <c r="E292" s="52">
        <v>29591152</v>
      </c>
      <c r="F292" s="52" t="s">
        <v>1974</v>
      </c>
      <c r="G292" s="25">
        <f t="shared" si="2"/>
        <v>1.3060258522571644E-2</v>
      </c>
      <c r="I292" s="55"/>
    </row>
    <row r="293" spans="1:32">
      <c r="A293" s="52">
        <v>154.33519999999999</v>
      </c>
      <c r="B293" s="52">
        <v>154.4649</v>
      </c>
      <c r="C293" s="52">
        <v>152.29990000000001</v>
      </c>
      <c r="D293" s="52">
        <v>153.44720000000001</v>
      </c>
      <c r="E293" s="52">
        <v>29695048</v>
      </c>
      <c r="F293" s="52" t="s">
        <v>1973</v>
      </c>
      <c r="G293" s="25">
        <f t="shared" si="2"/>
        <v>5.7870068662053686E-3</v>
      </c>
      <c r="I293" s="55"/>
    </row>
    <row r="294" spans="1:32">
      <c r="A294" s="52">
        <v>150.8133</v>
      </c>
      <c r="B294" s="52">
        <v>151.1525</v>
      </c>
      <c r="C294" s="52">
        <v>147.1816</v>
      </c>
      <c r="D294" s="52">
        <v>149.5761</v>
      </c>
      <c r="E294" s="52">
        <v>29607693</v>
      </c>
      <c r="F294" s="52" t="s">
        <v>1972</v>
      </c>
      <c r="G294" s="25">
        <f t="shared" si="2"/>
        <v>8.2713749054827979E-3</v>
      </c>
      <c r="I294" s="55"/>
    </row>
    <row r="295" spans="1:32">
      <c r="A295" s="52">
        <v>148.31899999999999</v>
      </c>
      <c r="B295" s="52">
        <v>150.923</v>
      </c>
      <c r="C295" s="52">
        <v>147.99969999999999</v>
      </c>
      <c r="D295" s="52">
        <v>150.10489999999999</v>
      </c>
      <c r="E295" s="52">
        <v>31118765</v>
      </c>
      <c r="F295" s="52" t="s">
        <v>1971</v>
      </c>
      <c r="G295" s="25">
        <f t="shared" si="2"/>
        <v>-1.1897679556097107E-2</v>
      </c>
      <c r="I295" s="55"/>
    </row>
    <row r="296" spans="1:32">
      <c r="A296" s="52">
        <v>148.3689</v>
      </c>
      <c r="B296" s="52">
        <v>153.04810000000001</v>
      </c>
      <c r="C296" s="52">
        <v>146.87729999999999</v>
      </c>
      <c r="D296" s="52">
        <v>152.1602</v>
      </c>
      <c r="E296" s="52">
        <v>39260451</v>
      </c>
      <c r="F296" s="52" t="s">
        <v>1970</v>
      </c>
      <c r="G296" s="25">
        <f t="shared" si="2"/>
        <v>-2.4916502475680335E-2</v>
      </c>
      <c r="I296" s="55"/>
    </row>
    <row r="297" spans="1:32">
      <c r="A297" s="52">
        <v>150.37430000000001</v>
      </c>
      <c r="B297" s="52">
        <v>157.2593</v>
      </c>
      <c r="C297" s="52">
        <v>150.00559999999999</v>
      </c>
      <c r="D297" s="52">
        <v>156.7312</v>
      </c>
      <c r="E297" s="52">
        <v>37912130</v>
      </c>
      <c r="F297" s="52" t="s">
        <v>1969</v>
      </c>
      <c r="G297" s="25">
        <f t="shared" si="2"/>
        <v>-4.0559250487458787E-2</v>
      </c>
      <c r="I297" s="55"/>
    </row>
    <row r="298" spans="1:32">
      <c r="A298" s="52">
        <v>156.67140000000001</v>
      </c>
      <c r="B298" s="52">
        <v>158.8734</v>
      </c>
      <c r="C298" s="52">
        <v>155.41650000000001</v>
      </c>
      <c r="D298" s="52">
        <v>155.73480000000001</v>
      </c>
      <c r="E298" s="52">
        <v>18688747</v>
      </c>
      <c r="F298" s="52" t="s">
        <v>1968</v>
      </c>
      <c r="G298" s="25">
        <f t="shared" si="2"/>
        <v>6.014070072970279E-3</v>
      </c>
      <c r="I298" s="55"/>
    </row>
    <row r="299" spans="1:32">
      <c r="A299" s="52">
        <v>155.8843</v>
      </c>
      <c r="B299" s="52">
        <v>158.42509999999999</v>
      </c>
      <c r="C299" s="52">
        <v>155.39769999999999</v>
      </c>
      <c r="D299" s="52">
        <v>156.08850000000001</v>
      </c>
      <c r="E299" s="52">
        <v>19353759</v>
      </c>
      <c r="F299" s="52" t="s">
        <v>1967</v>
      </c>
      <c r="G299" s="25">
        <f t="shared" si="2"/>
        <v>-1.3082321887903925E-3</v>
      </c>
      <c r="I299" s="55"/>
    </row>
    <row r="300" spans="1:32">
      <c r="A300" s="52">
        <v>156.791</v>
      </c>
      <c r="B300" s="52">
        <v>161.26480000000001</v>
      </c>
      <c r="C300" s="52">
        <v>155.91419999999999</v>
      </c>
      <c r="D300" s="52">
        <v>161.1352</v>
      </c>
      <c r="E300" s="52">
        <v>38945301</v>
      </c>
      <c r="F300" s="52" t="s">
        <v>1966</v>
      </c>
      <c r="G300" s="25">
        <f t="shared" si="2"/>
        <v>-2.6959969019804464E-2</v>
      </c>
      <c r="I300" s="55"/>
    </row>
    <row r="301" spans="1:32">
      <c r="A301" s="52">
        <v>162.78919999999999</v>
      </c>
      <c r="B301" s="52">
        <v>163.06819999999999</v>
      </c>
      <c r="C301" s="52">
        <v>161.1078</v>
      </c>
      <c r="D301" s="52">
        <v>162.02699999999999</v>
      </c>
      <c r="E301" s="52">
        <v>22123811</v>
      </c>
      <c r="F301" s="52" t="s">
        <v>1965</v>
      </c>
      <c r="G301" s="25">
        <f t="shared" si="2"/>
        <v>4.7041542458974295E-3</v>
      </c>
      <c r="I301" s="55"/>
    </row>
    <row r="302" spans="1:32">
      <c r="A302" s="52">
        <v>161.19499999999999</v>
      </c>
      <c r="B302" s="52">
        <v>165.3699</v>
      </c>
      <c r="C302" s="52">
        <v>159.6705</v>
      </c>
      <c r="D302" s="52">
        <v>163.7159</v>
      </c>
      <c r="E302" s="52">
        <v>19699767</v>
      </c>
      <c r="F302" s="52" t="s">
        <v>1964</v>
      </c>
      <c r="G302" s="25">
        <f t="shared" si="2"/>
        <v>-1.5398015708920187E-2</v>
      </c>
      <c r="I302" s="55"/>
    </row>
    <row r="303" spans="1:32">
      <c r="A303" s="52">
        <v>162.2611</v>
      </c>
      <c r="B303" s="52">
        <v>165.00120000000001</v>
      </c>
      <c r="C303" s="52">
        <v>160.9443</v>
      </c>
      <c r="D303" s="52">
        <v>164.43819999999999</v>
      </c>
      <c r="E303" s="52">
        <v>16407444</v>
      </c>
      <c r="F303" s="52" t="s">
        <v>1963</v>
      </c>
      <c r="G303" s="25">
        <f t="shared" si="2"/>
        <v>-1.3239624369519976E-2</v>
      </c>
      <c r="I303" s="55"/>
    </row>
    <row r="304" spans="1:32">
      <c r="A304" s="52">
        <v>164.08449999999999</v>
      </c>
      <c r="B304" s="52">
        <v>165.8408</v>
      </c>
      <c r="C304" s="52">
        <v>163.86529999999999</v>
      </c>
      <c r="D304" s="52">
        <v>165.2353</v>
      </c>
      <c r="E304" s="52">
        <v>11821941</v>
      </c>
      <c r="F304" s="52" t="s">
        <v>1962</v>
      </c>
      <c r="G304" s="25">
        <f t="shared" si="2"/>
        <v>-6.9646134936057758E-3</v>
      </c>
      <c r="I304" s="55"/>
    </row>
    <row r="305" spans="1:9">
      <c r="A305" s="52">
        <v>165.5592</v>
      </c>
      <c r="B305" s="52">
        <v>166.94409999999999</v>
      </c>
      <c r="C305" s="52">
        <v>163.8603</v>
      </c>
      <c r="D305" s="52">
        <v>165.7784</v>
      </c>
      <c r="E305" s="52">
        <v>14190417</v>
      </c>
      <c r="F305" s="52" t="s">
        <v>1961</v>
      </c>
      <c r="G305" s="25">
        <f t="shared" si="2"/>
        <v>-1.3222470478663206E-3</v>
      </c>
      <c r="I305" s="55"/>
    </row>
    <row r="306" spans="1:9">
      <c r="A306" s="52">
        <v>165.02109999999999</v>
      </c>
      <c r="B306" s="52">
        <v>165.57910000000001</v>
      </c>
      <c r="C306" s="52">
        <v>163.23759999999999</v>
      </c>
      <c r="D306" s="52">
        <v>164.12440000000001</v>
      </c>
      <c r="E306" s="52">
        <v>13955741</v>
      </c>
      <c r="F306" s="52" t="s">
        <v>1960</v>
      </c>
      <c r="G306" s="25">
        <f t="shared" si="2"/>
        <v>5.4635386328905078E-3</v>
      </c>
      <c r="I306" s="55"/>
    </row>
    <row r="307" spans="1:9">
      <c r="A307" s="52">
        <v>163.20769999999999</v>
      </c>
      <c r="B307" s="52">
        <v>166.98400000000001</v>
      </c>
      <c r="C307" s="52">
        <v>162.71950000000001</v>
      </c>
      <c r="D307" s="52">
        <v>166.65520000000001</v>
      </c>
      <c r="E307" s="52">
        <v>22493275</v>
      </c>
      <c r="F307" s="52" t="s">
        <v>1959</v>
      </c>
      <c r="G307" s="25">
        <f t="shared" si="2"/>
        <v>-2.0686423225918071E-2</v>
      </c>
      <c r="I307" s="55"/>
    </row>
    <row r="308" spans="1:9">
      <c r="A308" s="52">
        <v>165.25030000000001</v>
      </c>
      <c r="B308" s="52">
        <v>166.2467</v>
      </c>
      <c r="C308" s="52">
        <v>164.0746</v>
      </c>
      <c r="D308" s="52">
        <v>164.55279999999999</v>
      </c>
      <c r="E308" s="52">
        <v>22901997</v>
      </c>
      <c r="F308" s="52" t="s">
        <v>1958</v>
      </c>
      <c r="G308" s="25">
        <f t="shared" si="2"/>
        <v>4.2387610542027332E-3</v>
      </c>
      <c r="I308" s="55"/>
    </row>
    <row r="309" spans="1:9">
      <c r="A309" s="52">
        <v>166.57550000000001</v>
      </c>
      <c r="B309" s="52">
        <v>168.03020000000001</v>
      </c>
      <c r="C309" s="52">
        <v>166.21680000000001</v>
      </c>
      <c r="D309" s="52">
        <v>166.29650000000001</v>
      </c>
      <c r="E309" s="52">
        <v>18341533</v>
      </c>
      <c r="F309" s="52" t="s">
        <v>1957</v>
      </c>
      <c r="G309" s="25">
        <f t="shared" si="2"/>
        <v>1.6777262299567663E-3</v>
      </c>
      <c r="I309" s="55"/>
    </row>
    <row r="310" spans="1:9">
      <c r="A310" s="52">
        <v>166.06729999999999</v>
      </c>
      <c r="B310" s="52">
        <v>166.0873</v>
      </c>
      <c r="C310" s="52">
        <v>163.666</v>
      </c>
      <c r="D310" s="52">
        <v>164.6824</v>
      </c>
      <c r="E310" s="52">
        <v>22416185</v>
      </c>
      <c r="F310" s="52" t="s">
        <v>1956</v>
      </c>
      <c r="G310" s="25">
        <f t="shared" si="2"/>
        <v>8.4095203859064771E-3</v>
      </c>
      <c r="I310" s="55"/>
    </row>
    <row r="311" spans="1:9">
      <c r="A311" s="52">
        <v>162.3707</v>
      </c>
      <c r="B311" s="52">
        <v>164.4632</v>
      </c>
      <c r="C311" s="52">
        <v>160.54740000000001</v>
      </c>
      <c r="D311" s="52">
        <v>160.8861</v>
      </c>
      <c r="E311" s="52">
        <v>24208647</v>
      </c>
      <c r="F311" s="52" t="s">
        <v>1955</v>
      </c>
      <c r="G311" s="25">
        <f t="shared" si="2"/>
        <v>9.227646142208723E-3</v>
      </c>
      <c r="I311" s="55"/>
    </row>
    <row r="312" spans="1:9">
      <c r="A312" s="52">
        <v>160.7167</v>
      </c>
      <c r="B312" s="52">
        <v>161.0505</v>
      </c>
      <c r="C312" s="52">
        <v>159.03290000000001</v>
      </c>
      <c r="D312" s="52">
        <v>159.9196</v>
      </c>
      <c r="E312" s="52">
        <v>31524252</v>
      </c>
      <c r="F312" s="52" t="s">
        <v>1954</v>
      </c>
      <c r="G312" s="25">
        <f t="shared" si="2"/>
        <v>4.9843796507744731E-3</v>
      </c>
      <c r="I312" s="55"/>
    </row>
    <row r="313" spans="1:9">
      <c r="A313" s="52">
        <v>159.7901</v>
      </c>
      <c r="B313" s="52">
        <v>162.62979999999999</v>
      </c>
      <c r="C313" s="52">
        <v>157.1397</v>
      </c>
      <c r="D313" s="52">
        <v>161.81280000000001</v>
      </c>
      <c r="E313" s="52">
        <v>40591126</v>
      </c>
      <c r="F313" s="52" t="s">
        <v>1953</v>
      </c>
      <c r="G313" s="25">
        <f t="shared" si="2"/>
        <v>-1.2500247199232817E-2</v>
      </c>
      <c r="I313" s="55"/>
    </row>
    <row r="314" spans="1:9">
      <c r="A314" s="52">
        <v>163.56639999999999</v>
      </c>
      <c r="B314" s="52">
        <v>164.1343</v>
      </c>
      <c r="C314" s="52">
        <v>162.38069999999999</v>
      </c>
      <c r="D314" s="52">
        <v>162.81909999999999</v>
      </c>
      <c r="E314" s="52">
        <v>18551690</v>
      </c>
      <c r="F314" s="52" t="s">
        <v>1952</v>
      </c>
      <c r="G314" s="25">
        <f t="shared" si="2"/>
        <v>4.5897563615078241E-3</v>
      </c>
      <c r="I314" s="55"/>
    </row>
    <row r="315" spans="1:9">
      <c r="A315" s="52">
        <v>161.70320000000001</v>
      </c>
      <c r="B315" s="52">
        <v>164.30369999999999</v>
      </c>
      <c r="C315" s="52">
        <v>161.25479999999999</v>
      </c>
      <c r="D315" s="52">
        <v>163.75569999999999</v>
      </c>
      <c r="E315" s="52">
        <v>15895286</v>
      </c>
      <c r="F315" s="52" t="s">
        <v>1951</v>
      </c>
      <c r="G315" s="25">
        <f t="shared" ref="G315:G378" si="3">A315/D315-1</f>
        <v>-1.2533914849986783E-2</v>
      </c>
      <c r="I315" s="55"/>
    </row>
    <row r="316" spans="1:9">
      <c r="A316" s="52">
        <v>163.07820000000001</v>
      </c>
      <c r="B316" s="52">
        <v>163.1977</v>
      </c>
      <c r="C316" s="52">
        <v>158.48480000000001</v>
      </c>
      <c r="D316" s="52">
        <v>159.4314</v>
      </c>
      <c r="E316" s="52">
        <v>28602285</v>
      </c>
      <c r="F316" s="52" t="s">
        <v>1950</v>
      </c>
      <c r="G316" s="25">
        <f t="shared" si="3"/>
        <v>2.2873787723121097E-2</v>
      </c>
      <c r="I316" s="55"/>
    </row>
    <row r="317" spans="1:9">
      <c r="A317" s="52">
        <v>161.44409999999999</v>
      </c>
      <c r="B317" s="52">
        <v>163.09809999999999</v>
      </c>
      <c r="C317" s="52">
        <v>159.63069999999999</v>
      </c>
      <c r="D317" s="52">
        <v>159.92959999999999</v>
      </c>
      <c r="E317" s="52">
        <v>25578839</v>
      </c>
      <c r="F317" s="52" t="s">
        <v>1949</v>
      </c>
      <c r="G317" s="25">
        <f t="shared" si="3"/>
        <v>9.4697917083517158E-3</v>
      </c>
      <c r="I317" s="55"/>
    </row>
    <row r="318" spans="1:9">
      <c r="A318" s="52">
        <v>158.36529999999999</v>
      </c>
      <c r="B318" s="52">
        <v>162.39070000000001</v>
      </c>
      <c r="C318" s="52">
        <v>157.89699999999999</v>
      </c>
      <c r="D318" s="52">
        <v>160.6669</v>
      </c>
      <c r="E318" s="52">
        <v>25138573</v>
      </c>
      <c r="F318" s="52" t="s">
        <v>1948</v>
      </c>
      <c r="G318" s="25">
        <f t="shared" si="3"/>
        <v>-1.4325290398955914E-2</v>
      </c>
      <c r="I318" s="55"/>
    </row>
    <row r="319" spans="1:9">
      <c r="A319" s="52">
        <v>157.7176</v>
      </c>
      <c r="B319" s="52">
        <v>159.98939999999999</v>
      </c>
      <c r="C319" s="52">
        <v>155.84440000000001</v>
      </c>
      <c r="D319" s="52">
        <v>158.75389999999999</v>
      </c>
      <c r="E319" s="52">
        <v>49004561</v>
      </c>
      <c r="F319" s="52" t="s">
        <v>1947</v>
      </c>
      <c r="G319" s="25">
        <f t="shared" si="3"/>
        <v>-6.5277136498692601E-3</v>
      </c>
      <c r="I319" s="55"/>
    </row>
    <row r="320" spans="1:9">
      <c r="A320" s="52">
        <v>158.67420000000001</v>
      </c>
      <c r="B320" s="52">
        <v>163.83539999999999</v>
      </c>
      <c r="C320" s="52">
        <v>154.3698</v>
      </c>
      <c r="D320" s="52">
        <v>154.93770000000001</v>
      </c>
      <c r="E320" s="52">
        <v>53630673</v>
      </c>
      <c r="F320" s="52" t="s">
        <v>1946</v>
      </c>
      <c r="G320" s="25">
        <f t="shared" si="3"/>
        <v>2.4116144747211354E-2</v>
      </c>
      <c r="I320" s="55"/>
    </row>
    <row r="321" spans="1:9">
      <c r="A321" s="52">
        <v>166.0574</v>
      </c>
      <c r="B321" s="52">
        <v>167.9007</v>
      </c>
      <c r="C321" s="52">
        <v>164.0746</v>
      </c>
      <c r="D321" s="52">
        <v>165.8382</v>
      </c>
      <c r="E321" s="52">
        <v>29130102</v>
      </c>
      <c r="F321" s="52" t="s">
        <v>1945</v>
      </c>
      <c r="G321" s="25">
        <f t="shared" si="3"/>
        <v>1.3217702555865518E-3</v>
      </c>
      <c r="I321" s="55"/>
    </row>
    <row r="322" spans="1:9">
      <c r="A322" s="52">
        <v>170.14250000000001</v>
      </c>
      <c r="B322" s="52">
        <v>173.42060000000001</v>
      </c>
      <c r="C322" s="52">
        <v>168.26929999999999</v>
      </c>
      <c r="D322" s="52">
        <v>169.6344</v>
      </c>
      <c r="E322" s="52">
        <v>24531392</v>
      </c>
      <c r="F322" s="52" t="s">
        <v>1944</v>
      </c>
      <c r="G322" s="25">
        <f t="shared" si="3"/>
        <v>2.9952651113218653E-3</v>
      </c>
      <c r="I322" s="55"/>
    </row>
    <row r="323" spans="1:9">
      <c r="A323" s="52">
        <v>170.91970000000001</v>
      </c>
      <c r="B323" s="52">
        <v>173.61490000000001</v>
      </c>
      <c r="C323" s="52">
        <v>169.39529999999999</v>
      </c>
      <c r="D323" s="52">
        <v>172.61359999999999</v>
      </c>
      <c r="E323" s="52">
        <v>25729090</v>
      </c>
      <c r="F323" s="52" t="s">
        <v>1943</v>
      </c>
      <c r="G323" s="25">
        <f t="shared" si="3"/>
        <v>-9.8132476235939237E-3</v>
      </c>
      <c r="I323" s="55"/>
    </row>
    <row r="324" spans="1:9">
      <c r="A324" s="52">
        <v>169.67420000000001</v>
      </c>
      <c r="B324" s="52">
        <v>170.61070000000001</v>
      </c>
      <c r="C324" s="52">
        <v>167.83090000000001</v>
      </c>
      <c r="D324" s="52">
        <v>169.62440000000001</v>
      </c>
      <c r="E324" s="52">
        <v>18959686</v>
      </c>
      <c r="F324" s="52" t="s">
        <v>1942</v>
      </c>
      <c r="G324" s="25">
        <f t="shared" si="3"/>
        <v>2.9358983731109234E-4</v>
      </c>
      <c r="I324" s="55"/>
    </row>
    <row r="325" spans="1:9">
      <c r="A325" s="52">
        <v>168.917</v>
      </c>
      <c r="B325" s="52">
        <v>169.81370000000001</v>
      </c>
      <c r="C325" s="52">
        <v>167.3826</v>
      </c>
      <c r="D325" s="52">
        <v>168.21950000000001</v>
      </c>
      <c r="E325" s="52">
        <v>20293822</v>
      </c>
      <c r="F325" s="52" t="s">
        <v>1941</v>
      </c>
      <c r="G325" s="25">
        <f t="shared" si="3"/>
        <v>4.146368286672919E-3</v>
      </c>
      <c r="I325" s="55"/>
    </row>
    <row r="326" spans="1:9">
      <c r="A326" s="52">
        <v>166.39609999999999</v>
      </c>
      <c r="B326" s="52">
        <v>167.48220000000001</v>
      </c>
      <c r="C326" s="52">
        <v>163.46680000000001</v>
      </c>
      <c r="D326" s="52">
        <v>166.54560000000001</v>
      </c>
      <c r="E326" s="52">
        <v>41336886</v>
      </c>
      <c r="F326" s="52" t="s">
        <v>1940</v>
      </c>
      <c r="G326" s="25">
        <f t="shared" si="3"/>
        <v>-8.9765205445246909E-4</v>
      </c>
      <c r="I326" s="55"/>
    </row>
    <row r="327" spans="1:9">
      <c r="A327" s="52">
        <v>166.67509999999999</v>
      </c>
      <c r="B327" s="52">
        <v>172.7929</v>
      </c>
      <c r="C327" s="52">
        <v>166.58539999999999</v>
      </c>
      <c r="D327" s="52">
        <v>171.89619999999999</v>
      </c>
      <c r="E327" s="52">
        <v>44851973</v>
      </c>
      <c r="F327" s="52" t="s">
        <v>1939</v>
      </c>
      <c r="G327" s="25">
        <f t="shared" si="3"/>
        <v>-3.0373562650017893E-2</v>
      </c>
      <c r="I327" s="55"/>
    </row>
    <row r="328" spans="1:9">
      <c r="A328" s="52">
        <v>172.00579999999999</v>
      </c>
      <c r="B328" s="52">
        <v>175.55289999999999</v>
      </c>
      <c r="C328" s="52">
        <v>171.1987</v>
      </c>
      <c r="D328" s="52">
        <v>172.97229999999999</v>
      </c>
      <c r="E328" s="52">
        <v>49585203</v>
      </c>
      <c r="F328" s="52" t="s">
        <v>1938</v>
      </c>
      <c r="G328" s="25">
        <f t="shared" si="3"/>
        <v>-5.5875998642557212E-3</v>
      </c>
      <c r="I328" s="55"/>
    </row>
    <row r="329" spans="1:9">
      <c r="A329" s="52">
        <v>181.1327</v>
      </c>
      <c r="B329" s="52">
        <v>182.9461</v>
      </c>
      <c r="C329" s="52">
        <v>180.8836</v>
      </c>
      <c r="D329" s="52">
        <v>181.39169999999999</v>
      </c>
      <c r="E329" s="52">
        <v>36352714</v>
      </c>
      <c r="F329" s="52" t="s">
        <v>1937</v>
      </c>
      <c r="G329" s="25">
        <f t="shared" si="3"/>
        <v>-1.427849234556966E-3</v>
      </c>
      <c r="I329" s="55"/>
    </row>
    <row r="330" spans="1:9">
      <c r="A330" s="52">
        <v>181.01310000000001</v>
      </c>
      <c r="B330" s="52">
        <v>182.0394</v>
      </c>
      <c r="C330" s="52">
        <v>179.57830000000001</v>
      </c>
      <c r="D330" s="52">
        <v>179.93700000000001</v>
      </c>
      <c r="E330" s="52">
        <v>24100345</v>
      </c>
      <c r="F330" s="52" t="s">
        <v>1936</v>
      </c>
      <c r="G330" s="25">
        <f t="shared" si="3"/>
        <v>5.9804264826022191E-3</v>
      </c>
      <c r="I330" s="55"/>
    </row>
    <row r="331" spans="1:9">
      <c r="A331" s="52">
        <v>177.01759999999999</v>
      </c>
      <c r="B331" s="52">
        <v>179.63810000000001</v>
      </c>
      <c r="C331" s="52">
        <v>176.48949999999999</v>
      </c>
      <c r="D331" s="52">
        <v>178.23320000000001</v>
      </c>
      <c r="E331" s="52">
        <v>18881885</v>
      </c>
      <c r="F331" s="52" t="s">
        <v>1935</v>
      </c>
      <c r="G331" s="25">
        <f t="shared" si="3"/>
        <v>-6.8202781524431266E-3</v>
      </c>
      <c r="I331" s="55"/>
    </row>
    <row r="332" spans="1:9">
      <c r="A332" s="52">
        <v>177.04750000000001</v>
      </c>
      <c r="B332" s="52">
        <v>181.84010000000001</v>
      </c>
      <c r="C332" s="52">
        <v>175.83189999999999</v>
      </c>
      <c r="D332" s="52">
        <v>181.27209999999999</v>
      </c>
      <c r="E332" s="52">
        <v>25315727</v>
      </c>
      <c r="F332" s="52" t="s">
        <v>1934</v>
      </c>
      <c r="G332" s="25">
        <f t="shared" si="3"/>
        <v>-2.3305296292148503E-2</v>
      </c>
      <c r="I332" s="55"/>
    </row>
    <row r="333" spans="1:9">
      <c r="A333" s="52">
        <v>180.36539999999999</v>
      </c>
      <c r="B333" s="52">
        <v>182.88630000000001</v>
      </c>
      <c r="C333" s="52">
        <v>179.24950000000001</v>
      </c>
      <c r="D333" s="52">
        <v>182.30340000000001</v>
      </c>
      <c r="E333" s="52">
        <v>20734071</v>
      </c>
      <c r="F333" s="52" t="s">
        <v>1933</v>
      </c>
      <c r="G333" s="25">
        <f t="shared" si="3"/>
        <v>-1.063063003761866E-2</v>
      </c>
      <c r="I333" s="55"/>
    </row>
    <row r="334" spans="1:9">
      <c r="A334" s="52">
        <v>183.255</v>
      </c>
      <c r="B334" s="52">
        <v>187.99770000000001</v>
      </c>
      <c r="C334" s="52">
        <v>182.7105</v>
      </c>
      <c r="D334" s="52">
        <v>186.6825</v>
      </c>
      <c r="E334" s="52">
        <v>18290722</v>
      </c>
      <c r="F334" s="52" t="s">
        <v>1932</v>
      </c>
      <c r="G334" s="25">
        <f t="shared" si="3"/>
        <v>-1.8360049817203072E-2</v>
      </c>
      <c r="I334" s="55"/>
    </row>
    <row r="335" spans="1:9">
      <c r="A335" s="52">
        <v>185.85550000000001</v>
      </c>
      <c r="B335" s="52">
        <v>187.55930000000001</v>
      </c>
      <c r="C335" s="52">
        <v>184.25129999999999</v>
      </c>
      <c r="D335" s="52">
        <v>184.25129999999999</v>
      </c>
      <c r="E335" s="52">
        <v>16474043</v>
      </c>
      <c r="F335" s="52" t="s">
        <v>1931</v>
      </c>
      <c r="G335" s="25">
        <f t="shared" si="3"/>
        <v>8.7065871448397392E-3</v>
      </c>
      <c r="I335" s="55"/>
    </row>
    <row r="336" spans="1:9">
      <c r="A336" s="52">
        <v>184.4008</v>
      </c>
      <c r="B336" s="52">
        <v>186.43340000000001</v>
      </c>
      <c r="C336" s="52">
        <v>183.8229</v>
      </c>
      <c r="D336" s="52">
        <v>184.41079999999999</v>
      </c>
      <c r="E336" s="52">
        <v>22898406</v>
      </c>
      <c r="F336" s="52" t="s">
        <v>1930</v>
      </c>
      <c r="G336" s="25">
        <f t="shared" si="3"/>
        <v>-5.4226758953279663E-5</v>
      </c>
      <c r="I336" s="55"/>
    </row>
    <row r="337" spans="1:9">
      <c r="A337" s="52">
        <v>184.899</v>
      </c>
      <c r="B337" s="52">
        <v>190.16990000000001</v>
      </c>
      <c r="C337" s="52">
        <v>184.41079999999999</v>
      </c>
      <c r="D337" s="52">
        <v>189.1585</v>
      </c>
      <c r="E337" s="52">
        <v>25625784</v>
      </c>
      <c r="F337" s="52" t="s">
        <v>1929</v>
      </c>
      <c r="G337" s="25">
        <f t="shared" si="3"/>
        <v>-2.2518152766066613E-2</v>
      </c>
      <c r="I337" s="55"/>
    </row>
    <row r="338" spans="1:9">
      <c r="A338" s="52">
        <v>190.48869999999999</v>
      </c>
      <c r="B338" s="52">
        <v>191.0566</v>
      </c>
      <c r="C338" s="52">
        <v>188.34649999999999</v>
      </c>
      <c r="D338" s="52">
        <v>188.46600000000001</v>
      </c>
      <c r="E338" s="52">
        <v>15952454</v>
      </c>
      <c r="F338" s="52" t="s">
        <v>1928</v>
      </c>
      <c r="G338" s="25">
        <f t="shared" si="3"/>
        <v>1.0732439803465832E-2</v>
      </c>
      <c r="I338" s="55"/>
    </row>
    <row r="339" spans="1:9">
      <c r="A339" s="52">
        <v>188.29669999999999</v>
      </c>
      <c r="B339" s="52">
        <v>190.66810000000001</v>
      </c>
      <c r="C339" s="52">
        <v>188.0376</v>
      </c>
      <c r="D339" s="52">
        <v>189.62180000000001</v>
      </c>
      <c r="E339" s="52">
        <v>15141312</v>
      </c>
      <c r="F339" s="52" t="s">
        <v>1927</v>
      </c>
      <c r="G339" s="25">
        <f t="shared" si="3"/>
        <v>-6.9881205641968425E-3</v>
      </c>
      <c r="I339" s="55"/>
    </row>
    <row r="340" spans="1:9">
      <c r="A340" s="52">
        <v>188.34649999999999</v>
      </c>
      <c r="B340" s="52">
        <v>189.48240000000001</v>
      </c>
      <c r="C340" s="52">
        <v>187.101</v>
      </c>
      <c r="D340" s="52">
        <v>189.20830000000001</v>
      </c>
      <c r="E340" s="52">
        <v>21035886</v>
      </c>
      <c r="F340" s="52" t="s">
        <v>1926</v>
      </c>
      <c r="G340" s="25">
        <f t="shared" si="3"/>
        <v>-4.5547684747445638E-3</v>
      </c>
      <c r="I340" s="55"/>
    </row>
    <row r="341" spans="1:9">
      <c r="A341" s="52">
        <v>189.91079999999999</v>
      </c>
      <c r="B341" s="52">
        <v>190.16990000000001</v>
      </c>
      <c r="C341" s="52">
        <v>185.12819999999999</v>
      </c>
      <c r="D341" s="52">
        <v>185.18299999999999</v>
      </c>
      <c r="E341" s="52">
        <v>20967450</v>
      </c>
      <c r="F341" s="52" t="s">
        <v>1925</v>
      </c>
      <c r="G341" s="25">
        <f t="shared" si="3"/>
        <v>2.553042125897087E-2</v>
      </c>
      <c r="I341" s="55"/>
    </row>
    <row r="342" spans="1:9">
      <c r="A342" s="52">
        <v>185.1481</v>
      </c>
      <c r="B342" s="52">
        <v>185.4171</v>
      </c>
      <c r="C342" s="52">
        <v>183.3347</v>
      </c>
      <c r="D342" s="52">
        <v>184.1816</v>
      </c>
      <c r="E342" s="52">
        <v>10242126</v>
      </c>
      <c r="F342" s="52" t="s">
        <v>1924</v>
      </c>
      <c r="G342" s="25">
        <f t="shared" si="3"/>
        <v>5.2475382991568065E-3</v>
      </c>
      <c r="I342" s="55"/>
    </row>
    <row r="343" spans="1:9">
      <c r="A343" s="52">
        <v>184.5702</v>
      </c>
      <c r="B343" s="52">
        <v>184.899</v>
      </c>
      <c r="C343" s="52">
        <v>180.90350000000001</v>
      </c>
      <c r="D343" s="52">
        <v>181.39169999999999</v>
      </c>
      <c r="E343" s="52">
        <v>17372485</v>
      </c>
      <c r="F343" s="52" t="s">
        <v>1923</v>
      </c>
      <c r="G343" s="25">
        <f t="shared" si="3"/>
        <v>1.7522852478917272E-2</v>
      </c>
      <c r="I343" s="55"/>
    </row>
    <row r="344" spans="1:9">
      <c r="A344" s="52">
        <v>182.32830000000001</v>
      </c>
      <c r="B344" s="52">
        <v>183.21510000000001</v>
      </c>
      <c r="C344" s="52">
        <v>180.64439999999999</v>
      </c>
      <c r="D344" s="52">
        <v>182.3682</v>
      </c>
      <c r="E344" s="52">
        <v>16006128</v>
      </c>
      <c r="F344" s="52" t="s">
        <v>1922</v>
      </c>
      <c r="G344" s="25">
        <f t="shared" si="3"/>
        <v>-2.18788143985571E-4</v>
      </c>
      <c r="I344" s="55"/>
    </row>
    <row r="345" spans="1:9">
      <c r="A345" s="52">
        <v>181.4914</v>
      </c>
      <c r="B345" s="52">
        <v>184.4606</v>
      </c>
      <c r="C345" s="52">
        <v>181.30199999999999</v>
      </c>
      <c r="D345" s="52">
        <v>183.65350000000001</v>
      </c>
      <c r="E345" s="52">
        <v>29156644</v>
      </c>
      <c r="F345" s="52" t="s">
        <v>1921</v>
      </c>
      <c r="G345" s="25">
        <f t="shared" si="3"/>
        <v>-1.177271328888374E-2</v>
      </c>
      <c r="I345" s="55"/>
    </row>
    <row r="346" spans="1:9">
      <c r="A346" s="52">
        <v>184.7396</v>
      </c>
      <c r="B346" s="52">
        <v>185.37729999999999</v>
      </c>
      <c r="C346" s="52">
        <v>183.3546</v>
      </c>
      <c r="D346" s="52">
        <v>183.51400000000001</v>
      </c>
      <c r="E346" s="52">
        <v>18848884</v>
      </c>
      <c r="F346" s="52" t="s">
        <v>1920</v>
      </c>
      <c r="G346" s="25">
        <f t="shared" si="3"/>
        <v>6.6785095415062834E-3</v>
      </c>
      <c r="I346" s="55"/>
    </row>
    <row r="347" spans="1:9">
      <c r="A347" s="52">
        <v>183.21510000000001</v>
      </c>
      <c r="B347" s="52">
        <v>183.84280000000001</v>
      </c>
      <c r="C347" s="52">
        <v>181.8202</v>
      </c>
      <c r="D347" s="52">
        <v>181.96960000000001</v>
      </c>
      <c r="E347" s="52">
        <v>19838972</v>
      </c>
      <c r="F347" s="52" t="s">
        <v>1919</v>
      </c>
      <c r="G347" s="25">
        <f t="shared" si="3"/>
        <v>6.8445498588773912E-3</v>
      </c>
      <c r="I347" s="55"/>
    </row>
    <row r="348" spans="1:9">
      <c r="A348" s="52">
        <v>183.3646</v>
      </c>
      <c r="B348" s="52">
        <v>183.62360000000001</v>
      </c>
      <c r="C348" s="52">
        <v>178.77119999999999</v>
      </c>
      <c r="D348" s="52">
        <v>178.97049999999999</v>
      </c>
      <c r="E348" s="52">
        <v>23235589</v>
      </c>
      <c r="F348" s="52" t="s">
        <v>1918</v>
      </c>
      <c r="G348" s="25">
        <f t="shared" si="3"/>
        <v>2.4552090987062236E-2</v>
      </c>
      <c r="I348" s="55"/>
    </row>
    <row r="349" spans="1:9">
      <c r="A349" s="52">
        <v>178.5719</v>
      </c>
      <c r="B349" s="52">
        <v>180.23589999999999</v>
      </c>
      <c r="C349" s="52">
        <v>178.0239</v>
      </c>
      <c r="D349" s="52">
        <v>179.5085</v>
      </c>
      <c r="E349" s="52">
        <v>18298012</v>
      </c>
      <c r="F349" s="52" t="s">
        <v>1917</v>
      </c>
      <c r="G349" s="25">
        <f t="shared" si="3"/>
        <v>-5.2175802260060467E-3</v>
      </c>
      <c r="I349" s="55"/>
    </row>
    <row r="350" spans="1:9">
      <c r="A350" s="52">
        <v>178.98050000000001</v>
      </c>
      <c r="B350" s="52">
        <v>180.1961</v>
      </c>
      <c r="C350" s="52">
        <v>175.97139999999999</v>
      </c>
      <c r="D350" s="52">
        <v>176.36</v>
      </c>
      <c r="E350" s="52">
        <v>58582743</v>
      </c>
      <c r="F350" s="52" t="s">
        <v>1916</v>
      </c>
      <c r="G350" s="25">
        <f t="shared" si="3"/>
        <v>1.4858811521887061E-2</v>
      </c>
      <c r="I350" s="55"/>
    </row>
    <row r="351" spans="1:9">
      <c r="A351" s="52">
        <v>175.66249999999999</v>
      </c>
      <c r="B351" s="52">
        <v>176.6489</v>
      </c>
      <c r="C351" s="52">
        <v>174.35720000000001</v>
      </c>
      <c r="D351" s="52">
        <v>174.73589999999999</v>
      </c>
      <c r="E351" s="52">
        <v>20160085</v>
      </c>
      <c r="F351" s="52" t="s">
        <v>1915</v>
      </c>
      <c r="G351" s="25">
        <f t="shared" si="3"/>
        <v>5.3028599160218626E-3</v>
      </c>
      <c r="I351" s="55"/>
    </row>
    <row r="352" spans="1:9">
      <c r="A352" s="52">
        <v>174.45689999999999</v>
      </c>
      <c r="B352" s="52">
        <v>176.74359999999999</v>
      </c>
      <c r="C352" s="52">
        <v>173.47460000000001</v>
      </c>
      <c r="D352" s="52">
        <v>176.49950000000001</v>
      </c>
      <c r="E352" s="52">
        <v>21869857</v>
      </c>
      <c r="F352" s="52" t="s">
        <v>1914</v>
      </c>
      <c r="G352" s="25">
        <f t="shared" si="3"/>
        <v>-1.1572837316819684E-2</v>
      </c>
      <c r="I352" s="55"/>
    </row>
    <row r="353" spans="1:9">
      <c r="A353" s="52">
        <v>176.59909999999999</v>
      </c>
      <c r="B353" s="52">
        <v>177.71510000000001</v>
      </c>
      <c r="C353" s="52">
        <v>174.17789999999999</v>
      </c>
      <c r="D353" s="52">
        <v>174.82550000000001</v>
      </c>
      <c r="E353" s="52">
        <v>19618497</v>
      </c>
      <c r="F353" s="52" t="s">
        <v>1913</v>
      </c>
      <c r="G353" s="25">
        <f t="shared" si="3"/>
        <v>1.014497313035001E-2</v>
      </c>
      <c r="I353" s="55"/>
    </row>
    <row r="354" spans="1:9">
      <c r="A354" s="52">
        <v>176.1507</v>
      </c>
      <c r="B354" s="52">
        <v>176.4221</v>
      </c>
      <c r="C354" s="52">
        <v>173.52029999999999</v>
      </c>
      <c r="D354" s="52">
        <v>173.59</v>
      </c>
      <c r="E354" s="52">
        <v>18063555</v>
      </c>
      <c r="F354" s="52" t="s">
        <v>1912</v>
      </c>
      <c r="G354" s="25">
        <f t="shared" si="3"/>
        <v>1.4751425773374072E-2</v>
      </c>
      <c r="I354" s="55"/>
    </row>
    <row r="355" spans="1:9">
      <c r="A355" s="52">
        <v>174.5266</v>
      </c>
      <c r="B355" s="52">
        <v>176.1009</v>
      </c>
      <c r="C355" s="52">
        <v>174.24760000000001</v>
      </c>
      <c r="D355" s="52">
        <v>175.47319999999999</v>
      </c>
      <c r="E355" s="52">
        <v>20913299</v>
      </c>
      <c r="F355" s="52" t="s">
        <v>1911</v>
      </c>
      <c r="G355" s="25">
        <f t="shared" si="3"/>
        <v>-5.3945559777789365E-3</v>
      </c>
      <c r="I355" s="55"/>
    </row>
    <row r="356" spans="1:9">
      <c r="A356" s="52">
        <v>177.14709999999999</v>
      </c>
      <c r="B356" s="52">
        <v>179.7576</v>
      </c>
      <c r="C356" s="52">
        <v>175.47319999999999</v>
      </c>
      <c r="D356" s="52">
        <v>177.60550000000001</v>
      </c>
      <c r="E356" s="52">
        <v>27864737</v>
      </c>
      <c r="F356" s="52" t="s">
        <v>1910</v>
      </c>
      <c r="G356" s="25">
        <f t="shared" si="3"/>
        <v>-2.5810011514283415E-3</v>
      </c>
      <c r="I356" s="55"/>
    </row>
    <row r="357" spans="1:9">
      <c r="A357" s="52">
        <v>175.98140000000001</v>
      </c>
      <c r="B357" s="52">
        <v>176.20060000000001</v>
      </c>
      <c r="C357" s="52">
        <v>173.14179999999999</v>
      </c>
      <c r="D357" s="52">
        <v>175.58279999999999</v>
      </c>
      <c r="E357" s="52">
        <v>21540582</v>
      </c>
      <c r="F357" s="52" t="s">
        <v>1909</v>
      </c>
      <c r="G357" s="25">
        <f t="shared" si="3"/>
        <v>2.2701540241982787E-3</v>
      </c>
      <c r="I357" s="55"/>
    </row>
    <row r="358" spans="1:9">
      <c r="A358" s="52">
        <v>174.37719999999999</v>
      </c>
      <c r="B358" s="52">
        <v>176.41980000000001</v>
      </c>
      <c r="C358" s="52">
        <v>172.1353</v>
      </c>
      <c r="D358" s="52">
        <v>174.3373</v>
      </c>
      <c r="E358" s="52">
        <v>23779218</v>
      </c>
      <c r="F358" s="52" t="s">
        <v>1908</v>
      </c>
      <c r="G358" s="25">
        <f t="shared" si="3"/>
        <v>2.2886668544241928E-4</v>
      </c>
      <c r="I358" s="55"/>
    </row>
    <row r="359" spans="1:9">
      <c r="A359" s="52">
        <v>173.62989999999999</v>
      </c>
      <c r="B359" s="52">
        <v>177.02369999999999</v>
      </c>
      <c r="C359" s="52">
        <v>173.47059999999999</v>
      </c>
      <c r="D359" s="52">
        <v>176.20760000000001</v>
      </c>
      <c r="E359" s="52">
        <v>19661399</v>
      </c>
      <c r="F359" s="52" t="s">
        <v>1907</v>
      </c>
      <c r="G359" s="25">
        <f t="shared" si="3"/>
        <v>-1.462876743114383E-2</v>
      </c>
      <c r="I359" s="55"/>
    </row>
    <row r="360" spans="1:9">
      <c r="A360" s="52">
        <v>175.88910000000001</v>
      </c>
      <c r="B360" s="52">
        <v>176.30709999999999</v>
      </c>
      <c r="C360" s="52">
        <v>174.91370000000001</v>
      </c>
      <c r="D360" s="52">
        <v>175.0581</v>
      </c>
      <c r="E360" s="52">
        <v>23251013</v>
      </c>
      <c r="F360" s="52" t="s">
        <v>1906</v>
      </c>
      <c r="G360" s="25">
        <f t="shared" si="3"/>
        <v>4.7469954260901392E-3</v>
      </c>
      <c r="I360" s="55"/>
    </row>
    <row r="361" spans="1:9">
      <c r="A361" s="52">
        <v>174.5754</v>
      </c>
      <c r="B361" s="52">
        <v>175.80449999999999</v>
      </c>
      <c r="C361" s="52">
        <v>173.1063</v>
      </c>
      <c r="D361" s="52">
        <v>174.3664</v>
      </c>
      <c r="E361" s="52">
        <v>22068519</v>
      </c>
      <c r="F361" s="52" t="s">
        <v>1905</v>
      </c>
      <c r="G361" s="25">
        <f t="shared" si="3"/>
        <v>1.1986254232467797E-3</v>
      </c>
      <c r="I361" s="55"/>
    </row>
    <row r="362" spans="1:9">
      <c r="A362" s="52">
        <v>172.9631</v>
      </c>
      <c r="B362" s="52">
        <v>173.01779999999999</v>
      </c>
      <c r="C362" s="52">
        <v>171.07210000000001</v>
      </c>
      <c r="D362" s="52">
        <v>172.4555</v>
      </c>
      <c r="E362" s="52">
        <v>26879596</v>
      </c>
      <c r="F362" s="52" t="s">
        <v>1904</v>
      </c>
      <c r="G362" s="25">
        <f t="shared" si="3"/>
        <v>2.9433679992809658E-3</v>
      </c>
      <c r="I362" s="55"/>
    </row>
    <row r="363" spans="1:9">
      <c r="A363" s="52">
        <v>172.346</v>
      </c>
      <c r="B363" s="52">
        <v>173.69460000000001</v>
      </c>
      <c r="C363" s="52">
        <v>170.34559999999999</v>
      </c>
      <c r="D363" s="52">
        <v>171.71899999999999</v>
      </c>
      <c r="E363" s="52">
        <v>27459118</v>
      </c>
      <c r="F363" s="52" t="s">
        <v>1903</v>
      </c>
      <c r="G363" s="25">
        <f t="shared" si="3"/>
        <v>3.651314065420852E-3</v>
      </c>
      <c r="I363" s="55"/>
    </row>
    <row r="364" spans="1:9">
      <c r="A364" s="52">
        <v>171.67920000000001</v>
      </c>
      <c r="B364" s="52">
        <v>172.23650000000001</v>
      </c>
      <c r="C364" s="52">
        <v>168.63380000000001</v>
      </c>
      <c r="D364" s="52">
        <v>171.04230000000001</v>
      </c>
      <c r="E364" s="52">
        <v>37638876</v>
      </c>
      <c r="F364" s="52" t="s">
        <v>1902</v>
      </c>
      <c r="G364" s="25">
        <f t="shared" si="3"/>
        <v>3.72364029248895E-3</v>
      </c>
      <c r="I364" s="55"/>
    </row>
    <row r="365" spans="1:9">
      <c r="A365" s="52">
        <v>171.2911</v>
      </c>
      <c r="B365" s="52">
        <v>174.38630000000001</v>
      </c>
      <c r="C365" s="52">
        <v>170.9726</v>
      </c>
      <c r="D365" s="52">
        <v>174.3664</v>
      </c>
      <c r="E365" s="52">
        <v>22958677</v>
      </c>
      <c r="F365" s="52" t="s">
        <v>1901</v>
      </c>
      <c r="G365" s="25">
        <f t="shared" si="3"/>
        <v>-1.763699887134218E-2</v>
      </c>
      <c r="I365" s="55"/>
    </row>
    <row r="366" spans="1:9">
      <c r="A366" s="52">
        <v>175.06299999999999</v>
      </c>
      <c r="B366" s="52">
        <v>175.99459999999999</v>
      </c>
      <c r="C366" s="52">
        <v>173.8886</v>
      </c>
      <c r="D366" s="52">
        <v>174.59530000000001</v>
      </c>
      <c r="E366" s="52">
        <v>23388693</v>
      </c>
      <c r="F366" s="52" t="s">
        <v>1900</v>
      </c>
      <c r="G366" s="25">
        <f t="shared" si="3"/>
        <v>2.678766266903887E-3</v>
      </c>
      <c r="I366" s="55"/>
    </row>
    <row r="367" spans="1:9">
      <c r="A367" s="52">
        <v>175.5607</v>
      </c>
      <c r="B367" s="52">
        <v>176.4265</v>
      </c>
      <c r="C367" s="52">
        <v>173.53530000000001</v>
      </c>
      <c r="D367" s="52">
        <v>173.6199</v>
      </c>
      <c r="E367" s="52">
        <v>20572157</v>
      </c>
      <c r="F367" s="52" t="s">
        <v>1899</v>
      </c>
      <c r="G367" s="25">
        <f t="shared" si="3"/>
        <v>1.1178442102546926E-2</v>
      </c>
      <c r="I367" s="55"/>
    </row>
    <row r="368" spans="1:9">
      <c r="A368" s="52">
        <v>174.1574</v>
      </c>
      <c r="B368" s="52">
        <v>174.93369999999999</v>
      </c>
      <c r="C368" s="52">
        <v>172.8237</v>
      </c>
      <c r="D368" s="52">
        <v>174.1474</v>
      </c>
      <c r="E368" s="52">
        <v>16579438</v>
      </c>
      <c r="F368" s="52" t="s">
        <v>1898</v>
      </c>
      <c r="G368" s="25">
        <f t="shared" si="3"/>
        <v>5.7422620148184222E-5</v>
      </c>
      <c r="I368" s="55"/>
    </row>
    <row r="369" spans="1:9">
      <c r="A369" s="52">
        <v>172.7242</v>
      </c>
      <c r="B369" s="52">
        <v>177.40190000000001</v>
      </c>
      <c r="C369" s="52">
        <v>172.12710000000001</v>
      </c>
      <c r="D369" s="52">
        <v>176.22749999999999</v>
      </c>
      <c r="E369" s="52">
        <v>21024935</v>
      </c>
      <c r="F369" s="52" t="s">
        <v>1897</v>
      </c>
      <c r="G369" s="25">
        <f t="shared" si="3"/>
        <v>-1.9879417230568408E-2</v>
      </c>
      <c r="I369" s="55"/>
    </row>
    <row r="370" spans="1:9">
      <c r="A370" s="52">
        <v>175.54069999999999</v>
      </c>
      <c r="B370" s="52">
        <v>176.30709999999999</v>
      </c>
      <c r="C370" s="52">
        <v>174.37629999999999</v>
      </c>
      <c r="D370" s="52">
        <v>175.80350000000001</v>
      </c>
      <c r="E370" s="52">
        <v>17880042</v>
      </c>
      <c r="F370" s="52" t="s">
        <v>1896</v>
      </c>
      <c r="G370" s="25">
        <f t="shared" si="3"/>
        <v>-1.4948507851096915E-3</v>
      </c>
      <c r="I370" s="55"/>
    </row>
    <row r="371" spans="1:9">
      <c r="A371" s="52">
        <v>177.00380000000001</v>
      </c>
      <c r="B371" s="52">
        <v>177.3023</v>
      </c>
      <c r="C371" s="52">
        <v>174.9735</v>
      </c>
      <c r="D371" s="52">
        <v>176.0583</v>
      </c>
      <c r="E371" s="52">
        <v>16989369</v>
      </c>
      <c r="F371" s="52" t="s">
        <v>1895</v>
      </c>
      <c r="G371" s="25">
        <f t="shared" si="3"/>
        <v>5.3703801524835892E-3</v>
      </c>
      <c r="I371" s="55"/>
    </row>
    <row r="372" spans="1:9">
      <c r="A372" s="52">
        <v>176.07820000000001</v>
      </c>
      <c r="B372" s="52">
        <v>177.9194</v>
      </c>
      <c r="C372" s="52">
        <v>175.2422</v>
      </c>
      <c r="D372" s="52">
        <v>175.3536</v>
      </c>
      <c r="E372" s="52">
        <v>22554400</v>
      </c>
      <c r="F372" s="52" t="s">
        <v>1894</v>
      </c>
      <c r="G372" s="25">
        <f t="shared" si="3"/>
        <v>4.1322219789043935E-3</v>
      </c>
      <c r="I372" s="55"/>
    </row>
    <row r="373" spans="1:9">
      <c r="A373" s="52">
        <v>175.22229999999999</v>
      </c>
      <c r="B373" s="52">
        <v>175.4263</v>
      </c>
      <c r="C373" s="52">
        <v>172.86349999999999</v>
      </c>
      <c r="D373" s="52">
        <v>173.35120000000001</v>
      </c>
      <c r="E373" s="52">
        <v>24479262</v>
      </c>
      <c r="F373" s="52" t="s">
        <v>1893</v>
      </c>
      <c r="G373" s="25">
        <f t="shared" si="3"/>
        <v>1.0793695111426915E-2</v>
      </c>
      <c r="I373" s="55"/>
    </row>
    <row r="374" spans="1:9">
      <c r="A374" s="52">
        <v>173.35120000000001</v>
      </c>
      <c r="B374" s="52">
        <v>174.2818</v>
      </c>
      <c r="C374" s="52">
        <v>171.8683</v>
      </c>
      <c r="D374" s="52">
        <v>172.46549999999999</v>
      </c>
      <c r="E374" s="52">
        <v>27867947</v>
      </c>
      <c r="F374" s="52" t="s">
        <v>1892</v>
      </c>
      <c r="G374" s="25">
        <f t="shared" si="3"/>
        <v>5.1355198575948613E-3</v>
      </c>
      <c r="I374" s="55"/>
    </row>
    <row r="375" spans="1:9">
      <c r="A375" s="52">
        <v>171.6892</v>
      </c>
      <c r="B375" s="52">
        <v>171.82849999999999</v>
      </c>
      <c r="C375" s="52">
        <v>169.6987</v>
      </c>
      <c r="D375" s="52">
        <v>169.81809999999999</v>
      </c>
      <c r="E375" s="52">
        <v>26948370</v>
      </c>
      <c r="F375" s="52" t="s">
        <v>1891</v>
      </c>
      <c r="G375" s="25">
        <f t="shared" si="3"/>
        <v>1.10182601265707E-2</v>
      </c>
      <c r="I375" s="55"/>
    </row>
    <row r="376" spans="1:9">
      <c r="A376" s="52">
        <v>169.52950000000001</v>
      </c>
      <c r="B376" s="52">
        <v>170.43520000000001</v>
      </c>
      <c r="C376" s="52">
        <v>167.99680000000001</v>
      </c>
      <c r="D376" s="52">
        <v>168.9622</v>
      </c>
      <c r="E376" s="52">
        <v>25127138</v>
      </c>
      <c r="F376" s="52" t="s">
        <v>1890</v>
      </c>
      <c r="G376" s="25">
        <f t="shared" si="3"/>
        <v>3.357555713644933E-3</v>
      </c>
      <c r="I376" s="55"/>
    </row>
    <row r="377" spans="1:9">
      <c r="A377" s="52">
        <v>168.33519999999999</v>
      </c>
      <c r="B377" s="52">
        <v>168.47450000000001</v>
      </c>
      <c r="C377" s="52">
        <v>163.21969999999999</v>
      </c>
      <c r="D377" s="52">
        <v>163.47839999999999</v>
      </c>
      <c r="E377" s="52">
        <v>31327602</v>
      </c>
      <c r="F377" s="52" t="s">
        <v>1889</v>
      </c>
      <c r="G377" s="25">
        <f t="shared" si="3"/>
        <v>2.9709123651809666E-2</v>
      </c>
      <c r="I377" s="55"/>
    </row>
    <row r="378" spans="1:9">
      <c r="A378" s="52">
        <v>167.8475</v>
      </c>
      <c r="B378" s="52">
        <v>169.04179999999999</v>
      </c>
      <c r="C378" s="52">
        <v>165.39920000000001</v>
      </c>
      <c r="D378" s="52">
        <v>167.22550000000001</v>
      </c>
      <c r="E378" s="52">
        <v>29799931</v>
      </c>
      <c r="F378" s="52" t="s">
        <v>1888</v>
      </c>
      <c r="G378" s="25">
        <f t="shared" si="3"/>
        <v>3.7195284212037105E-3</v>
      </c>
      <c r="I378" s="55"/>
    </row>
    <row r="379" spans="1:9">
      <c r="A379" s="52">
        <v>169.15129999999999</v>
      </c>
      <c r="B379" s="52">
        <v>169.87780000000001</v>
      </c>
      <c r="C379" s="52">
        <v>167.37979999999999</v>
      </c>
      <c r="D379" s="52">
        <v>168.584</v>
      </c>
      <c r="E379" s="52">
        <v>15346700</v>
      </c>
      <c r="F379" s="52" t="s">
        <v>1887</v>
      </c>
      <c r="G379" s="25">
        <f t="shared" ref="G379:G442" si="4">A379/D379-1</f>
        <v>3.3650880273334849E-3</v>
      </c>
      <c r="I379" s="55"/>
    </row>
    <row r="380" spans="1:9">
      <c r="A380" s="52">
        <v>168.57409999999999</v>
      </c>
      <c r="B380" s="52">
        <v>169.34039999999999</v>
      </c>
      <c r="C380" s="52">
        <v>167.93209999999999</v>
      </c>
      <c r="D380" s="52">
        <v>168.19589999999999</v>
      </c>
      <c r="E380" s="52">
        <v>19569146</v>
      </c>
      <c r="F380" s="52" t="s">
        <v>1886</v>
      </c>
      <c r="G380" s="25">
        <f t="shared" si="4"/>
        <v>2.2485684847250997E-3</v>
      </c>
      <c r="I380" s="55"/>
    </row>
    <row r="381" spans="1:9">
      <c r="A381" s="52">
        <v>170.43520000000001</v>
      </c>
      <c r="B381" s="52">
        <v>170.9427</v>
      </c>
      <c r="C381" s="52">
        <v>167.58879999999999</v>
      </c>
      <c r="D381" s="52">
        <v>167.69820000000001</v>
      </c>
      <c r="E381" s="52">
        <v>28039696</v>
      </c>
      <c r="F381" s="52" t="s">
        <v>1885</v>
      </c>
      <c r="G381" s="25">
        <f t="shared" si="4"/>
        <v>1.6320986152504879E-2</v>
      </c>
      <c r="I381" s="55"/>
    </row>
    <row r="382" spans="1:9">
      <c r="A382" s="52">
        <v>167.30009999999999</v>
      </c>
      <c r="B382" s="52">
        <v>167.34</v>
      </c>
      <c r="C382" s="52">
        <v>165.24</v>
      </c>
      <c r="D382" s="52">
        <v>166.66319999999999</v>
      </c>
      <c r="E382" s="52">
        <v>21871283</v>
      </c>
      <c r="F382" s="52" t="s">
        <v>1884</v>
      </c>
      <c r="G382" s="25">
        <f t="shared" si="4"/>
        <v>3.8214794867732493E-3</v>
      </c>
      <c r="I382" s="55"/>
    </row>
    <row r="383" spans="1:9">
      <c r="A383" s="52">
        <v>166.4442</v>
      </c>
      <c r="B383" s="52">
        <v>167.16079999999999</v>
      </c>
      <c r="C383" s="52">
        <v>162.27420000000001</v>
      </c>
      <c r="D383" s="52">
        <v>166.7627</v>
      </c>
      <c r="E383" s="52">
        <v>34662432</v>
      </c>
      <c r="F383" s="52" t="s">
        <v>1883</v>
      </c>
      <c r="G383" s="25">
        <f t="shared" si="4"/>
        <v>-1.9098995158989274E-3</v>
      </c>
      <c r="I383" s="55"/>
    </row>
    <row r="384" spans="1:9">
      <c r="A384" s="52">
        <v>165.8272</v>
      </c>
      <c r="B384" s="52">
        <v>165.9367</v>
      </c>
      <c r="C384" s="52">
        <v>163.11019999999999</v>
      </c>
      <c r="D384" s="52">
        <v>164.0009</v>
      </c>
      <c r="E384" s="52">
        <v>24294549</v>
      </c>
      <c r="F384" s="52" t="s">
        <v>1882</v>
      </c>
      <c r="G384" s="25">
        <f t="shared" si="4"/>
        <v>1.1135914498030308E-2</v>
      </c>
      <c r="I384" s="55"/>
    </row>
    <row r="385" spans="1:9">
      <c r="A385" s="52">
        <v>163.08029999999999</v>
      </c>
      <c r="B385" s="52">
        <v>166.32480000000001</v>
      </c>
      <c r="C385" s="52">
        <v>162.31399999999999</v>
      </c>
      <c r="D385" s="52">
        <v>163.51820000000001</v>
      </c>
      <c r="E385" s="52">
        <v>33493151</v>
      </c>
      <c r="F385" s="52" t="s">
        <v>1881</v>
      </c>
      <c r="G385" s="25">
        <f t="shared" si="4"/>
        <v>-2.6779893614289341E-3</v>
      </c>
      <c r="I385" s="55"/>
    </row>
    <row r="386" spans="1:9">
      <c r="A386" s="52">
        <v>162.00550000000001</v>
      </c>
      <c r="B386" s="52">
        <v>167.30009999999999</v>
      </c>
      <c r="C386" s="52">
        <v>161.8263</v>
      </c>
      <c r="D386" s="52">
        <v>164.82400000000001</v>
      </c>
      <c r="E386" s="52">
        <v>33562861</v>
      </c>
      <c r="F386" s="52" t="s">
        <v>1880</v>
      </c>
      <c r="G386" s="25">
        <f t="shared" si="4"/>
        <v>-1.7100058243945004E-2</v>
      </c>
      <c r="I386" s="55"/>
    </row>
    <row r="387" spans="1:9">
      <c r="A387" s="52">
        <v>165.35939999999999</v>
      </c>
      <c r="B387" s="52">
        <v>168.7432</v>
      </c>
      <c r="C387" s="52">
        <v>164.4239</v>
      </c>
      <c r="D387" s="52">
        <v>168.25360000000001</v>
      </c>
      <c r="E387" s="52">
        <v>45610024</v>
      </c>
      <c r="F387" s="52" t="s">
        <v>1879</v>
      </c>
      <c r="G387" s="25">
        <f t="shared" si="4"/>
        <v>-1.7201415006870668E-2</v>
      </c>
      <c r="I387" s="55"/>
    </row>
    <row r="388" spans="1:9">
      <c r="A388" s="52">
        <v>171.1318</v>
      </c>
      <c r="B388" s="52">
        <v>173.87870000000001</v>
      </c>
      <c r="C388" s="52">
        <v>168.84280000000001</v>
      </c>
      <c r="D388" s="52">
        <v>173.5403</v>
      </c>
      <c r="E388" s="52">
        <v>64665299</v>
      </c>
      <c r="F388" s="52" t="s">
        <v>1878</v>
      </c>
      <c r="G388" s="25">
        <f t="shared" si="4"/>
        <v>-1.3878620700782496E-2</v>
      </c>
      <c r="I388" s="55"/>
    </row>
    <row r="389" spans="1:9">
      <c r="A389" s="52">
        <v>155.2577</v>
      </c>
      <c r="B389" s="52">
        <v>155.74539999999999</v>
      </c>
      <c r="C389" s="52">
        <v>150.15209999999999</v>
      </c>
      <c r="D389" s="52">
        <v>150.60990000000001</v>
      </c>
      <c r="E389" s="52">
        <v>57109730</v>
      </c>
      <c r="F389" s="52" t="s">
        <v>1877</v>
      </c>
      <c r="G389" s="25">
        <f t="shared" si="4"/>
        <v>3.0859857154144521E-2</v>
      </c>
      <c r="I389" s="55"/>
    </row>
    <row r="390" spans="1:9">
      <c r="A390" s="52">
        <v>158.37280000000001</v>
      </c>
      <c r="B390" s="52">
        <v>158.8058</v>
      </c>
      <c r="C390" s="52">
        <v>156.41720000000001</v>
      </c>
      <c r="D390" s="52">
        <v>156.7406</v>
      </c>
      <c r="E390" s="52">
        <v>22779112</v>
      </c>
      <c r="F390" s="52" t="s">
        <v>1876</v>
      </c>
      <c r="G390" s="25">
        <f t="shared" si="4"/>
        <v>1.0413383641507235E-2</v>
      </c>
      <c r="I390" s="55"/>
    </row>
    <row r="391" spans="1:9">
      <c r="A391" s="52">
        <v>157.50700000000001</v>
      </c>
      <c r="B391" s="52">
        <v>158.21360000000001</v>
      </c>
      <c r="C391" s="52">
        <v>155.53639999999999</v>
      </c>
      <c r="D391" s="52">
        <v>156.2132</v>
      </c>
      <c r="E391" s="52">
        <v>21151568</v>
      </c>
      <c r="F391" s="52" t="s">
        <v>1875</v>
      </c>
      <c r="G391" s="25">
        <f t="shared" si="4"/>
        <v>8.2822706403813395E-3</v>
      </c>
      <c r="I391" s="55"/>
    </row>
    <row r="392" spans="1:9">
      <c r="A392" s="52">
        <v>155.53639999999999</v>
      </c>
      <c r="B392" s="52">
        <v>156.88990000000001</v>
      </c>
      <c r="C392" s="52">
        <v>153.327</v>
      </c>
      <c r="D392" s="52">
        <v>153.57579999999999</v>
      </c>
      <c r="E392" s="52">
        <v>26446206</v>
      </c>
      <c r="F392" s="52" t="s">
        <v>1874</v>
      </c>
      <c r="G392" s="25">
        <f t="shared" si="4"/>
        <v>1.2766334279228797E-2</v>
      </c>
      <c r="I392" s="55"/>
    </row>
    <row r="393" spans="1:9">
      <c r="A393" s="52">
        <v>153.35679999999999</v>
      </c>
      <c r="B393" s="52">
        <v>155.61600000000001</v>
      </c>
      <c r="C393" s="52">
        <v>151.5753</v>
      </c>
      <c r="D393" s="52">
        <v>155.45679999999999</v>
      </c>
      <c r="E393" s="52">
        <v>32615639</v>
      </c>
      <c r="F393" s="52" t="s">
        <v>1873</v>
      </c>
      <c r="G393" s="25">
        <f t="shared" si="4"/>
        <v>-1.350857601597355E-2</v>
      </c>
      <c r="I393" s="55"/>
    </row>
    <row r="394" spans="1:9">
      <c r="A394" s="52">
        <v>155.26769999999999</v>
      </c>
      <c r="B394" s="52">
        <v>156.19319999999999</v>
      </c>
      <c r="C394" s="52">
        <v>153.8843</v>
      </c>
      <c r="D394" s="52">
        <v>154.6009</v>
      </c>
      <c r="E394" s="52">
        <v>19883044</v>
      </c>
      <c r="F394" s="52" t="s">
        <v>1872</v>
      </c>
      <c r="G394" s="25">
        <f t="shared" si="4"/>
        <v>4.3130408684555199E-3</v>
      </c>
      <c r="I394" s="55"/>
    </row>
    <row r="395" spans="1:9">
      <c r="A395" s="52">
        <v>154.7302</v>
      </c>
      <c r="B395" s="52">
        <v>156.33260000000001</v>
      </c>
      <c r="C395" s="52">
        <v>153.84450000000001</v>
      </c>
      <c r="D395" s="52">
        <v>154.87950000000001</v>
      </c>
      <c r="E395" s="52">
        <v>21763130</v>
      </c>
      <c r="F395" s="52" t="s">
        <v>1871</v>
      </c>
      <c r="G395" s="25">
        <f t="shared" si="4"/>
        <v>-9.6397521944491249E-4</v>
      </c>
      <c r="I395" s="55"/>
    </row>
    <row r="396" spans="1:9">
      <c r="A396" s="52">
        <v>153.6653</v>
      </c>
      <c r="B396" s="52">
        <v>154.90940000000001</v>
      </c>
      <c r="C396" s="52">
        <v>152.69990000000001</v>
      </c>
      <c r="D396" s="52">
        <v>153.4563</v>
      </c>
      <c r="E396" s="52">
        <v>20779495</v>
      </c>
      <c r="F396" s="52" t="s">
        <v>1870</v>
      </c>
      <c r="G396" s="25">
        <f t="shared" si="4"/>
        <v>1.3619512525715471E-3</v>
      </c>
      <c r="I396" s="55"/>
    </row>
    <row r="397" spans="1:9">
      <c r="A397" s="52">
        <v>154.12309999999999</v>
      </c>
      <c r="B397" s="52">
        <v>158.48230000000001</v>
      </c>
      <c r="C397" s="52">
        <v>153.8544</v>
      </c>
      <c r="D397" s="52">
        <v>158.10409999999999</v>
      </c>
      <c r="E397" s="52">
        <v>27136472</v>
      </c>
      <c r="F397" s="52" t="s">
        <v>1869</v>
      </c>
      <c r="G397" s="25">
        <f t="shared" si="4"/>
        <v>-2.517961267291613E-2</v>
      </c>
      <c r="I397" s="55"/>
    </row>
    <row r="398" spans="1:9">
      <c r="A398" s="52">
        <v>156.9795</v>
      </c>
      <c r="B398" s="52">
        <v>159.46010000000001</v>
      </c>
      <c r="C398" s="52">
        <v>156.39230000000001</v>
      </c>
      <c r="D398" s="52">
        <v>157.20840000000001</v>
      </c>
      <c r="E398" s="52">
        <v>25353746</v>
      </c>
      <c r="F398" s="52" t="s">
        <v>1868</v>
      </c>
      <c r="G398" s="25">
        <f t="shared" si="4"/>
        <v>-1.4560290671491449E-3</v>
      </c>
      <c r="I398" s="55"/>
    </row>
    <row r="399" spans="1:9">
      <c r="A399" s="52">
        <v>158.6515</v>
      </c>
      <c r="B399" s="52">
        <v>158.92019999999999</v>
      </c>
      <c r="C399" s="52">
        <v>155.71549999999999</v>
      </c>
      <c r="D399" s="52">
        <v>156.1634</v>
      </c>
      <c r="E399" s="52">
        <v>27166431</v>
      </c>
      <c r="F399" s="52" t="s">
        <v>1867</v>
      </c>
      <c r="G399" s="25">
        <f t="shared" si="4"/>
        <v>1.5932670523310932E-2</v>
      </c>
      <c r="I399" s="55"/>
    </row>
    <row r="400" spans="1:9">
      <c r="A400" s="52">
        <v>155.39709999999999</v>
      </c>
      <c r="B400" s="52">
        <v>155.8648</v>
      </c>
      <c r="C400" s="52">
        <v>153.94399999999999</v>
      </c>
      <c r="D400" s="52">
        <v>155.4667</v>
      </c>
      <c r="E400" s="52">
        <v>22838629</v>
      </c>
      <c r="F400" s="52" t="s">
        <v>1866</v>
      </c>
      <c r="G400" s="25">
        <f t="shared" si="4"/>
        <v>-4.4768429509345342E-4</v>
      </c>
      <c r="I400" s="55"/>
    </row>
    <row r="401" spans="1:9">
      <c r="A401" s="52">
        <v>155.85489999999999</v>
      </c>
      <c r="B401" s="52">
        <v>157.80549999999999</v>
      </c>
      <c r="C401" s="52">
        <v>154.45160000000001</v>
      </c>
      <c r="D401" s="52">
        <v>155.34229999999999</v>
      </c>
      <c r="E401" s="52">
        <v>31113013</v>
      </c>
      <c r="F401" s="52" t="s">
        <v>1865</v>
      </c>
      <c r="G401" s="25">
        <f t="shared" si="4"/>
        <v>3.2998095174334718E-3</v>
      </c>
      <c r="I401" s="55"/>
    </row>
    <row r="402" spans="1:9">
      <c r="A402" s="52">
        <v>154.11320000000001</v>
      </c>
      <c r="B402" s="52">
        <v>154.53120000000001</v>
      </c>
      <c r="C402" s="52">
        <v>151.88390000000001</v>
      </c>
      <c r="D402" s="52">
        <v>152.053</v>
      </c>
      <c r="E402" s="52">
        <v>20701974</v>
      </c>
      <c r="F402" s="52" t="s">
        <v>1864</v>
      </c>
      <c r="G402" s="25">
        <f t="shared" si="4"/>
        <v>1.3549222968307184E-2</v>
      </c>
      <c r="I402" s="55"/>
    </row>
    <row r="403" spans="1:9">
      <c r="A403" s="52">
        <v>151.77440000000001</v>
      </c>
      <c r="B403" s="52">
        <v>152.69</v>
      </c>
      <c r="C403" s="52">
        <v>148.88820000000001</v>
      </c>
      <c r="D403" s="52">
        <v>149.31610000000001</v>
      </c>
      <c r="E403" s="52">
        <v>23459246</v>
      </c>
      <c r="F403" s="52" t="s">
        <v>1863</v>
      </c>
      <c r="G403" s="25">
        <f t="shared" si="4"/>
        <v>1.6463730301019108E-2</v>
      </c>
      <c r="I403" s="55"/>
    </row>
    <row r="404" spans="1:9">
      <c r="A404" s="52">
        <v>149.81370000000001</v>
      </c>
      <c r="B404" s="52">
        <v>154.03360000000001</v>
      </c>
      <c r="C404" s="52">
        <v>149.73410000000001</v>
      </c>
      <c r="D404" s="52">
        <v>152.7696</v>
      </c>
      <c r="E404" s="52">
        <v>34724738</v>
      </c>
      <c r="F404" s="52" t="s">
        <v>1862</v>
      </c>
      <c r="G404" s="25">
        <f t="shared" si="4"/>
        <v>-1.9348744776447546E-2</v>
      </c>
      <c r="I404" s="55"/>
    </row>
    <row r="405" spans="1:9">
      <c r="A405" s="52">
        <v>154.18289999999999</v>
      </c>
      <c r="B405" s="52">
        <v>154.34209999999999</v>
      </c>
      <c r="C405" s="52">
        <v>152.0033</v>
      </c>
      <c r="D405" s="52">
        <v>152.8691</v>
      </c>
      <c r="E405" s="52">
        <v>24704991</v>
      </c>
      <c r="F405" s="52" t="s">
        <v>1861</v>
      </c>
      <c r="G405" s="25">
        <f t="shared" si="4"/>
        <v>8.5942809894214989E-3</v>
      </c>
      <c r="I405" s="55"/>
    </row>
    <row r="406" spans="1:9">
      <c r="A406" s="52">
        <v>153.8246</v>
      </c>
      <c r="B406" s="52">
        <v>153.9639</v>
      </c>
      <c r="C406" s="52">
        <v>151.42599999999999</v>
      </c>
      <c r="D406" s="52">
        <v>152.7696</v>
      </c>
      <c r="E406" s="52">
        <v>24585985</v>
      </c>
      <c r="F406" s="52" t="s">
        <v>1860</v>
      </c>
      <c r="G406" s="25">
        <f t="shared" si="4"/>
        <v>6.9058241953896538E-3</v>
      </c>
      <c r="I406" s="55"/>
    </row>
    <row r="407" spans="1:9">
      <c r="A407" s="52">
        <v>154.7501</v>
      </c>
      <c r="B407" s="52">
        <v>154.999</v>
      </c>
      <c r="C407" s="52">
        <v>149.89340000000001</v>
      </c>
      <c r="D407" s="52">
        <v>149.97300000000001</v>
      </c>
      <c r="E407" s="52">
        <v>31730848</v>
      </c>
      <c r="F407" s="52" t="s">
        <v>1859</v>
      </c>
      <c r="G407" s="25">
        <f t="shared" si="4"/>
        <v>3.1853066885372705E-2</v>
      </c>
    </row>
    <row r="408" spans="1:9">
      <c r="A408" s="52">
        <v>150.21180000000001</v>
      </c>
      <c r="B408" s="52">
        <v>150.70949999999999</v>
      </c>
      <c r="C408" s="52">
        <v>149.4555</v>
      </c>
      <c r="D408" s="52">
        <v>150.13220000000001</v>
      </c>
      <c r="E408" s="52">
        <v>24485390</v>
      </c>
      <c r="F408" s="52" t="s">
        <v>1858</v>
      </c>
      <c r="G408" s="25">
        <f t="shared" si="4"/>
        <v>5.3019938427589786E-4</v>
      </c>
    </row>
    <row r="409" spans="1:9">
      <c r="A409" s="52">
        <v>150.15209999999999</v>
      </c>
      <c r="B409" s="52">
        <v>150.9135</v>
      </c>
      <c r="C409" s="52">
        <v>148.19149999999999</v>
      </c>
      <c r="D409" s="52">
        <v>150.4607</v>
      </c>
      <c r="E409" s="52">
        <v>22879178</v>
      </c>
      <c r="F409" s="52" t="s">
        <v>1857</v>
      </c>
      <c r="G409" s="25">
        <f t="shared" si="4"/>
        <v>-2.0510339244733666E-3</v>
      </c>
    </row>
    <row r="410" spans="1:9">
      <c r="A410" s="52">
        <v>149.95310000000001</v>
      </c>
      <c r="B410" s="52">
        <v>151.53149999999999</v>
      </c>
      <c r="C410" s="52">
        <v>149.2664</v>
      </c>
      <c r="D410" s="52">
        <v>149.5052</v>
      </c>
      <c r="E410" s="52">
        <v>22149137</v>
      </c>
      <c r="F410" s="52" t="s">
        <v>1856</v>
      </c>
      <c r="G410" s="25">
        <f t="shared" si="4"/>
        <v>2.9958824174678433E-3</v>
      </c>
    </row>
    <row r="411" spans="1:9">
      <c r="A411" s="52">
        <v>149.35589999999999</v>
      </c>
      <c r="B411" s="52">
        <v>149.65950000000001</v>
      </c>
      <c r="C411" s="52">
        <v>147.11660000000001</v>
      </c>
      <c r="D411" s="52">
        <v>149.22659999999999</v>
      </c>
      <c r="E411" s="52">
        <v>19229285</v>
      </c>
      <c r="F411" s="52" t="s">
        <v>1855</v>
      </c>
      <c r="G411" s="25">
        <f t="shared" si="4"/>
        <v>8.6646750646335313E-4</v>
      </c>
    </row>
    <row r="412" spans="1:9">
      <c r="A412" s="52">
        <v>150.05260000000001</v>
      </c>
      <c r="B412" s="52">
        <v>150.8588</v>
      </c>
      <c r="C412" s="52">
        <v>148.27109999999999</v>
      </c>
      <c r="D412" s="52">
        <v>148.41050000000001</v>
      </c>
      <c r="E412" s="52">
        <v>29211769</v>
      </c>
      <c r="F412" s="52" t="s">
        <v>1854</v>
      </c>
      <c r="G412" s="25">
        <f t="shared" si="4"/>
        <v>1.1064581010103769E-2</v>
      </c>
    </row>
    <row r="413" spans="1:9">
      <c r="A413" s="52">
        <v>146.89769999999999</v>
      </c>
      <c r="B413" s="52">
        <v>149.65450000000001</v>
      </c>
      <c r="C413" s="52">
        <v>146.2011</v>
      </c>
      <c r="D413" s="52">
        <v>148.75880000000001</v>
      </c>
      <c r="E413" s="52">
        <v>24755597</v>
      </c>
      <c r="F413" s="52" t="s">
        <v>1853</v>
      </c>
      <c r="G413" s="25">
        <f t="shared" si="4"/>
        <v>-1.2510856500590362E-2</v>
      </c>
    </row>
    <row r="414" spans="1:9">
      <c r="A414" s="52">
        <v>148.03229999999999</v>
      </c>
      <c r="B414" s="52">
        <v>148.15170000000001</v>
      </c>
      <c r="C414" s="52">
        <v>146.0368</v>
      </c>
      <c r="D414" s="52">
        <v>147.29580000000001</v>
      </c>
      <c r="E414" s="52">
        <v>21311501</v>
      </c>
      <c r="F414" s="52" t="s">
        <v>1852</v>
      </c>
      <c r="G414" s="25">
        <f t="shared" si="4"/>
        <v>5.0001425702563829E-3</v>
      </c>
    </row>
    <row r="415" spans="1:9">
      <c r="A415" s="52">
        <v>146.3304</v>
      </c>
      <c r="B415" s="52">
        <v>148.08330000000001</v>
      </c>
      <c r="C415" s="52">
        <v>145.38489999999999</v>
      </c>
      <c r="D415" s="52">
        <v>147.45500000000001</v>
      </c>
      <c r="E415" s="52">
        <v>24070435</v>
      </c>
      <c r="F415" s="52" t="s">
        <v>1851</v>
      </c>
      <c r="G415" s="25">
        <f t="shared" si="4"/>
        <v>-7.6267335797363112E-3</v>
      </c>
    </row>
    <row r="416" spans="1:9">
      <c r="A416" s="52">
        <v>146.97730000000001</v>
      </c>
      <c r="B416" s="52">
        <v>151.42599999999999</v>
      </c>
      <c r="C416" s="52">
        <v>146.46969999999999</v>
      </c>
      <c r="D416" s="52">
        <v>147.90289999999999</v>
      </c>
      <c r="E416" s="52">
        <v>69273699</v>
      </c>
      <c r="F416" s="52" t="s">
        <v>1850</v>
      </c>
      <c r="G416" s="25">
        <f t="shared" si="4"/>
        <v>-6.2581599143760602E-3</v>
      </c>
    </row>
    <row r="417" spans="1:7">
      <c r="A417" s="52">
        <v>140.50819999999999</v>
      </c>
      <c r="B417" s="52">
        <v>142.49870000000001</v>
      </c>
      <c r="C417" s="52">
        <v>139.36369999999999</v>
      </c>
      <c r="D417" s="52">
        <v>141.822</v>
      </c>
      <c r="E417" s="52">
        <v>49475417</v>
      </c>
      <c r="F417" s="52" t="s">
        <v>1849</v>
      </c>
      <c r="G417" s="25">
        <f t="shared" si="4"/>
        <v>-9.2637249509950337E-3</v>
      </c>
    </row>
    <row r="418" spans="1:7">
      <c r="A418" s="52">
        <v>142.41909999999999</v>
      </c>
      <c r="B418" s="52">
        <v>142.90180000000001</v>
      </c>
      <c r="C418" s="52">
        <v>139.7867</v>
      </c>
      <c r="D418" s="52">
        <v>140.51820000000001</v>
      </c>
      <c r="E418" s="52">
        <v>42753387</v>
      </c>
      <c r="F418" s="52" t="s">
        <v>1848</v>
      </c>
      <c r="G418" s="25">
        <f t="shared" si="4"/>
        <v>1.3527785012902083E-2</v>
      </c>
    </row>
    <row r="419" spans="1:7">
      <c r="A419" s="52">
        <v>139.1249</v>
      </c>
      <c r="B419" s="52">
        <v>140.4187</v>
      </c>
      <c r="C419" s="52">
        <v>138.3287</v>
      </c>
      <c r="D419" s="52">
        <v>138.33860000000001</v>
      </c>
      <c r="E419" s="52">
        <v>23347208</v>
      </c>
      <c r="F419" s="52" t="s">
        <v>1847</v>
      </c>
      <c r="G419" s="25">
        <f t="shared" si="4"/>
        <v>5.6838799872196422E-3</v>
      </c>
    </row>
    <row r="420" spans="1:7">
      <c r="A420" s="52">
        <v>137.84100000000001</v>
      </c>
      <c r="B420" s="52">
        <v>138.71180000000001</v>
      </c>
      <c r="C420" s="52">
        <v>136.37799999999999</v>
      </c>
      <c r="D420" s="52">
        <v>136.37799999999999</v>
      </c>
      <c r="E420" s="52">
        <v>27563354</v>
      </c>
      <c r="F420" s="52" t="s">
        <v>1846</v>
      </c>
      <c r="G420" s="25">
        <f t="shared" si="4"/>
        <v>1.072753669946791E-2</v>
      </c>
    </row>
    <row r="421" spans="1:7">
      <c r="A421" s="52">
        <v>137.01490000000001</v>
      </c>
      <c r="B421" s="52">
        <v>138.4332</v>
      </c>
      <c r="C421" s="52">
        <v>135.48230000000001</v>
      </c>
      <c r="D421" s="52">
        <v>135.48230000000001</v>
      </c>
      <c r="E421" s="52">
        <v>32437772</v>
      </c>
      <c r="F421" s="52" t="s">
        <v>1845</v>
      </c>
      <c r="G421" s="25">
        <f t="shared" si="4"/>
        <v>1.1312178786454075E-2</v>
      </c>
    </row>
    <row r="422" spans="1:7">
      <c r="A422" s="52">
        <v>134.76570000000001</v>
      </c>
      <c r="B422" s="52">
        <v>137.428</v>
      </c>
      <c r="C422" s="52">
        <v>133.36240000000001</v>
      </c>
      <c r="D422" s="52">
        <v>133.57140000000001</v>
      </c>
      <c r="E422" s="52">
        <v>39370392</v>
      </c>
      <c r="F422" s="52" t="s">
        <v>1844</v>
      </c>
      <c r="G422" s="25">
        <f t="shared" si="4"/>
        <v>8.9412853350343546E-3</v>
      </c>
    </row>
    <row r="423" spans="1:7">
      <c r="A423" s="52">
        <v>133.7406</v>
      </c>
      <c r="B423" s="52">
        <v>134.2979</v>
      </c>
      <c r="C423" s="52">
        <v>130.9838</v>
      </c>
      <c r="D423" s="52">
        <v>132.16309999999999</v>
      </c>
      <c r="E423" s="52">
        <v>37738209</v>
      </c>
      <c r="F423" s="52" t="s">
        <v>1843</v>
      </c>
      <c r="G423" s="25">
        <f t="shared" si="4"/>
        <v>1.1936009370240308E-2</v>
      </c>
    </row>
    <row r="424" spans="1:7">
      <c r="A424" s="52">
        <v>130.7748</v>
      </c>
      <c r="B424" s="52">
        <v>132.9444</v>
      </c>
      <c r="C424" s="52">
        <v>130.22739999999999</v>
      </c>
      <c r="D424" s="52">
        <v>132.48660000000001</v>
      </c>
      <c r="E424" s="52">
        <v>35318610</v>
      </c>
      <c r="F424" s="52" t="s">
        <v>1842</v>
      </c>
      <c r="G424" s="25">
        <f t="shared" si="4"/>
        <v>-1.2920551965255433E-2</v>
      </c>
    </row>
    <row r="425" spans="1:7">
      <c r="A425" s="52">
        <v>132.03870000000001</v>
      </c>
      <c r="B425" s="52">
        <v>132.60599999999999</v>
      </c>
      <c r="C425" s="52">
        <v>130.04329999999999</v>
      </c>
      <c r="D425" s="52">
        <v>131.2525</v>
      </c>
      <c r="E425" s="52">
        <v>40194757</v>
      </c>
      <c r="F425" s="52" t="s">
        <v>1841</v>
      </c>
      <c r="G425" s="25">
        <f t="shared" si="4"/>
        <v>5.9899811432164718E-3</v>
      </c>
    </row>
    <row r="426" spans="1:7">
      <c r="A426" s="52">
        <v>132.71549999999999</v>
      </c>
      <c r="B426" s="52">
        <v>135.0145</v>
      </c>
      <c r="C426" s="52">
        <v>131.28229999999999</v>
      </c>
      <c r="D426" s="52">
        <v>135.0145</v>
      </c>
      <c r="E426" s="52">
        <v>55999415</v>
      </c>
      <c r="F426" s="52" t="s">
        <v>1840</v>
      </c>
      <c r="G426" s="25">
        <f t="shared" si="4"/>
        <v>-1.7027800717700714E-2</v>
      </c>
    </row>
    <row r="427" spans="1:7">
      <c r="A427" s="52">
        <v>136.48750000000001</v>
      </c>
      <c r="B427" s="52">
        <v>138.20920000000001</v>
      </c>
      <c r="C427" s="52">
        <v>136.26849999999999</v>
      </c>
      <c r="D427" s="52">
        <v>137.7713</v>
      </c>
      <c r="E427" s="52">
        <v>31151116</v>
      </c>
      <c r="F427" s="52" t="s">
        <v>1839</v>
      </c>
      <c r="G427" s="25">
        <f t="shared" si="4"/>
        <v>-9.3183413381450197E-3</v>
      </c>
    </row>
    <row r="428" spans="1:7">
      <c r="A428" s="52">
        <v>137.80119999999999</v>
      </c>
      <c r="B428" s="52">
        <v>138.19929999999999</v>
      </c>
      <c r="C428" s="52">
        <v>135.751</v>
      </c>
      <c r="D428" s="52">
        <v>136.6268</v>
      </c>
      <c r="E428" s="52">
        <v>42132953</v>
      </c>
      <c r="F428" s="52" t="s">
        <v>1838</v>
      </c>
      <c r="G428" s="25">
        <f t="shared" si="4"/>
        <v>8.5956781539200389E-3</v>
      </c>
    </row>
    <row r="429" spans="1:7">
      <c r="A429" s="52">
        <v>135.7311</v>
      </c>
      <c r="B429" s="52">
        <v>137.35329999999999</v>
      </c>
      <c r="C429" s="52">
        <v>134.76570000000001</v>
      </c>
      <c r="D429" s="52">
        <v>137.24379999999999</v>
      </c>
      <c r="E429" s="52">
        <v>37328558</v>
      </c>
      <c r="F429" s="52" t="s">
        <v>1837</v>
      </c>
      <c r="G429" s="25">
        <f t="shared" si="4"/>
        <v>-1.102199152165706E-2</v>
      </c>
    </row>
    <row r="430" spans="1:7">
      <c r="A430" s="52">
        <v>138.2192</v>
      </c>
      <c r="B430" s="52">
        <v>138.5874</v>
      </c>
      <c r="C430" s="52">
        <v>136.43770000000001</v>
      </c>
      <c r="D430" s="52">
        <v>137.36330000000001</v>
      </c>
      <c r="E430" s="52">
        <v>33099190</v>
      </c>
      <c r="F430" s="52" t="s">
        <v>1836</v>
      </c>
      <c r="G430" s="25">
        <f t="shared" si="4"/>
        <v>6.2309219420324524E-3</v>
      </c>
    </row>
    <row r="431" spans="1:7">
      <c r="A431" s="52">
        <v>136.91540000000001</v>
      </c>
      <c r="B431" s="52">
        <v>141.76220000000001</v>
      </c>
      <c r="C431" s="52">
        <v>136.7363</v>
      </c>
      <c r="D431" s="52">
        <v>141.46369999999999</v>
      </c>
      <c r="E431" s="52">
        <v>53641795</v>
      </c>
      <c r="F431" s="52" t="s">
        <v>1835</v>
      </c>
      <c r="G431" s="25">
        <f t="shared" si="4"/>
        <v>-3.2151711004307026E-2</v>
      </c>
    </row>
    <row r="432" spans="1:7">
      <c r="A432" s="52">
        <v>143.27500000000001</v>
      </c>
      <c r="B432" s="52">
        <v>143.99160000000001</v>
      </c>
      <c r="C432" s="52">
        <v>142.7475</v>
      </c>
      <c r="D432" s="52">
        <v>142.9864</v>
      </c>
      <c r="E432" s="52">
        <v>19493752</v>
      </c>
      <c r="F432" s="52" t="s">
        <v>1834</v>
      </c>
      <c r="G432" s="25">
        <f t="shared" si="4"/>
        <v>2.0183737754080333E-3</v>
      </c>
    </row>
    <row r="433" spans="1:7">
      <c r="A433" s="52">
        <v>143.40440000000001</v>
      </c>
      <c r="B433" s="52">
        <v>144.31010000000001</v>
      </c>
      <c r="C433" s="52">
        <v>142.12049999999999</v>
      </c>
      <c r="D433" s="52">
        <v>144.24039999999999</v>
      </c>
      <c r="E433" s="52">
        <v>27191892</v>
      </c>
      <c r="F433" s="52" t="s">
        <v>1833</v>
      </c>
      <c r="G433" s="25">
        <f t="shared" si="4"/>
        <v>-5.7958796564623327E-3</v>
      </c>
    </row>
    <row r="434" spans="1:7">
      <c r="A434" s="52">
        <v>141.8717</v>
      </c>
      <c r="B434" s="52">
        <v>142.0111</v>
      </c>
      <c r="C434" s="52">
        <v>140.00559999999999</v>
      </c>
      <c r="D434" s="52">
        <v>140.77699999999999</v>
      </c>
      <c r="E434" s="52">
        <v>23315687</v>
      </c>
      <c r="F434" s="52" t="s">
        <v>1832</v>
      </c>
      <c r="G434" s="25">
        <f t="shared" si="4"/>
        <v>7.7761282027604128E-3</v>
      </c>
    </row>
    <row r="435" spans="1:7">
      <c r="A435" s="52">
        <v>140.4485</v>
      </c>
      <c r="B435" s="52">
        <v>141.404</v>
      </c>
      <c r="C435" s="52">
        <v>138.8263</v>
      </c>
      <c r="D435" s="52">
        <v>138.9905</v>
      </c>
      <c r="E435" s="52">
        <v>24935710</v>
      </c>
      <c r="F435" s="52" t="s">
        <v>1831</v>
      </c>
      <c r="G435" s="25">
        <f t="shared" si="4"/>
        <v>1.0489925570452696E-2</v>
      </c>
    </row>
    <row r="436" spans="1:7">
      <c r="A436" s="52">
        <v>139.85140000000001</v>
      </c>
      <c r="B436" s="52">
        <v>142.5087</v>
      </c>
      <c r="C436" s="52">
        <v>139.47319999999999</v>
      </c>
      <c r="D436" s="52">
        <v>142.30959999999999</v>
      </c>
      <c r="E436" s="52">
        <v>31468926</v>
      </c>
      <c r="F436" s="52" t="s">
        <v>1830</v>
      </c>
      <c r="G436" s="25">
        <f t="shared" si="4"/>
        <v>-1.7273606278142672E-2</v>
      </c>
    </row>
    <row r="437" spans="1:7">
      <c r="A437" s="52">
        <v>142.0907</v>
      </c>
      <c r="B437" s="52">
        <v>142.83709999999999</v>
      </c>
      <c r="C437" s="52">
        <v>139.79169999999999</v>
      </c>
      <c r="D437" s="52">
        <v>142.4589</v>
      </c>
      <c r="E437" s="52">
        <v>37590695</v>
      </c>
      <c r="F437" s="52" t="s">
        <v>1829</v>
      </c>
      <c r="G437" s="25">
        <f t="shared" si="4"/>
        <v>-2.5846051036474416E-3</v>
      </c>
    </row>
    <row r="438" spans="1:7">
      <c r="A438" s="52">
        <v>145.2456</v>
      </c>
      <c r="B438" s="52">
        <v>145.8228</v>
      </c>
      <c r="C438" s="52">
        <v>143.4084</v>
      </c>
      <c r="D438" s="52">
        <v>145.38489999999999</v>
      </c>
      <c r="E438" s="52">
        <v>22704166</v>
      </c>
      <c r="F438" s="52" t="s">
        <v>1828</v>
      </c>
      <c r="G438" s="25">
        <f t="shared" si="4"/>
        <v>-9.5814627241197492E-4</v>
      </c>
    </row>
    <row r="439" spans="1:7">
      <c r="A439" s="52">
        <v>144.4494</v>
      </c>
      <c r="B439" s="52">
        <v>145.97210000000001</v>
      </c>
      <c r="C439" s="52">
        <v>143.00630000000001</v>
      </c>
      <c r="D439" s="52">
        <v>144.2304</v>
      </c>
      <c r="E439" s="52">
        <v>27837730</v>
      </c>
      <c r="F439" s="52" t="s">
        <v>1827</v>
      </c>
      <c r="G439" s="25">
        <f t="shared" si="4"/>
        <v>1.5184038871138839E-3</v>
      </c>
    </row>
    <row r="440" spans="1:7">
      <c r="A440" s="52">
        <v>146.828</v>
      </c>
      <c r="B440" s="52">
        <v>148.62440000000001</v>
      </c>
      <c r="C440" s="52">
        <v>146.6688</v>
      </c>
      <c r="D440" s="52">
        <v>147.71379999999999</v>
      </c>
      <c r="E440" s="52">
        <v>21564085</v>
      </c>
      <c r="F440" s="52" t="s">
        <v>1826</v>
      </c>
      <c r="G440" s="25">
        <f t="shared" si="4"/>
        <v>-5.9967315172989588E-3</v>
      </c>
    </row>
    <row r="441" spans="1:7">
      <c r="A441" s="52">
        <v>148.291</v>
      </c>
      <c r="B441" s="52">
        <v>148.72890000000001</v>
      </c>
      <c r="C441" s="52">
        <v>145.48439999999999</v>
      </c>
      <c r="D441" s="52">
        <v>145.9821</v>
      </c>
      <c r="E441" s="52">
        <v>26829504</v>
      </c>
      <c r="F441" s="52" t="s">
        <v>1825</v>
      </c>
      <c r="G441" s="25">
        <f t="shared" si="4"/>
        <v>1.5816322686137418E-2</v>
      </c>
    </row>
    <row r="442" spans="1:7">
      <c r="A442" s="52">
        <v>145.2157</v>
      </c>
      <c r="B442" s="52">
        <v>145.6337</v>
      </c>
      <c r="C442" s="52">
        <v>144.41460000000001</v>
      </c>
      <c r="D442" s="52">
        <v>145.1361</v>
      </c>
      <c r="E442" s="52">
        <v>22563764</v>
      </c>
      <c r="F442" s="52" t="s">
        <v>1824</v>
      </c>
      <c r="G442" s="25">
        <f t="shared" si="4"/>
        <v>5.4845073003884082E-4</v>
      </c>
    </row>
    <row r="443" spans="1:7">
      <c r="A443" s="52">
        <v>144.8475</v>
      </c>
      <c r="B443" s="52">
        <v>144.9221</v>
      </c>
      <c r="C443" s="52">
        <v>143.24019999999999</v>
      </c>
      <c r="D443" s="52">
        <v>144.0712</v>
      </c>
      <c r="E443" s="52">
        <v>25208862</v>
      </c>
      <c r="F443" s="52" t="s">
        <v>1823</v>
      </c>
      <c r="G443" s="25">
        <f t="shared" ref="G443:G506" si="5">A443/D443-1</f>
        <v>5.3883080032650632E-3</v>
      </c>
    </row>
    <row r="444" spans="1:7">
      <c r="A444" s="52">
        <v>143.4143</v>
      </c>
      <c r="B444" s="52">
        <v>144.66829999999999</v>
      </c>
      <c r="C444" s="52">
        <v>142.5087</v>
      </c>
      <c r="D444" s="52">
        <v>143.96170000000001</v>
      </c>
      <c r="E444" s="52">
        <v>29128201</v>
      </c>
      <c r="F444" s="52" t="s">
        <v>1822</v>
      </c>
      <c r="G444" s="25">
        <f t="shared" si="5"/>
        <v>-3.8024002217257324E-3</v>
      </c>
    </row>
    <row r="445" spans="1:7">
      <c r="A445" s="52">
        <v>142.99629999999999</v>
      </c>
      <c r="B445" s="52">
        <v>144.77780000000001</v>
      </c>
      <c r="C445" s="52">
        <v>142.10059999999999</v>
      </c>
      <c r="D445" s="52">
        <v>142.1404</v>
      </c>
      <c r="E445" s="52">
        <v>38505405</v>
      </c>
      <c r="F445" s="52" t="s">
        <v>1821</v>
      </c>
      <c r="G445" s="25">
        <f t="shared" si="5"/>
        <v>6.0215111256194387E-3</v>
      </c>
    </row>
    <row r="446" spans="1:7">
      <c r="A446" s="52">
        <v>141.70249999999999</v>
      </c>
      <c r="B446" s="52">
        <v>141.94139999999999</v>
      </c>
      <c r="C446" s="52">
        <v>135.85050000000001</v>
      </c>
      <c r="D446" s="52">
        <v>138.59739999999999</v>
      </c>
      <c r="E446" s="52">
        <v>62499574</v>
      </c>
      <c r="F446" s="52" t="s">
        <v>1820</v>
      </c>
      <c r="G446" s="25">
        <f t="shared" si="5"/>
        <v>2.2403739175482329E-2</v>
      </c>
    </row>
    <row r="447" spans="1:7">
      <c r="A447" s="52">
        <v>140.48830000000001</v>
      </c>
      <c r="B447" s="52">
        <v>142.3793</v>
      </c>
      <c r="C447" s="52">
        <v>140.12010000000001</v>
      </c>
      <c r="D447" s="52">
        <v>141.44380000000001</v>
      </c>
      <c r="E447" s="52">
        <v>40466549</v>
      </c>
      <c r="F447" s="52" t="s">
        <v>1819</v>
      </c>
      <c r="G447" s="25">
        <f t="shared" si="5"/>
        <v>-6.7553332136155442E-3</v>
      </c>
    </row>
    <row r="448" spans="1:7">
      <c r="A448" s="52">
        <v>139.43340000000001</v>
      </c>
      <c r="B448" s="52">
        <v>143.31479999999999</v>
      </c>
      <c r="C448" s="52">
        <v>139.2045</v>
      </c>
      <c r="D448" s="52">
        <v>142.9366</v>
      </c>
      <c r="E448" s="52">
        <v>71910044</v>
      </c>
      <c r="F448" s="52" t="s">
        <v>1818</v>
      </c>
      <c r="G448" s="25">
        <f t="shared" si="5"/>
        <v>-2.4508768223114208E-2</v>
      </c>
    </row>
    <row r="449" spans="1:7">
      <c r="A449" s="52">
        <v>150.73929999999999</v>
      </c>
      <c r="B449" s="52">
        <v>152.88900000000001</v>
      </c>
      <c r="C449" s="52">
        <v>150.46559999999999</v>
      </c>
      <c r="D449" s="52">
        <v>152.0729</v>
      </c>
      <c r="E449" s="52">
        <v>36331833</v>
      </c>
      <c r="F449" s="52" t="s">
        <v>1817</v>
      </c>
      <c r="G449" s="25">
        <f t="shared" si="5"/>
        <v>-8.769478322567803E-3</v>
      </c>
    </row>
    <row r="450" spans="1:7">
      <c r="A450" s="52">
        <v>152.77959999999999</v>
      </c>
      <c r="B450" s="52">
        <v>153.04830000000001</v>
      </c>
      <c r="C450" s="52">
        <v>150.70949999999999</v>
      </c>
      <c r="D450" s="52">
        <v>151.3365</v>
      </c>
      <c r="E450" s="52">
        <v>27784259</v>
      </c>
      <c r="F450" s="52" t="s">
        <v>1816</v>
      </c>
      <c r="G450" s="25">
        <f t="shared" si="5"/>
        <v>9.5357035480534424E-3</v>
      </c>
    </row>
    <row r="451" spans="1:7">
      <c r="A451" s="52">
        <v>151.46090000000001</v>
      </c>
      <c r="B451" s="52">
        <v>151.8092</v>
      </c>
      <c r="C451" s="52">
        <v>150.29150000000001</v>
      </c>
      <c r="D451" s="52">
        <v>150.381</v>
      </c>
      <c r="E451" s="52">
        <v>26115494</v>
      </c>
      <c r="F451" s="52" t="s">
        <v>1815</v>
      </c>
      <c r="G451" s="25">
        <f t="shared" si="5"/>
        <v>7.1810933562086454E-3</v>
      </c>
    </row>
    <row r="452" spans="1:7">
      <c r="A452" s="52">
        <v>151.1474</v>
      </c>
      <c r="B452" s="52">
        <v>152.3218</v>
      </c>
      <c r="C452" s="52">
        <v>148.82849999999999</v>
      </c>
      <c r="D452" s="52">
        <v>149.351</v>
      </c>
      <c r="E452" s="52">
        <v>29149069</v>
      </c>
      <c r="F452" s="52" t="s">
        <v>1814</v>
      </c>
      <c r="G452" s="25">
        <f t="shared" si="5"/>
        <v>1.2028041325468308E-2</v>
      </c>
    </row>
    <row r="453" spans="1:7">
      <c r="A453" s="52">
        <v>147.99250000000001</v>
      </c>
      <c r="B453" s="52">
        <v>149.142</v>
      </c>
      <c r="C453" s="52">
        <v>147.39529999999999</v>
      </c>
      <c r="D453" s="52">
        <v>147.83320000000001</v>
      </c>
      <c r="E453" s="52">
        <v>25233450</v>
      </c>
      <c r="F453" s="52" t="s">
        <v>1813</v>
      </c>
      <c r="G453" s="25">
        <f t="shared" si="5"/>
        <v>1.0775657971280328E-3</v>
      </c>
    </row>
    <row r="454" spans="1:7">
      <c r="A454" s="52">
        <v>146.34039999999999</v>
      </c>
      <c r="B454" s="52">
        <v>146.48169999999999</v>
      </c>
      <c r="C454" s="52">
        <v>144.80770000000001</v>
      </c>
      <c r="D454" s="52">
        <v>145.19579999999999</v>
      </c>
      <c r="E454" s="52">
        <v>21636129</v>
      </c>
      <c r="F454" s="52" t="s">
        <v>1812</v>
      </c>
      <c r="G454" s="25">
        <f t="shared" si="5"/>
        <v>7.8831481351389066E-3</v>
      </c>
    </row>
    <row r="455" spans="1:7">
      <c r="A455" s="52">
        <v>145.2953</v>
      </c>
      <c r="B455" s="52">
        <v>147.68389999999999</v>
      </c>
      <c r="C455" s="52">
        <v>145.14609999999999</v>
      </c>
      <c r="D455" s="52">
        <v>146.40010000000001</v>
      </c>
      <c r="E455" s="52">
        <v>32200369</v>
      </c>
      <c r="F455" s="52" t="s">
        <v>1811</v>
      </c>
      <c r="G455" s="25">
        <f t="shared" si="5"/>
        <v>-7.5464429327576354E-3</v>
      </c>
    </row>
    <row r="456" spans="1:7">
      <c r="A456" s="52">
        <v>145.68350000000001</v>
      </c>
      <c r="B456" s="52">
        <v>145.75319999999999</v>
      </c>
      <c r="C456" s="52">
        <v>143.69300000000001</v>
      </c>
      <c r="D456" s="52">
        <v>144.0513</v>
      </c>
      <c r="E456" s="52">
        <v>34271867</v>
      </c>
      <c r="F456" s="52" t="s">
        <v>1810</v>
      </c>
      <c r="G456" s="25">
        <f t="shared" si="5"/>
        <v>1.1330685665454032E-2</v>
      </c>
    </row>
    <row r="457" spans="1:7">
      <c r="A457" s="52">
        <v>142.79730000000001</v>
      </c>
      <c r="B457" s="52">
        <v>143.52379999999999</v>
      </c>
      <c r="C457" s="52">
        <v>141.31440000000001</v>
      </c>
      <c r="D457" s="52">
        <v>141.3741</v>
      </c>
      <c r="E457" s="52">
        <v>25746417</v>
      </c>
      <c r="F457" s="52" t="s">
        <v>1809</v>
      </c>
      <c r="G457" s="25">
        <f t="shared" si="5"/>
        <v>1.0066907587740648E-2</v>
      </c>
    </row>
    <row r="458" spans="1:7">
      <c r="A458" s="52">
        <v>140.79689999999999</v>
      </c>
      <c r="B458" s="52">
        <v>141.1651</v>
      </c>
      <c r="C458" s="52">
        <v>138.23910000000001</v>
      </c>
      <c r="D458" s="52">
        <v>140.67250000000001</v>
      </c>
      <c r="E458" s="52">
        <v>20968649</v>
      </c>
      <c r="F458" s="52" t="s">
        <v>1808</v>
      </c>
      <c r="G458" s="25">
        <f t="shared" si="5"/>
        <v>8.8432351738942927E-4</v>
      </c>
    </row>
    <row r="459" spans="1:7">
      <c r="A459" s="52">
        <v>141.81200000000001</v>
      </c>
      <c r="B459" s="52">
        <v>143.66319999999999</v>
      </c>
      <c r="C459" s="52">
        <v>140.77699999999999</v>
      </c>
      <c r="D459" s="52">
        <v>141.32429999999999</v>
      </c>
      <c r="E459" s="52">
        <v>22670467</v>
      </c>
      <c r="F459" s="52" t="s">
        <v>1807</v>
      </c>
      <c r="G459" s="25">
        <f t="shared" si="5"/>
        <v>3.4509281135659542E-3</v>
      </c>
    </row>
    <row r="460" spans="1:7">
      <c r="A460" s="52">
        <v>141.97120000000001</v>
      </c>
      <c r="B460" s="52">
        <v>142.5136</v>
      </c>
      <c r="C460" s="52">
        <v>141.14519999999999</v>
      </c>
      <c r="D460" s="52">
        <v>141.99109999999999</v>
      </c>
      <c r="E460" s="52">
        <v>18785514</v>
      </c>
      <c r="F460" s="52" t="s">
        <v>1806</v>
      </c>
      <c r="G460" s="25">
        <f t="shared" si="5"/>
        <v>-1.4014962909636441E-4</v>
      </c>
    </row>
    <row r="461" spans="1:7">
      <c r="A461" s="52">
        <v>141.404</v>
      </c>
      <c r="B461" s="52">
        <v>144.529</v>
      </c>
      <c r="C461" s="52">
        <v>139.9658</v>
      </c>
      <c r="D461" s="52">
        <v>142.80719999999999</v>
      </c>
      <c r="E461" s="52">
        <v>24008722</v>
      </c>
      <c r="F461" s="52" t="s">
        <v>1805</v>
      </c>
      <c r="G461" s="25">
        <f t="shared" si="5"/>
        <v>-9.8258351119551168E-3</v>
      </c>
    </row>
    <row r="462" spans="1:7">
      <c r="A462" s="52">
        <v>141.60300000000001</v>
      </c>
      <c r="B462" s="52">
        <v>142.31960000000001</v>
      </c>
      <c r="C462" s="52">
        <v>140.23949999999999</v>
      </c>
      <c r="D462" s="52">
        <v>140.32910000000001</v>
      </c>
      <c r="E462" s="52">
        <v>21320203</v>
      </c>
      <c r="F462" s="52" t="s">
        <v>1804</v>
      </c>
      <c r="G462" s="25">
        <f t="shared" si="5"/>
        <v>9.0779460568051196E-3</v>
      </c>
    </row>
    <row r="463" spans="1:7">
      <c r="A463" s="52">
        <v>140.27930000000001</v>
      </c>
      <c r="B463" s="52">
        <v>140.81180000000001</v>
      </c>
      <c r="C463" s="52">
        <v>137.49270000000001</v>
      </c>
      <c r="D463" s="52">
        <v>137.84100000000001</v>
      </c>
      <c r="E463" s="52">
        <v>24759598</v>
      </c>
      <c r="F463" s="52" t="s">
        <v>1803</v>
      </c>
      <c r="G463" s="25">
        <f t="shared" si="5"/>
        <v>1.7689221639425101E-2</v>
      </c>
    </row>
    <row r="464" spans="1:7">
      <c r="A464" s="52">
        <v>138.17939999999999</v>
      </c>
      <c r="B464" s="52">
        <v>138.3486</v>
      </c>
      <c r="C464" s="52">
        <v>135.61160000000001</v>
      </c>
      <c r="D464" s="52">
        <v>135.64150000000001</v>
      </c>
      <c r="E464" s="52">
        <v>21403982</v>
      </c>
      <c r="F464" s="52" t="s">
        <v>1802</v>
      </c>
      <c r="G464" s="25">
        <f t="shared" si="5"/>
        <v>1.8710350445844126E-2</v>
      </c>
    </row>
    <row r="465" spans="1:7">
      <c r="A465" s="52">
        <v>135.08420000000001</v>
      </c>
      <c r="B465" s="52">
        <v>136.50319999999999</v>
      </c>
      <c r="C465" s="52">
        <v>134.5069</v>
      </c>
      <c r="D465" s="52">
        <v>136.0943</v>
      </c>
      <c r="E465" s="52">
        <v>22513854</v>
      </c>
      <c r="F465" s="52" t="s">
        <v>1801</v>
      </c>
      <c r="G465" s="25">
        <f t="shared" si="5"/>
        <v>-7.4220595572334069E-3</v>
      </c>
    </row>
    <row r="466" spans="1:7">
      <c r="A466" s="52">
        <v>135.74100000000001</v>
      </c>
      <c r="B466" s="52">
        <v>138.49780000000001</v>
      </c>
      <c r="C466" s="52">
        <v>135.7012</v>
      </c>
      <c r="D466" s="52">
        <v>137.76140000000001</v>
      </c>
      <c r="E466" s="52">
        <v>27137735</v>
      </c>
      <c r="F466" s="52" t="s">
        <v>1800</v>
      </c>
      <c r="G466" s="25">
        <f t="shared" si="5"/>
        <v>-1.466593690249951E-2</v>
      </c>
    </row>
    <row r="467" spans="1:7">
      <c r="A467" s="52">
        <v>138.25899999999999</v>
      </c>
      <c r="B467" s="52">
        <v>138.96559999999999</v>
      </c>
      <c r="C467" s="52">
        <v>136.42769999999999</v>
      </c>
      <c r="D467" s="52">
        <v>136.59690000000001</v>
      </c>
      <c r="E467" s="52">
        <v>24212147</v>
      </c>
      <c r="F467" s="52" t="s">
        <v>1799</v>
      </c>
      <c r="G467" s="25">
        <f t="shared" si="5"/>
        <v>1.2167918891277774E-2</v>
      </c>
    </row>
    <row r="468" spans="1:7">
      <c r="A468" s="52">
        <v>137.51259999999999</v>
      </c>
      <c r="B468" s="52">
        <v>138.78649999999999</v>
      </c>
      <c r="C468" s="52">
        <v>135.8306</v>
      </c>
      <c r="D468" s="52">
        <v>137.89080000000001</v>
      </c>
      <c r="E468" s="52">
        <v>23711220</v>
      </c>
      <c r="F468" s="52" t="s">
        <v>1798</v>
      </c>
      <c r="G468" s="25">
        <f t="shared" si="5"/>
        <v>-2.7427500601927557E-3</v>
      </c>
    </row>
    <row r="469" spans="1:7">
      <c r="A469" s="52">
        <v>139.02529999999999</v>
      </c>
      <c r="B469" s="52">
        <v>139.69210000000001</v>
      </c>
      <c r="C469" s="52">
        <v>138.11969999999999</v>
      </c>
      <c r="D469" s="52">
        <v>138.96559999999999</v>
      </c>
      <c r="E469" s="52">
        <v>18733017</v>
      </c>
      <c r="F469" s="52" t="s">
        <v>1797</v>
      </c>
      <c r="G469" s="25">
        <f t="shared" si="5"/>
        <v>4.2960272182468451E-4</v>
      </c>
    </row>
    <row r="470" spans="1:7">
      <c r="A470" s="52">
        <v>139.56280000000001</v>
      </c>
      <c r="B470" s="52">
        <v>140.4684</v>
      </c>
      <c r="C470" s="52">
        <v>139.08500000000001</v>
      </c>
      <c r="D470" s="52">
        <v>140.11009999999999</v>
      </c>
      <c r="E470" s="52">
        <v>16045712</v>
      </c>
      <c r="F470" s="52" t="s">
        <v>1796</v>
      </c>
      <c r="G470" s="25">
        <f t="shared" si="5"/>
        <v>-3.906213756181609E-3</v>
      </c>
    </row>
    <row r="471" spans="1:7">
      <c r="A471" s="52">
        <v>139.7021</v>
      </c>
      <c r="B471" s="52">
        <v>141.404</v>
      </c>
      <c r="C471" s="52">
        <v>139.22040000000001</v>
      </c>
      <c r="D471" s="52">
        <v>140.91630000000001</v>
      </c>
      <c r="E471" s="52">
        <v>19628618</v>
      </c>
      <c r="F471" s="52" t="s">
        <v>1795</v>
      </c>
      <c r="G471" s="25">
        <f t="shared" si="5"/>
        <v>-8.6164623964722908E-3</v>
      </c>
    </row>
    <row r="472" spans="1:7">
      <c r="A472" s="52">
        <v>140.8466</v>
      </c>
      <c r="B472" s="52">
        <v>142.00110000000001</v>
      </c>
      <c r="C472" s="52">
        <v>140.51820000000001</v>
      </c>
      <c r="D472" s="52">
        <v>140.91630000000001</v>
      </c>
      <c r="E472" s="52">
        <v>16780333</v>
      </c>
      <c r="F472" s="52" t="s">
        <v>1794</v>
      </c>
      <c r="G472" s="25">
        <f t="shared" si="5"/>
        <v>-4.9461985590038005E-4</v>
      </c>
    </row>
    <row r="473" spans="1:7">
      <c r="A473" s="52">
        <v>140.8168</v>
      </c>
      <c r="B473" s="52">
        <v>141.31440000000001</v>
      </c>
      <c r="C473" s="52">
        <v>140.04050000000001</v>
      </c>
      <c r="D473" s="52">
        <v>140.1002</v>
      </c>
      <c r="E473" s="52">
        <v>26532199</v>
      </c>
      <c r="F473" s="52" t="s">
        <v>1793</v>
      </c>
      <c r="G473" s="25">
        <f t="shared" si="5"/>
        <v>5.1149106139749545E-3</v>
      </c>
    </row>
    <row r="474" spans="1:7">
      <c r="A474" s="52">
        <v>139.75190000000001</v>
      </c>
      <c r="B474" s="52">
        <v>140.01560000000001</v>
      </c>
      <c r="C474" s="52">
        <v>138.51779999999999</v>
      </c>
      <c r="D474" s="52">
        <v>138.8263</v>
      </c>
      <c r="E474" s="52">
        <v>27488284</v>
      </c>
      <c r="F474" s="52" t="s">
        <v>1792</v>
      </c>
      <c r="G474" s="25">
        <f t="shared" si="5"/>
        <v>6.6673245631412303E-3</v>
      </c>
    </row>
    <row r="475" spans="1:7">
      <c r="A475" s="52">
        <v>137.68180000000001</v>
      </c>
      <c r="B475" s="52">
        <v>141.02080000000001</v>
      </c>
      <c r="C475" s="52">
        <v>137.40809999999999</v>
      </c>
      <c r="D475" s="52">
        <v>138.30879999999999</v>
      </c>
      <c r="E475" s="52">
        <v>49107179</v>
      </c>
      <c r="F475" s="52" t="s">
        <v>1791</v>
      </c>
      <c r="G475" s="25">
        <f t="shared" si="5"/>
        <v>-4.5333341045543651E-3</v>
      </c>
    </row>
    <row r="476" spans="1:7">
      <c r="A476" s="52">
        <v>135.99979999999999</v>
      </c>
      <c r="B476" s="52">
        <v>136.8159</v>
      </c>
      <c r="C476" s="52">
        <v>135.4325</v>
      </c>
      <c r="D476" s="52">
        <v>136.18889999999999</v>
      </c>
      <c r="E476" s="52">
        <v>25476753</v>
      </c>
      <c r="F476" s="52" t="s">
        <v>1790</v>
      </c>
      <c r="G476" s="25">
        <f t="shared" si="5"/>
        <v>-1.3885125733448245E-3</v>
      </c>
    </row>
    <row r="477" spans="1:7">
      <c r="A477" s="52">
        <v>135.15379999999999</v>
      </c>
      <c r="B477" s="52">
        <v>136.49520000000001</v>
      </c>
      <c r="C477" s="52">
        <v>131.79990000000001</v>
      </c>
      <c r="D477" s="52">
        <v>131.99889999999999</v>
      </c>
      <c r="E477" s="52">
        <v>32257967</v>
      </c>
      <c r="F477" s="52" t="s">
        <v>1789</v>
      </c>
      <c r="G477" s="25">
        <f t="shared" si="5"/>
        <v>2.3900956750397162E-2</v>
      </c>
    </row>
    <row r="478" spans="1:7">
      <c r="A478" s="52">
        <v>131.9691</v>
      </c>
      <c r="B478" s="52">
        <v>132.87469999999999</v>
      </c>
      <c r="C478" s="52">
        <v>130.5558</v>
      </c>
      <c r="D478" s="52">
        <v>130.99369999999999</v>
      </c>
      <c r="E478" s="52">
        <v>50847113</v>
      </c>
      <c r="F478" s="52" t="s">
        <v>1788</v>
      </c>
      <c r="G478" s="25">
        <f t="shared" si="5"/>
        <v>7.4461596244705941E-3</v>
      </c>
    </row>
    <row r="479" spans="1:7">
      <c r="A479" s="52">
        <v>131.31219999999999</v>
      </c>
      <c r="B479" s="52">
        <v>133.08369999999999</v>
      </c>
      <c r="C479" s="52">
        <v>129.06790000000001</v>
      </c>
      <c r="D479" s="52">
        <v>132.74539999999999</v>
      </c>
      <c r="E479" s="52">
        <v>38722413</v>
      </c>
      <c r="F479" s="52" t="s">
        <v>1787</v>
      </c>
      <c r="G479" s="25">
        <f t="shared" si="5"/>
        <v>-1.0796607641394673E-2</v>
      </c>
    </row>
    <row r="480" spans="1:7">
      <c r="A480" s="52">
        <v>131.9392</v>
      </c>
      <c r="B480" s="52">
        <v>132.8648</v>
      </c>
      <c r="C480" s="52">
        <v>130.94399999999999</v>
      </c>
      <c r="D480" s="52">
        <v>132.74539999999999</v>
      </c>
      <c r="E480" s="52">
        <v>30104775</v>
      </c>
      <c r="F480" s="52" t="s">
        <v>1786</v>
      </c>
      <c r="G480" s="25">
        <f t="shared" si="5"/>
        <v>-6.0732801287275429E-3</v>
      </c>
    </row>
    <row r="481" spans="1:7">
      <c r="A481" s="52">
        <v>131.88939999999999</v>
      </c>
      <c r="B481" s="52">
        <v>132.3672</v>
      </c>
      <c r="C481" s="52">
        <v>130.6354</v>
      </c>
      <c r="D481" s="52">
        <v>131.18279999999999</v>
      </c>
      <c r="E481" s="52">
        <v>29032831</v>
      </c>
      <c r="F481" s="52" t="s">
        <v>1785</v>
      </c>
      <c r="G481" s="25">
        <f t="shared" si="5"/>
        <v>5.3863768725779249E-3</v>
      </c>
    </row>
    <row r="482" spans="1:7">
      <c r="A482" s="52">
        <v>132.6558</v>
      </c>
      <c r="B482" s="52">
        <v>132.70060000000001</v>
      </c>
      <c r="C482" s="52">
        <v>130.73500000000001</v>
      </c>
      <c r="D482" s="52">
        <v>131.7501</v>
      </c>
      <c r="E482" s="52">
        <v>31138011</v>
      </c>
      <c r="F482" s="52" t="s">
        <v>1784</v>
      </c>
      <c r="G482" s="25">
        <f t="shared" si="5"/>
        <v>6.8743780839635171E-3</v>
      </c>
    </row>
    <row r="483" spans="1:7">
      <c r="A483" s="52">
        <v>134.3477</v>
      </c>
      <c r="B483" s="52">
        <v>135.751</v>
      </c>
      <c r="C483" s="52">
        <v>133.38730000000001</v>
      </c>
      <c r="D483" s="52">
        <v>133.56139999999999</v>
      </c>
      <c r="E483" s="52">
        <v>32260112</v>
      </c>
      <c r="F483" s="52" t="s">
        <v>1783</v>
      </c>
      <c r="G483" s="25">
        <f t="shared" si="5"/>
        <v>5.8871799786466283E-3</v>
      </c>
    </row>
    <row r="484" spans="1:7">
      <c r="A484" s="52">
        <v>136.27850000000001</v>
      </c>
      <c r="B484" s="52">
        <v>137.9007</v>
      </c>
      <c r="C484" s="52">
        <v>134.0591</v>
      </c>
      <c r="D484" s="52">
        <v>134.39750000000001</v>
      </c>
      <c r="E484" s="52">
        <v>56767100</v>
      </c>
      <c r="F484" s="52" t="s">
        <v>1782</v>
      </c>
      <c r="G484" s="25">
        <f t="shared" si="5"/>
        <v>1.3995796052753917E-2</v>
      </c>
    </row>
    <row r="485" spans="1:7">
      <c r="A485" s="52">
        <v>129.40129999999999</v>
      </c>
      <c r="B485" s="52">
        <v>131.21270000000001</v>
      </c>
      <c r="C485" s="52">
        <v>129.25700000000001</v>
      </c>
      <c r="D485" s="52">
        <v>130.81460000000001</v>
      </c>
      <c r="E485" s="52">
        <v>23576176</v>
      </c>
      <c r="F485" s="52" t="s">
        <v>1781</v>
      </c>
      <c r="G485" s="25">
        <f t="shared" si="5"/>
        <v>-1.0803839938355653E-2</v>
      </c>
    </row>
    <row r="486" spans="1:7">
      <c r="A486" s="52">
        <v>130.36670000000001</v>
      </c>
      <c r="B486" s="52">
        <v>131.51130000000001</v>
      </c>
      <c r="C486" s="52">
        <v>127.63979999999999</v>
      </c>
      <c r="D486" s="52">
        <v>128.3364</v>
      </c>
      <c r="E486" s="52">
        <v>27384784</v>
      </c>
      <c r="F486" s="52" t="s">
        <v>1780</v>
      </c>
      <c r="G486" s="25">
        <f t="shared" si="5"/>
        <v>1.5820141440776148E-2</v>
      </c>
    </row>
    <row r="487" spans="1:7">
      <c r="A487" s="52">
        <v>128.6549</v>
      </c>
      <c r="B487" s="52">
        <v>129.41130000000001</v>
      </c>
      <c r="C487" s="52">
        <v>127.2914</v>
      </c>
      <c r="D487" s="52">
        <v>129.262</v>
      </c>
      <c r="E487" s="52">
        <v>36669876</v>
      </c>
      <c r="F487" s="52" t="s">
        <v>1779</v>
      </c>
      <c r="G487" s="25">
        <f t="shared" si="5"/>
        <v>-4.6966625922545413E-3</v>
      </c>
    </row>
    <row r="488" spans="1:7">
      <c r="A488" s="52">
        <v>131.23259999999999</v>
      </c>
      <c r="B488" s="52">
        <v>131.48140000000001</v>
      </c>
      <c r="C488" s="52">
        <v>130.04329999999999</v>
      </c>
      <c r="D488" s="52">
        <v>131.23259999999999</v>
      </c>
      <c r="E488" s="52">
        <v>31442263</v>
      </c>
      <c r="F488" s="52" t="s">
        <v>1778</v>
      </c>
      <c r="G488" s="25">
        <f t="shared" si="5"/>
        <v>0</v>
      </c>
    </row>
    <row r="489" spans="1:7">
      <c r="A489" s="52">
        <v>131.89940000000001</v>
      </c>
      <c r="B489" s="52">
        <v>134.905</v>
      </c>
      <c r="C489" s="52">
        <v>130.65530000000001</v>
      </c>
      <c r="D489" s="52">
        <v>134.4074</v>
      </c>
      <c r="E489" s="52">
        <v>38988263</v>
      </c>
      <c r="F489" s="52" t="s">
        <v>1777</v>
      </c>
      <c r="G489" s="25">
        <f t="shared" si="5"/>
        <v>-1.8659686892239402E-2</v>
      </c>
    </row>
    <row r="490" spans="1:7">
      <c r="A490" s="52">
        <v>134.3477</v>
      </c>
      <c r="B490" s="52">
        <v>137.63</v>
      </c>
      <c r="C490" s="52">
        <v>134.19839999999999</v>
      </c>
      <c r="D490" s="52">
        <v>136.91540000000001</v>
      </c>
      <c r="E490" s="52">
        <v>23967222</v>
      </c>
      <c r="F490" s="52" t="s">
        <v>1776</v>
      </c>
      <c r="G490" s="25">
        <f t="shared" si="5"/>
        <v>-1.8753916652180846E-2</v>
      </c>
    </row>
    <row r="491" spans="1:7">
      <c r="A491" s="52">
        <v>136.5472</v>
      </c>
      <c r="B491" s="52">
        <v>136.59690000000001</v>
      </c>
      <c r="C491" s="52">
        <v>134.77780000000001</v>
      </c>
      <c r="D491" s="52">
        <v>135.4325</v>
      </c>
      <c r="E491" s="52">
        <v>18730032</v>
      </c>
      <c r="F491" s="52" t="s">
        <v>1775</v>
      </c>
      <c r="G491" s="25">
        <f t="shared" si="5"/>
        <v>8.2306684141546516E-3</v>
      </c>
    </row>
    <row r="492" spans="1:7">
      <c r="A492" s="52">
        <v>135.76089999999999</v>
      </c>
      <c r="B492" s="52">
        <v>137.76140000000001</v>
      </c>
      <c r="C492" s="52">
        <v>135.35290000000001</v>
      </c>
      <c r="D492" s="52">
        <v>135.3827</v>
      </c>
      <c r="E492" s="52">
        <v>23436526</v>
      </c>
      <c r="F492" s="52" t="s">
        <v>1774</v>
      </c>
      <c r="G492" s="25">
        <f t="shared" si="5"/>
        <v>2.7935622498294066E-3</v>
      </c>
    </row>
    <row r="493" spans="1:7">
      <c r="A493" s="52">
        <v>136.03960000000001</v>
      </c>
      <c r="B493" s="52">
        <v>137.4727</v>
      </c>
      <c r="C493" s="52">
        <v>135.34289999999999</v>
      </c>
      <c r="D493" s="52">
        <v>137.3732</v>
      </c>
      <c r="E493" s="52">
        <v>12514322</v>
      </c>
      <c r="F493" s="52" t="s">
        <v>1773</v>
      </c>
      <c r="G493" s="25">
        <f t="shared" si="5"/>
        <v>-9.7078615042817118E-3</v>
      </c>
    </row>
    <row r="494" spans="1:7">
      <c r="A494" s="52">
        <v>137.83099999999999</v>
      </c>
      <c r="B494" s="52">
        <v>138.75659999999999</v>
      </c>
      <c r="C494" s="52">
        <v>136.8159</v>
      </c>
      <c r="D494" s="52">
        <v>136.8159</v>
      </c>
      <c r="E494" s="52">
        <v>17820456</v>
      </c>
      <c r="F494" s="52" t="s">
        <v>1772</v>
      </c>
      <c r="G494" s="25">
        <f t="shared" si="5"/>
        <v>7.4194592879921473E-3</v>
      </c>
    </row>
    <row r="495" spans="1:7">
      <c r="A495" s="52">
        <v>136.31829999999999</v>
      </c>
      <c r="B495" s="52">
        <v>136.5273</v>
      </c>
      <c r="C495" s="52">
        <v>135.31309999999999</v>
      </c>
      <c r="D495" s="52">
        <v>135.64150000000001</v>
      </c>
      <c r="E495" s="52">
        <v>22635272</v>
      </c>
      <c r="F495" s="52" t="s">
        <v>1771</v>
      </c>
      <c r="G495" s="25">
        <f t="shared" si="5"/>
        <v>4.9896233822244174E-3</v>
      </c>
    </row>
    <row r="496" spans="1:7">
      <c r="A496" s="52">
        <v>135.60169999999999</v>
      </c>
      <c r="B496" s="52">
        <v>136.00970000000001</v>
      </c>
      <c r="C496" s="52">
        <v>132.98419999999999</v>
      </c>
      <c r="D496" s="52">
        <v>133.0539</v>
      </c>
      <c r="E496" s="52">
        <v>27850762</v>
      </c>
      <c r="F496" s="52" t="s">
        <v>1770</v>
      </c>
      <c r="G496" s="25">
        <f t="shared" si="5"/>
        <v>1.9148630742879424E-2</v>
      </c>
    </row>
    <row r="497" spans="1:7">
      <c r="A497" s="52">
        <v>134.6662</v>
      </c>
      <c r="B497" s="52">
        <v>135.4126</v>
      </c>
      <c r="C497" s="52">
        <v>133.01410000000001</v>
      </c>
      <c r="D497" s="52">
        <v>135.35290000000001</v>
      </c>
      <c r="E497" s="52">
        <v>37287691</v>
      </c>
      <c r="F497" s="52" t="s">
        <v>1769</v>
      </c>
      <c r="G497" s="25">
        <f t="shared" si="5"/>
        <v>-5.0734044117266563E-3</v>
      </c>
    </row>
    <row r="498" spans="1:7">
      <c r="A498" s="52">
        <v>136.27850000000001</v>
      </c>
      <c r="B498" s="52">
        <v>136.56700000000001</v>
      </c>
      <c r="C498" s="52">
        <v>133.68090000000001</v>
      </c>
      <c r="D498" s="52">
        <v>134.54669999999999</v>
      </c>
      <c r="E498" s="52">
        <v>28013179</v>
      </c>
      <c r="F498" s="52" t="s">
        <v>1768</v>
      </c>
      <c r="G498" s="25">
        <f t="shared" si="5"/>
        <v>1.287136733937011E-2</v>
      </c>
    </row>
    <row r="499" spans="1:7">
      <c r="A499" s="52">
        <v>133.9795</v>
      </c>
      <c r="B499" s="52">
        <v>134.38749999999999</v>
      </c>
      <c r="C499" s="52">
        <v>132.93440000000001</v>
      </c>
      <c r="D499" s="52">
        <v>134.22829999999999</v>
      </c>
      <c r="E499" s="52">
        <v>23861515</v>
      </c>
      <c r="F499" s="52" t="s">
        <v>1767</v>
      </c>
      <c r="G499" s="25">
        <f t="shared" si="5"/>
        <v>-1.8535584522786364E-3</v>
      </c>
    </row>
    <row r="500" spans="1:7">
      <c r="A500" s="52">
        <v>132.98419999999999</v>
      </c>
      <c r="B500" s="52">
        <v>135.05430000000001</v>
      </c>
      <c r="C500" s="52">
        <v>132.68559999999999</v>
      </c>
      <c r="D500" s="52">
        <v>133.5515</v>
      </c>
      <c r="E500" s="52">
        <v>32395178</v>
      </c>
      <c r="F500" s="52" t="s">
        <v>1766</v>
      </c>
      <c r="G500" s="25">
        <f t="shared" si="5"/>
        <v>-4.2477995380060252E-3</v>
      </c>
    </row>
    <row r="501" spans="1:7">
      <c r="A501" s="52">
        <v>131.4615</v>
      </c>
      <c r="B501" s="52">
        <v>131.95910000000001</v>
      </c>
      <c r="C501" s="52">
        <v>130.62549999999999</v>
      </c>
      <c r="D501" s="52">
        <v>131.15299999999999</v>
      </c>
      <c r="E501" s="52">
        <v>18324751</v>
      </c>
      <c r="F501" s="52" t="s">
        <v>1765</v>
      </c>
      <c r="G501" s="25">
        <f t="shared" si="5"/>
        <v>2.3522145890677582E-3</v>
      </c>
    </row>
    <row r="502" spans="1:7">
      <c r="A502" s="52">
        <v>131.95910000000001</v>
      </c>
      <c r="B502" s="52">
        <v>132.16810000000001</v>
      </c>
      <c r="C502" s="52">
        <v>128.79419999999999</v>
      </c>
      <c r="D502" s="52">
        <v>129.48589999999999</v>
      </c>
      <c r="E502" s="52">
        <v>26927826</v>
      </c>
      <c r="F502" s="52" t="s">
        <v>1764</v>
      </c>
      <c r="G502" s="25">
        <f t="shared" si="5"/>
        <v>1.9100149128206345E-2</v>
      </c>
    </row>
    <row r="503" spans="1:7">
      <c r="A503" s="52">
        <v>129.62029999999999</v>
      </c>
      <c r="B503" s="52">
        <v>131.91929999999999</v>
      </c>
      <c r="C503" s="52">
        <v>129.4461</v>
      </c>
      <c r="D503" s="52">
        <v>131.3321</v>
      </c>
      <c r="E503" s="52">
        <v>23747773</v>
      </c>
      <c r="F503" s="52" t="s">
        <v>1763</v>
      </c>
      <c r="G503" s="25">
        <f t="shared" si="5"/>
        <v>-1.3034132554036737E-2</v>
      </c>
    </row>
    <row r="504" spans="1:7">
      <c r="A504" s="52">
        <v>131.21270000000001</v>
      </c>
      <c r="B504" s="52">
        <v>131.58090000000001</v>
      </c>
      <c r="C504" s="52">
        <v>130.15770000000001</v>
      </c>
      <c r="D504" s="52">
        <v>130.3468</v>
      </c>
      <c r="E504" s="52">
        <v>26425849</v>
      </c>
      <c r="F504" s="52" t="s">
        <v>1762</v>
      </c>
      <c r="G504" s="25">
        <f t="shared" si="5"/>
        <v>6.6430476237238079E-3</v>
      </c>
    </row>
    <row r="505" spans="1:7">
      <c r="A505" s="52">
        <v>130.3468</v>
      </c>
      <c r="B505" s="52">
        <v>131.28229999999999</v>
      </c>
      <c r="C505" s="52">
        <v>129.262</v>
      </c>
      <c r="D505" s="52">
        <v>130.0881</v>
      </c>
      <c r="E505" s="52">
        <v>29757276</v>
      </c>
      <c r="F505" s="52" t="s">
        <v>1761</v>
      </c>
      <c r="G505" s="25">
        <f t="shared" si="5"/>
        <v>1.9886523056298344E-3</v>
      </c>
    </row>
    <row r="506" spans="1:7">
      <c r="A506" s="52">
        <v>129.6302</v>
      </c>
      <c r="B506" s="52">
        <v>129.71979999999999</v>
      </c>
      <c r="C506" s="52">
        <v>128.05779999999999</v>
      </c>
      <c r="D506" s="52">
        <v>128.43600000000001</v>
      </c>
      <c r="E506" s="52">
        <v>19052740</v>
      </c>
      <c r="F506" s="52" t="s">
        <v>1760</v>
      </c>
      <c r="G506" s="25">
        <f t="shared" si="5"/>
        <v>9.2980161325484367E-3</v>
      </c>
    </row>
    <row r="507" spans="1:7">
      <c r="A507" s="52">
        <v>128.48570000000001</v>
      </c>
      <c r="B507" s="52">
        <v>128.90870000000001</v>
      </c>
      <c r="C507" s="52">
        <v>127.2516</v>
      </c>
      <c r="D507" s="52">
        <v>127.4109</v>
      </c>
      <c r="E507" s="52">
        <v>26393109</v>
      </c>
      <c r="F507" s="52" t="s">
        <v>1759</v>
      </c>
      <c r="G507" s="25">
        <f t="shared" ref="G507:G570" si="6">A507/D507-1</f>
        <v>8.4356989865075338E-3</v>
      </c>
    </row>
    <row r="508" spans="1:7">
      <c r="A508" s="52">
        <v>126.88339999999999</v>
      </c>
      <c r="B508" s="52">
        <v>128.3663</v>
      </c>
      <c r="C508" s="52">
        <v>126.32599999999999</v>
      </c>
      <c r="D508" s="52">
        <v>127.809</v>
      </c>
      <c r="E508" s="52">
        <v>27124647</v>
      </c>
      <c r="F508" s="52" t="s">
        <v>1758</v>
      </c>
      <c r="G508" s="25">
        <f t="shared" si="6"/>
        <v>-7.2420565061928066E-3</v>
      </c>
    </row>
    <row r="509" spans="1:7">
      <c r="A509" s="52">
        <v>125.84829999999999</v>
      </c>
      <c r="B509" s="52">
        <v>125.88809999999999</v>
      </c>
      <c r="C509" s="52">
        <v>123.1263</v>
      </c>
      <c r="D509" s="52">
        <v>123.4796</v>
      </c>
      <c r="E509" s="52">
        <v>30082438</v>
      </c>
      <c r="F509" s="52" t="s">
        <v>1757</v>
      </c>
      <c r="G509" s="25">
        <f t="shared" si="6"/>
        <v>1.9182925762635916E-2</v>
      </c>
    </row>
    <row r="510" spans="1:7">
      <c r="A510" s="52">
        <v>123.4896</v>
      </c>
      <c r="B510" s="52">
        <v>124.7735</v>
      </c>
      <c r="C510" s="52">
        <v>122.10120000000001</v>
      </c>
      <c r="D510" s="52">
        <v>124.4649</v>
      </c>
      <c r="E510" s="52">
        <v>26292342</v>
      </c>
      <c r="F510" s="52" t="s">
        <v>1756</v>
      </c>
      <c r="G510" s="25">
        <f t="shared" si="6"/>
        <v>-7.8359441095441351E-3</v>
      </c>
    </row>
    <row r="511" spans="1:7">
      <c r="A511" s="52">
        <v>123.8678</v>
      </c>
      <c r="B511" s="52">
        <v>124.80329999999999</v>
      </c>
      <c r="C511" s="52">
        <v>122.16589999999999</v>
      </c>
      <c r="D511" s="52">
        <v>122.6237</v>
      </c>
      <c r="E511" s="52">
        <v>28940081</v>
      </c>
      <c r="F511" s="52" t="s">
        <v>1755</v>
      </c>
      <c r="G511" s="25">
        <f t="shared" si="6"/>
        <v>1.0145673307851544E-2</v>
      </c>
    </row>
    <row r="512" spans="1:7">
      <c r="A512" s="52">
        <v>121.5887</v>
      </c>
      <c r="B512" s="52">
        <v>122.72329999999999</v>
      </c>
      <c r="C512" s="52">
        <v>119.6337</v>
      </c>
      <c r="D512" s="52">
        <v>122.2953</v>
      </c>
      <c r="E512" s="52">
        <v>44566506</v>
      </c>
      <c r="F512" s="52" t="s">
        <v>1754</v>
      </c>
      <c r="G512" s="25">
        <f t="shared" si="6"/>
        <v>-5.7778181172947196E-3</v>
      </c>
    </row>
    <row r="513" spans="1:7">
      <c r="A513" s="52">
        <v>121.6982</v>
      </c>
      <c r="B513" s="52">
        <v>123.7381</v>
      </c>
      <c r="C513" s="52">
        <v>120.693</v>
      </c>
      <c r="D513" s="52">
        <v>122.6835</v>
      </c>
      <c r="E513" s="52">
        <v>57061140</v>
      </c>
      <c r="F513" s="52" t="s">
        <v>1753</v>
      </c>
      <c r="G513" s="25">
        <f t="shared" si="6"/>
        <v>-8.0312348441313741E-3</v>
      </c>
    </row>
    <row r="514" spans="1:7">
      <c r="A514" s="52">
        <v>125.0123</v>
      </c>
      <c r="B514" s="52">
        <v>127.6995</v>
      </c>
      <c r="C514" s="52">
        <v>124.47490000000001</v>
      </c>
      <c r="D514" s="52">
        <v>127.5502</v>
      </c>
      <c r="E514" s="52">
        <v>84366208</v>
      </c>
      <c r="F514" s="52" t="s">
        <v>1752</v>
      </c>
      <c r="G514" s="25">
        <f t="shared" si="6"/>
        <v>-1.9897263979201996E-2</v>
      </c>
    </row>
    <row r="515" spans="1:7">
      <c r="A515" s="52">
        <v>138.14949999999999</v>
      </c>
      <c r="B515" s="52">
        <v>138.6968</v>
      </c>
      <c r="C515" s="52">
        <v>136.76609999999999</v>
      </c>
      <c r="D515" s="52">
        <v>137.17420000000001</v>
      </c>
      <c r="E515" s="52">
        <v>44814321</v>
      </c>
      <c r="F515" s="52" t="s">
        <v>1751</v>
      </c>
      <c r="G515" s="25">
        <f t="shared" si="6"/>
        <v>7.1099375830148137E-3</v>
      </c>
    </row>
    <row r="516" spans="1:7">
      <c r="A516" s="52">
        <v>135.85050000000001</v>
      </c>
      <c r="B516" s="52">
        <v>137.00489999999999</v>
      </c>
      <c r="C516" s="52">
        <v>133.3126</v>
      </c>
      <c r="D516" s="52">
        <v>134.39750000000001</v>
      </c>
      <c r="E516" s="52">
        <v>26317930</v>
      </c>
      <c r="F516" s="52" t="s">
        <v>1750</v>
      </c>
      <c r="G516" s="25">
        <f t="shared" si="6"/>
        <v>1.0811213006194365E-2</v>
      </c>
    </row>
    <row r="517" spans="1:7">
      <c r="A517" s="52">
        <v>134.95480000000001</v>
      </c>
      <c r="B517" s="52">
        <v>137.214</v>
      </c>
      <c r="C517" s="52">
        <v>134.43729999999999</v>
      </c>
      <c r="D517" s="52">
        <v>136.67660000000001</v>
      </c>
      <c r="E517" s="52">
        <v>26335673</v>
      </c>
      <c r="F517" s="52" t="s">
        <v>1749</v>
      </c>
      <c r="G517" s="25">
        <f t="shared" si="6"/>
        <v>-1.2597620953403887E-2</v>
      </c>
    </row>
    <row r="518" spans="1:7">
      <c r="A518" s="52">
        <v>137.09460000000001</v>
      </c>
      <c r="B518" s="52">
        <v>138.99549999999999</v>
      </c>
      <c r="C518" s="52">
        <v>136.72630000000001</v>
      </c>
      <c r="D518" s="52">
        <v>137.84100000000001</v>
      </c>
      <c r="E518" s="52">
        <v>26066011</v>
      </c>
      <c r="F518" s="52" t="s">
        <v>1748</v>
      </c>
      <c r="G518" s="25">
        <f t="shared" si="6"/>
        <v>-5.4149345985591291E-3</v>
      </c>
    </row>
    <row r="519" spans="1:7">
      <c r="A519" s="52">
        <v>137.30359999999999</v>
      </c>
      <c r="B519" s="52">
        <v>140.0504</v>
      </c>
      <c r="C519" s="52">
        <v>136.72630000000001</v>
      </c>
      <c r="D519" s="52">
        <v>138.78149999999999</v>
      </c>
      <c r="E519" s="52">
        <v>23374998</v>
      </c>
      <c r="F519" s="52" t="s">
        <v>1747</v>
      </c>
      <c r="G519" s="25">
        <f t="shared" si="6"/>
        <v>-1.064911389486356E-2</v>
      </c>
    </row>
    <row r="520" spans="1:7">
      <c r="A520" s="52">
        <v>139.05520000000001</v>
      </c>
      <c r="B520" s="52">
        <v>139.23429999999999</v>
      </c>
      <c r="C520" s="52">
        <v>136.5273</v>
      </c>
      <c r="D520" s="52">
        <v>137.97040000000001</v>
      </c>
      <c r="E520" s="52">
        <v>23515780</v>
      </c>
      <c r="F520" s="52" t="s">
        <v>1746</v>
      </c>
      <c r="G520" s="25">
        <f t="shared" si="6"/>
        <v>7.8625560265099814E-3</v>
      </c>
    </row>
    <row r="521" spans="1:7">
      <c r="A521" s="52">
        <v>138.4332</v>
      </c>
      <c r="B521" s="52">
        <v>138.96559999999999</v>
      </c>
      <c r="C521" s="52">
        <v>137.33340000000001</v>
      </c>
      <c r="D521" s="52">
        <v>137.51259999999999</v>
      </c>
      <c r="E521" s="52">
        <v>28501871</v>
      </c>
      <c r="F521" s="52" t="s">
        <v>1745</v>
      </c>
      <c r="G521" s="25">
        <f t="shared" si="6"/>
        <v>6.6946592530430227E-3</v>
      </c>
    </row>
    <row r="522" spans="1:7">
      <c r="A522" s="52">
        <v>136.7064</v>
      </c>
      <c r="B522" s="52">
        <v>139.3339</v>
      </c>
      <c r="C522" s="52">
        <v>135.965</v>
      </c>
      <c r="D522" s="52">
        <v>138.71680000000001</v>
      </c>
      <c r="E522" s="52">
        <v>23435599</v>
      </c>
      <c r="F522" s="52" t="s">
        <v>1744</v>
      </c>
      <c r="G522" s="25">
        <f t="shared" si="6"/>
        <v>-1.4492837205010489E-2</v>
      </c>
    </row>
    <row r="523" spans="1:7">
      <c r="A523" s="52">
        <v>138.30879999999999</v>
      </c>
      <c r="B523" s="52">
        <v>140.548</v>
      </c>
      <c r="C523" s="52">
        <v>137.60210000000001</v>
      </c>
      <c r="D523" s="52">
        <v>140.37889999999999</v>
      </c>
      <c r="E523" s="52">
        <v>24765537</v>
      </c>
      <c r="F523" s="52" t="s">
        <v>1743</v>
      </c>
      <c r="G523" s="25">
        <f t="shared" si="6"/>
        <v>-1.4746518173315182E-2</v>
      </c>
    </row>
    <row r="524" spans="1:7">
      <c r="A524" s="52">
        <v>139.88120000000001</v>
      </c>
      <c r="B524" s="52">
        <v>140.43860000000001</v>
      </c>
      <c r="C524" s="52">
        <v>137.92060000000001</v>
      </c>
      <c r="D524" s="52">
        <v>137.92060000000001</v>
      </c>
      <c r="E524" s="52">
        <v>25884303</v>
      </c>
      <c r="F524" s="52" t="s">
        <v>1742</v>
      </c>
      <c r="G524" s="25">
        <f t="shared" si="6"/>
        <v>1.4215425396931325E-2</v>
      </c>
    </row>
    <row r="525" spans="1:7">
      <c r="A525" s="52">
        <v>137.40309999999999</v>
      </c>
      <c r="B525" s="52">
        <v>139.05520000000001</v>
      </c>
      <c r="C525" s="52">
        <v>136.67660000000001</v>
      </c>
      <c r="D525" s="52">
        <v>137.84100000000001</v>
      </c>
      <c r="E525" s="52">
        <v>27786613</v>
      </c>
      <c r="F525" s="52" t="s">
        <v>1741</v>
      </c>
      <c r="G525" s="25">
        <f t="shared" si="6"/>
        <v>-3.1768486879811819E-3</v>
      </c>
    </row>
    <row r="526" spans="1:7">
      <c r="A526" s="52">
        <v>137.76140000000001</v>
      </c>
      <c r="B526" s="52">
        <v>138.27889999999999</v>
      </c>
      <c r="C526" s="52">
        <v>134.96469999999999</v>
      </c>
      <c r="D526" s="52">
        <v>136.2884</v>
      </c>
      <c r="E526" s="52">
        <v>19278070</v>
      </c>
      <c r="F526" s="52" t="s">
        <v>1740</v>
      </c>
      <c r="G526" s="25">
        <f t="shared" si="6"/>
        <v>1.0807963113515173E-2</v>
      </c>
    </row>
    <row r="527" spans="1:7">
      <c r="A527" s="52">
        <v>136.9254</v>
      </c>
      <c r="B527" s="52">
        <v>137.49760000000001</v>
      </c>
      <c r="C527" s="52">
        <v>133.3724</v>
      </c>
      <c r="D527" s="52">
        <v>133.3724</v>
      </c>
      <c r="E527" s="52">
        <v>27597598</v>
      </c>
      <c r="F527" s="52" t="s">
        <v>1739</v>
      </c>
      <c r="G527" s="25">
        <f t="shared" si="6"/>
        <v>2.6639694569491112E-2</v>
      </c>
    </row>
    <row r="528" spans="1:7">
      <c r="A528" s="52">
        <v>134.4273</v>
      </c>
      <c r="B528" s="52">
        <v>134.84530000000001</v>
      </c>
      <c r="C528" s="52">
        <v>132.815</v>
      </c>
      <c r="D528" s="52">
        <v>134.4273</v>
      </c>
      <c r="E528" s="52">
        <v>19832615</v>
      </c>
      <c r="F528" s="52" t="s">
        <v>1738</v>
      </c>
      <c r="G528" s="25">
        <f t="shared" si="6"/>
        <v>0</v>
      </c>
    </row>
    <row r="529" spans="1:7">
      <c r="A529" s="52">
        <v>134.59649999999999</v>
      </c>
      <c r="B529" s="52">
        <v>134.92490000000001</v>
      </c>
      <c r="C529" s="52">
        <v>131.89940000000001</v>
      </c>
      <c r="D529" s="52">
        <v>132.15819999999999</v>
      </c>
      <c r="E529" s="52">
        <v>26752295</v>
      </c>
      <c r="F529" s="52" t="s">
        <v>1737</v>
      </c>
      <c r="G529" s="25">
        <f t="shared" si="6"/>
        <v>1.844985782191344E-2</v>
      </c>
    </row>
    <row r="530" spans="1:7">
      <c r="A530" s="52">
        <v>131.79990000000001</v>
      </c>
      <c r="B530" s="52">
        <v>133.62119999999999</v>
      </c>
      <c r="C530" s="52">
        <v>131.21270000000001</v>
      </c>
      <c r="D530" s="52">
        <v>133.30269999999999</v>
      </c>
      <c r="E530" s="52">
        <v>22989401</v>
      </c>
      <c r="F530" s="52" t="s">
        <v>1736</v>
      </c>
      <c r="G530" s="25">
        <f t="shared" si="6"/>
        <v>-1.1273590107326981E-2</v>
      </c>
    </row>
    <row r="531" spans="1:7">
      <c r="A531" s="52">
        <v>133.5316</v>
      </c>
      <c r="B531" s="52">
        <v>133.78039999999999</v>
      </c>
      <c r="C531" s="52">
        <v>130.54589999999999</v>
      </c>
      <c r="D531" s="52">
        <v>130.5857</v>
      </c>
      <c r="E531" s="52">
        <v>22288038</v>
      </c>
      <c r="F531" s="52" t="s">
        <v>1735</v>
      </c>
      <c r="G531" s="25">
        <f t="shared" si="6"/>
        <v>2.2559131666024745E-2</v>
      </c>
    </row>
    <row r="532" spans="1:7">
      <c r="A532" s="52">
        <v>130.2373</v>
      </c>
      <c r="B532" s="52">
        <v>133.41220000000001</v>
      </c>
      <c r="C532" s="52">
        <v>129.7397</v>
      </c>
      <c r="D532" s="52">
        <v>132.64580000000001</v>
      </c>
      <c r="E532" s="52">
        <v>30859790</v>
      </c>
      <c r="F532" s="52" t="s">
        <v>1734</v>
      </c>
      <c r="G532" s="25">
        <f t="shared" si="6"/>
        <v>-1.8157378522350553E-2</v>
      </c>
    </row>
    <row r="533" spans="1:7">
      <c r="A533" s="52">
        <v>131.68039999999999</v>
      </c>
      <c r="B533" s="52">
        <v>132.66569999999999</v>
      </c>
      <c r="C533" s="52">
        <v>129.17240000000001</v>
      </c>
      <c r="D533" s="52">
        <v>129.22219999999999</v>
      </c>
      <c r="E533" s="52">
        <v>22513132</v>
      </c>
      <c r="F533" s="52" t="s">
        <v>1733</v>
      </c>
      <c r="G533" s="25">
        <f t="shared" si="6"/>
        <v>1.9023047123482018E-2</v>
      </c>
    </row>
    <row r="534" spans="1:7">
      <c r="A534" s="52">
        <v>129.91890000000001</v>
      </c>
      <c r="B534" s="52">
        <v>130.2722</v>
      </c>
      <c r="C534" s="52">
        <v>127.95820000000001</v>
      </c>
      <c r="D534" s="52">
        <v>127.95820000000001</v>
      </c>
      <c r="E534" s="52">
        <v>22746452</v>
      </c>
      <c r="F534" s="52" t="s">
        <v>1732</v>
      </c>
      <c r="G534" s="25">
        <f t="shared" si="6"/>
        <v>1.532297265825866E-2</v>
      </c>
    </row>
    <row r="535" spans="1:7">
      <c r="A535" s="52">
        <v>127.9533</v>
      </c>
      <c r="B535" s="52">
        <v>129.74420000000001</v>
      </c>
      <c r="C535" s="52">
        <v>126.6147</v>
      </c>
      <c r="D535" s="52">
        <v>129.1525</v>
      </c>
      <c r="E535" s="52">
        <v>25718704</v>
      </c>
      <c r="F535" s="52" t="s">
        <v>1731</v>
      </c>
      <c r="G535" s="25">
        <f t="shared" si="6"/>
        <v>-9.2851474032635828E-3</v>
      </c>
    </row>
    <row r="536" spans="1:7">
      <c r="A536" s="52">
        <v>130.4862</v>
      </c>
      <c r="B536" s="52">
        <v>130.54589999999999</v>
      </c>
      <c r="C536" s="52">
        <v>128.34639999999999</v>
      </c>
      <c r="D536" s="52">
        <v>129.2122</v>
      </c>
      <c r="E536" s="52">
        <v>20094643</v>
      </c>
      <c r="F536" s="52" t="s">
        <v>1730</v>
      </c>
      <c r="G536" s="25">
        <f t="shared" si="6"/>
        <v>9.8597500855182041E-3</v>
      </c>
    </row>
    <row r="537" spans="1:7">
      <c r="A537" s="52">
        <v>129.6302</v>
      </c>
      <c r="B537" s="52">
        <v>131.39680000000001</v>
      </c>
      <c r="C537" s="52">
        <v>128.98330000000001</v>
      </c>
      <c r="D537" s="52">
        <v>130.1378</v>
      </c>
      <c r="E537" s="52">
        <v>26397337</v>
      </c>
      <c r="F537" s="52" t="s">
        <v>1729</v>
      </c>
      <c r="G537" s="25">
        <f t="shared" si="6"/>
        <v>-3.9004808748879238E-3</v>
      </c>
    </row>
    <row r="538" spans="1:7">
      <c r="A538" s="52">
        <v>129.8193</v>
      </c>
      <c r="B538" s="52">
        <v>131.60079999999999</v>
      </c>
      <c r="C538" s="52">
        <v>129.4511</v>
      </c>
      <c r="D538" s="52">
        <v>130.81460000000001</v>
      </c>
      <c r="E538" s="52">
        <v>31503910</v>
      </c>
      <c r="F538" s="52" t="s">
        <v>1728</v>
      </c>
      <c r="G538" s="25">
        <f t="shared" si="6"/>
        <v>-7.6084779527668678E-3</v>
      </c>
    </row>
    <row r="539" spans="1:7">
      <c r="A539" s="52">
        <v>133.1036</v>
      </c>
      <c r="B539" s="52">
        <v>137.423</v>
      </c>
      <c r="C539" s="52">
        <v>132.98419999999999</v>
      </c>
      <c r="D539" s="52">
        <v>137.423</v>
      </c>
      <c r="E539" s="52">
        <v>29927475</v>
      </c>
      <c r="F539" s="52" t="s">
        <v>1727</v>
      </c>
      <c r="G539" s="25">
        <f t="shared" si="6"/>
        <v>-3.1431419776893232E-2</v>
      </c>
    </row>
    <row r="540" spans="1:7">
      <c r="A540" s="52">
        <v>137.38319999999999</v>
      </c>
      <c r="B540" s="52">
        <v>137.75139999999999</v>
      </c>
      <c r="C540" s="52">
        <v>135.9699</v>
      </c>
      <c r="D540" s="52">
        <v>136.76609999999999</v>
      </c>
      <c r="E540" s="52">
        <v>20353653</v>
      </c>
      <c r="F540" s="52" t="s">
        <v>1726</v>
      </c>
      <c r="G540" s="25">
        <f t="shared" si="6"/>
        <v>4.5120830381213395E-3</v>
      </c>
    </row>
    <row r="541" spans="1:7">
      <c r="A541" s="52">
        <v>137.55240000000001</v>
      </c>
      <c r="B541" s="52">
        <v>138.49780000000001</v>
      </c>
      <c r="C541" s="52">
        <v>135.96</v>
      </c>
      <c r="D541" s="52">
        <v>135.96</v>
      </c>
      <c r="E541" s="52">
        <v>21861346</v>
      </c>
      <c r="F541" s="52" t="s">
        <v>1725</v>
      </c>
      <c r="G541" s="25">
        <f t="shared" si="6"/>
        <v>1.1712268314210128E-2</v>
      </c>
    </row>
    <row r="542" spans="1:7">
      <c r="A542" s="52">
        <v>136.74619999999999</v>
      </c>
      <c r="B542" s="52">
        <v>137.86089999999999</v>
      </c>
      <c r="C542" s="52">
        <v>135.8306</v>
      </c>
      <c r="D542" s="52">
        <v>137.3235</v>
      </c>
      <c r="E542" s="52">
        <v>38919614</v>
      </c>
      <c r="F542" s="52" t="s">
        <v>1724</v>
      </c>
      <c r="G542" s="25">
        <f t="shared" si="6"/>
        <v>-4.2039417870940454E-3</v>
      </c>
    </row>
    <row r="543" spans="1:7">
      <c r="A543" s="52">
        <v>137.44290000000001</v>
      </c>
      <c r="B543" s="52">
        <v>138.0351</v>
      </c>
      <c r="C543" s="52">
        <v>135.5917</v>
      </c>
      <c r="D543" s="52">
        <v>136.9453</v>
      </c>
      <c r="E543" s="52">
        <v>24750968</v>
      </c>
      <c r="F543" s="52" t="s">
        <v>1723</v>
      </c>
      <c r="G543" s="25">
        <f t="shared" si="6"/>
        <v>3.6335675631073983E-3</v>
      </c>
    </row>
    <row r="544" spans="1:7">
      <c r="A544" s="52">
        <v>136.05950000000001</v>
      </c>
      <c r="B544" s="52">
        <v>136.24860000000001</v>
      </c>
      <c r="C544" s="52">
        <v>133.51169999999999</v>
      </c>
      <c r="D544" s="52">
        <v>134.44720000000001</v>
      </c>
      <c r="E544" s="52">
        <v>20749496</v>
      </c>
      <c r="F544" s="52" t="s">
        <v>1722</v>
      </c>
      <c r="G544" s="25">
        <f t="shared" si="6"/>
        <v>1.1992068261741373E-2</v>
      </c>
    </row>
    <row r="545" spans="1:7">
      <c r="A545" s="52">
        <v>134.696</v>
      </c>
      <c r="B545" s="52">
        <v>136.21879999999999</v>
      </c>
      <c r="C545" s="52">
        <v>134.54669999999999</v>
      </c>
      <c r="D545" s="52">
        <v>135.61160000000001</v>
      </c>
      <c r="E545" s="52">
        <v>18405505</v>
      </c>
      <c r="F545" s="52" t="s">
        <v>1721</v>
      </c>
      <c r="G545" s="25">
        <f t="shared" si="6"/>
        <v>-6.7516348159007977E-3</v>
      </c>
    </row>
    <row r="546" spans="1:7">
      <c r="A546" s="52">
        <v>136.26849999999999</v>
      </c>
      <c r="B546" s="52">
        <v>136.82579999999999</v>
      </c>
      <c r="C546" s="52">
        <v>135.13890000000001</v>
      </c>
      <c r="D546" s="52">
        <v>135.8903</v>
      </c>
      <c r="E546" s="52">
        <v>20763350</v>
      </c>
      <c r="F546" s="52" t="s">
        <v>1720</v>
      </c>
      <c r="G546" s="25">
        <f t="shared" si="6"/>
        <v>2.783127272513175E-3</v>
      </c>
    </row>
    <row r="547" spans="1:7">
      <c r="A547" s="52">
        <v>135.7311</v>
      </c>
      <c r="B547" s="52">
        <v>136.00970000000001</v>
      </c>
      <c r="C547" s="52">
        <v>134.20840000000001</v>
      </c>
      <c r="D547" s="52">
        <v>134.2681</v>
      </c>
      <c r="E547" s="52">
        <v>23584188</v>
      </c>
      <c r="F547" s="52" t="s">
        <v>1719</v>
      </c>
      <c r="G547" s="25">
        <f t="shared" si="6"/>
        <v>1.089611009614333E-2</v>
      </c>
    </row>
    <row r="548" spans="1:7">
      <c r="A548" s="52">
        <v>134.6164</v>
      </c>
      <c r="B548" s="52">
        <v>134.9349</v>
      </c>
      <c r="C548" s="52">
        <v>132.31739999999999</v>
      </c>
      <c r="D548" s="52">
        <v>132.95439999999999</v>
      </c>
      <c r="E548" s="52">
        <v>18844342</v>
      </c>
      <c r="F548" s="52" t="s">
        <v>1718</v>
      </c>
      <c r="G548" s="25">
        <f t="shared" si="6"/>
        <v>1.2500526496302511E-2</v>
      </c>
    </row>
    <row r="549" spans="1:7">
      <c r="A549" s="52">
        <v>133.8202</v>
      </c>
      <c r="B549" s="52">
        <v>135.88030000000001</v>
      </c>
      <c r="C549" s="52">
        <v>133.029</v>
      </c>
      <c r="D549" s="52">
        <v>135.37280000000001</v>
      </c>
      <c r="E549" s="52">
        <v>18684534</v>
      </c>
      <c r="F549" s="52" t="s">
        <v>1717</v>
      </c>
      <c r="G549" s="25">
        <f t="shared" si="6"/>
        <v>-1.1469069118759556E-2</v>
      </c>
    </row>
    <row r="550" spans="1:7">
      <c r="A550" s="52">
        <v>135.124</v>
      </c>
      <c r="B550" s="52">
        <v>135.77090000000001</v>
      </c>
      <c r="C550" s="52">
        <v>133.93969999999999</v>
      </c>
      <c r="D550" s="52">
        <v>134.7955</v>
      </c>
      <c r="E550" s="52">
        <v>19403112</v>
      </c>
      <c r="F550" s="52" t="s">
        <v>1716</v>
      </c>
      <c r="G550" s="25">
        <f t="shared" si="6"/>
        <v>2.4370249748693062E-3</v>
      </c>
    </row>
    <row r="551" spans="1:7">
      <c r="A551" s="52">
        <v>135.0145</v>
      </c>
      <c r="B551" s="52">
        <v>136.80099999999999</v>
      </c>
      <c r="C551" s="52">
        <v>134.20840000000001</v>
      </c>
      <c r="D551" s="52">
        <v>136.80099999999999</v>
      </c>
      <c r="E551" s="52">
        <v>21543687</v>
      </c>
      <c r="F551" s="52" t="s">
        <v>1715</v>
      </c>
      <c r="G551" s="25">
        <f t="shared" si="6"/>
        <v>-1.3059115064948279E-2</v>
      </c>
    </row>
    <row r="552" spans="1:7">
      <c r="A552" s="52">
        <v>135.52209999999999</v>
      </c>
      <c r="B552" s="52">
        <v>137.3434</v>
      </c>
      <c r="C552" s="52">
        <v>135.1439</v>
      </c>
      <c r="D552" s="52">
        <v>135.36279999999999</v>
      </c>
      <c r="E552" s="52">
        <v>30053800</v>
      </c>
      <c r="F552" s="52" t="s">
        <v>1714</v>
      </c>
      <c r="G552" s="25">
        <f t="shared" si="6"/>
        <v>1.1768373585652192E-3</v>
      </c>
    </row>
    <row r="553" spans="1:7">
      <c r="A553" s="52">
        <v>135.23349999999999</v>
      </c>
      <c r="B553" s="52">
        <v>135.6266</v>
      </c>
      <c r="C553" s="52">
        <v>133.43209999999999</v>
      </c>
      <c r="D553" s="52">
        <v>134.1387</v>
      </c>
      <c r="E553" s="52">
        <v>28315769</v>
      </c>
      <c r="F553" s="52" t="s">
        <v>1713</v>
      </c>
      <c r="G553" s="25">
        <f t="shared" si="6"/>
        <v>8.1617012838204328E-3</v>
      </c>
    </row>
    <row r="554" spans="1:7">
      <c r="A554" s="52">
        <v>133.9297</v>
      </c>
      <c r="B554" s="52">
        <v>135.92019999999999</v>
      </c>
      <c r="C554" s="52">
        <v>131.61080000000001</v>
      </c>
      <c r="D554" s="52">
        <v>131.61080000000001</v>
      </c>
      <c r="E554" s="52">
        <v>43075556</v>
      </c>
      <c r="F554" s="52" t="s">
        <v>1712</v>
      </c>
      <c r="G554" s="25">
        <f t="shared" si="6"/>
        <v>1.7619374701772106E-2</v>
      </c>
    </row>
    <row r="555" spans="1:7">
      <c r="A555" s="52">
        <v>130.38659999999999</v>
      </c>
      <c r="B555" s="52">
        <v>131.9093</v>
      </c>
      <c r="C555" s="52">
        <v>129.52080000000001</v>
      </c>
      <c r="D555" s="52">
        <v>130.68520000000001</v>
      </c>
      <c r="E555" s="52">
        <v>20543266</v>
      </c>
      <c r="F555" s="52" t="s">
        <v>1711</v>
      </c>
      <c r="G555" s="25">
        <f t="shared" si="6"/>
        <v>-2.284880001714229E-3</v>
      </c>
    </row>
    <row r="556" spans="1:7">
      <c r="A556" s="52">
        <v>129.262</v>
      </c>
      <c r="B556" s="52">
        <v>130.1378</v>
      </c>
      <c r="C556" s="52">
        <v>126.64449999999999</v>
      </c>
      <c r="D556" s="52">
        <v>128.92359999999999</v>
      </c>
      <c r="E556" s="52">
        <v>26762891</v>
      </c>
      <c r="F556" s="52" t="s">
        <v>1710</v>
      </c>
      <c r="G556" s="25">
        <f t="shared" si="6"/>
        <v>2.624810352798157E-3</v>
      </c>
    </row>
    <row r="557" spans="1:7">
      <c r="A557" s="52">
        <v>129.16249999999999</v>
      </c>
      <c r="B557" s="52">
        <v>133.6112</v>
      </c>
      <c r="C557" s="52">
        <v>128.95349999999999</v>
      </c>
      <c r="D557" s="52">
        <v>133.3126</v>
      </c>
      <c r="E557" s="52">
        <v>28500694</v>
      </c>
      <c r="F557" s="52" t="s">
        <v>1709</v>
      </c>
      <c r="G557" s="25">
        <f t="shared" si="6"/>
        <v>-3.1130590806870528E-2</v>
      </c>
    </row>
    <row r="558" spans="1:7">
      <c r="A558" s="52">
        <v>131.74019999999999</v>
      </c>
      <c r="B558" s="52">
        <v>132.77520000000001</v>
      </c>
      <c r="C558" s="52">
        <v>129.25210000000001</v>
      </c>
      <c r="D558" s="52">
        <v>129.56059999999999</v>
      </c>
      <c r="E558" s="52">
        <v>27819713</v>
      </c>
      <c r="F558" s="52" t="s">
        <v>1708</v>
      </c>
      <c r="G558" s="25">
        <f t="shared" si="6"/>
        <v>1.6823015639013672E-2</v>
      </c>
    </row>
    <row r="559" spans="1:7">
      <c r="A559" s="52">
        <v>128.4658</v>
      </c>
      <c r="B559" s="52">
        <v>129.65809999999999</v>
      </c>
      <c r="C559" s="52">
        <v>127.7094</v>
      </c>
      <c r="D559" s="52">
        <v>127.8985</v>
      </c>
      <c r="E559" s="52">
        <v>22067520</v>
      </c>
      <c r="F559" s="52" t="s">
        <v>1707</v>
      </c>
      <c r="G559" s="25">
        <f t="shared" si="6"/>
        <v>4.4355485013507501E-3</v>
      </c>
    </row>
    <row r="560" spans="1:7">
      <c r="A560" s="52">
        <v>127.75920000000001</v>
      </c>
      <c r="B560" s="52">
        <v>128.11250000000001</v>
      </c>
      <c r="C560" s="52">
        <v>125.95780000000001</v>
      </c>
      <c r="D560" s="52">
        <v>126.5699</v>
      </c>
      <c r="E560" s="52">
        <v>25248729</v>
      </c>
      <c r="F560" s="52" t="s">
        <v>1706</v>
      </c>
      <c r="G560" s="25">
        <f t="shared" si="6"/>
        <v>9.3963888728678668E-3</v>
      </c>
    </row>
    <row r="561" spans="1:7">
      <c r="A561" s="52">
        <v>126.8535</v>
      </c>
      <c r="B561" s="52">
        <v>128.63499999999999</v>
      </c>
      <c r="C561" s="52">
        <v>125.78100000000001</v>
      </c>
      <c r="D561" s="52">
        <v>127.8985</v>
      </c>
      <c r="E561" s="52">
        <v>30504769</v>
      </c>
      <c r="F561" s="52" t="s">
        <v>1705</v>
      </c>
      <c r="G561" s="25">
        <f t="shared" si="6"/>
        <v>-8.1705414840674839E-3</v>
      </c>
    </row>
    <row r="562" spans="1:7">
      <c r="A562" s="52">
        <v>129.30179999999999</v>
      </c>
      <c r="B562" s="52">
        <v>131.36199999999999</v>
      </c>
      <c r="C562" s="52">
        <v>128.6748</v>
      </c>
      <c r="D562" s="52">
        <v>129.1824</v>
      </c>
      <c r="E562" s="52">
        <v>33446280</v>
      </c>
      <c r="F562" s="52" t="s">
        <v>1704</v>
      </c>
      <c r="G562" s="25">
        <f t="shared" si="6"/>
        <v>9.242745141750941E-4</v>
      </c>
    </row>
    <row r="563" spans="1:7">
      <c r="A563" s="52">
        <v>128.08760000000001</v>
      </c>
      <c r="B563" s="52">
        <v>129.661</v>
      </c>
      <c r="C563" s="52">
        <v>127.25660000000001</v>
      </c>
      <c r="D563" s="52">
        <v>128.08760000000001</v>
      </c>
      <c r="E563" s="52">
        <v>25216068</v>
      </c>
      <c r="F563" s="52" t="s">
        <v>1703</v>
      </c>
      <c r="G563" s="25">
        <f t="shared" si="6"/>
        <v>0</v>
      </c>
    </row>
    <row r="564" spans="1:7">
      <c r="A564" s="52">
        <v>129.16249999999999</v>
      </c>
      <c r="B564" s="52">
        <v>130.79470000000001</v>
      </c>
      <c r="C564" s="52">
        <v>128.66489999999999</v>
      </c>
      <c r="D564" s="52">
        <v>130.47620000000001</v>
      </c>
      <c r="E564" s="52">
        <v>19770732</v>
      </c>
      <c r="F564" s="52" t="s">
        <v>1702</v>
      </c>
      <c r="G564" s="25">
        <f t="shared" si="6"/>
        <v>-1.0068502914707955E-2</v>
      </c>
    </row>
    <row r="565" spans="1:7">
      <c r="A565" s="52">
        <v>130.70509999999999</v>
      </c>
      <c r="B565" s="52">
        <v>130.7449</v>
      </c>
      <c r="C565" s="52">
        <v>128.34639999999999</v>
      </c>
      <c r="D565" s="52">
        <v>128.77430000000001</v>
      </c>
      <c r="E565" s="52">
        <v>24695608</v>
      </c>
      <c r="F565" s="52" t="s">
        <v>1701</v>
      </c>
      <c r="G565" s="25">
        <f t="shared" si="6"/>
        <v>1.4993674980178229E-2</v>
      </c>
    </row>
    <row r="566" spans="1:7">
      <c r="A566" s="52">
        <v>128.9435</v>
      </c>
      <c r="B566" s="52">
        <v>129.31180000000001</v>
      </c>
      <c r="C566" s="52">
        <v>127.56010000000001</v>
      </c>
      <c r="D566" s="52">
        <v>128.0478</v>
      </c>
      <c r="E566" s="52">
        <v>19591080</v>
      </c>
      <c r="F566" s="52" t="s">
        <v>1700</v>
      </c>
      <c r="G566" s="25">
        <f t="shared" si="6"/>
        <v>6.9950440382420265E-3</v>
      </c>
    </row>
    <row r="567" spans="1:7">
      <c r="A567" s="52">
        <v>129.0729</v>
      </c>
      <c r="B567" s="52">
        <v>131.42169999999999</v>
      </c>
      <c r="C567" s="52">
        <v>128.83410000000001</v>
      </c>
      <c r="D567" s="52">
        <v>130.6952</v>
      </c>
      <c r="E567" s="52">
        <v>20857754</v>
      </c>
      <c r="F567" s="52" t="s">
        <v>1699</v>
      </c>
      <c r="G567" s="25">
        <f t="shared" si="6"/>
        <v>-1.2412850663222508E-2</v>
      </c>
    </row>
    <row r="568" spans="1:7">
      <c r="A568" s="52">
        <v>129.04310000000001</v>
      </c>
      <c r="B568" s="52">
        <v>131.4117</v>
      </c>
      <c r="C568" s="52">
        <v>128.3862</v>
      </c>
      <c r="D568" s="52">
        <v>131.0335</v>
      </c>
      <c r="E568" s="52">
        <v>24912918</v>
      </c>
      <c r="F568" s="52" t="s">
        <v>1698</v>
      </c>
      <c r="G568" s="25">
        <f t="shared" si="6"/>
        <v>-1.5190008661907006E-2</v>
      </c>
    </row>
    <row r="569" spans="1:7">
      <c r="A569" s="52">
        <v>130.7748</v>
      </c>
      <c r="B569" s="52">
        <v>130.88419999999999</v>
      </c>
      <c r="C569" s="52">
        <v>128.92859999999999</v>
      </c>
      <c r="D569" s="52">
        <v>129.99850000000001</v>
      </c>
      <c r="E569" s="52">
        <v>23535181</v>
      </c>
      <c r="F569" s="52" t="s">
        <v>1697</v>
      </c>
      <c r="G569" s="25">
        <f t="shared" si="6"/>
        <v>5.9716073647002599E-3</v>
      </c>
    </row>
    <row r="570" spans="1:7">
      <c r="A570" s="52">
        <v>130.9042</v>
      </c>
      <c r="B570" s="52">
        <v>130.9838</v>
      </c>
      <c r="C570" s="52">
        <v>128.40610000000001</v>
      </c>
      <c r="D570" s="52">
        <v>128.5454</v>
      </c>
      <c r="E570" s="52">
        <v>22746290</v>
      </c>
      <c r="F570" s="52" t="s">
        <v>1696</v>
      </c>
      <c r="G570" s="25">
        <f t="shared" si="6"/>
        <v>1.834993706503707E-2</v>
      </c>
    </row>
    <row r="571" spans="1:7">
      <c r="A571" s="52">
        <v>127.5004</v>
      </c>
      <c r="B571" s="52">
        <v>130.88419999999999</v>
      </c>
      <c r="C571" s="52">
        <v>127.3014</v>
      </c>
      <c r="D571" s="52">
        <v>128.66489999999999</v>
      </c>
      <c r="E571" s="52">
        <v>26147158</v>
      </c>
      <c r="F571" s="52" t="s">
        <v>1695</v>
      </c>
      <c r="G571" s="25">
        <f t="shared" ref="G571:G634" si="7">A571/D571-1</f>
        <v>-9.0506424051935985E-3</v>
      </c>
    </row>
    <row r="572" spans="1:7">
      <c r="A572" s="52">
        <v>127.83880000000001</v>
      </c>
      <c r="B572" s="52">
        <v>128.76939999999999</v>
      </c>
      <c r="C572" s="52">
        <v>126.8137</v>
      </c>
      <c r="D572" s="52">
        <v>127.36109999999999</v>
      </c>
      <c r="E572" s="52">
        <v>20159528</v>
      </c>
      <c r="F572" s="52" t="s">
        <v>1694</v>
      </c>
      <c r="G572" s="25">
        <f t="shared" si="7"/>
        <v>3.7507527808726682E-3</v>
      </c>
    </row>
    <row r="573" spans="1:7">
      <c r="A573" s="52">
        <v>127.76909999999999</v>
      </c>
      <c r="B573" s="52">
        <v>129.471</v>
      </c>
      <c r="C573" s="52">
        <v>126.953</v>
      </c>
      <c r="D573" s="52">
        <v>128.83410000000001</v>
      </c>
      <c r="E573" s="52">
        <v>26273258</v>
      </c>
      <c r="F573" s="52" t="s">
        <v>1693</v>
      </c>
      <c r="G573" s="25">
        <f t="shared" si="7"/>
        <v>-8.2664449862265288E-3</v>
      </c>
    </row>
    <row r="574" spans="1:7">
      <c r="A574" s="52">
        <v>130.92410000000001</v>
      </c>
      <c r="B574" s="52">
        <v>131.99889999999999</v>
      </c>
      <c r="C574" s="52">
        <v>130.0582</v>
      </c>
      <c r="D574" s="52">
        <v>130.15270000000001</v>
      </c>
      <c r="E574" s="52">
        <v>23276440</v>
      </c>
      <c r="F574" s="52" t="s">
        <v>1692</v>
      </c>
      <c r="G574" s="25">
        <f t="shared" si="7"/>
        <v>5.9268843443125441E-3</v>
      </c>
    </row>
    <row r="575" spans="1:7">
      <c r="A575" s="52">
        <v>132.08850000000001</v>
      </c>
      <c r="B575" s="52">
        <v>132.8897</v>
      </c>
      <c r="C575" s="52">
        <v>131.148</v>
      </c>
      <c r="D575" s="52">
        <v>132.0984</v>
      </c>
      <c r="E575" s="52">
        <v>28055531</v>
      </c>
      <c r="F575" s="52" t="s">
        <v>1691</v>
      </c>
      <c r="G575" s="25">
        <f t="shared" si="7"/>
        <v>-7.4944132555598841E-5</v>
      </c>
    </row>
    <row r="576" spans="1:7">
      <c r="A576" s="52">
        <v>131.94919999999999</v>
      </c>
      <c r="B576" s="52">
        <v>133.1036</v>
      </c>
      <c r="C576" s="52">
        <v>129.9487</v>
      </c>
      <c r="D576" s="52">
        <v>130.15770000000001</v>
      </c>
      <c r="E576" s="52">
        <v>36591158</v>
      </c>
      <c r="F576" s="52" t="s">
        <v>1690</v>
      </c>
      <c r="G576" s="25">
        <f t="shared" si="7"/>
        <v>1.3764072352230983E-2</v>
      </c>
    </row>
    <row r="577" spans="1:7">
      <c r="A577" s="52">
        <v>128.7843</v>
      </c>
      <c r="B577" s="52">
        <v>132.60599999999999</v>
      </c>
      <c r="C577" s="52">
        <v>128.1772</v>
      </c>
      <c r="D577" s="52">
        <v>131.04349999999999</v>
      </c>
      <c r="E577" s="52">
        <v>44952074</v>
      </c>
      <c r="F577" s="52" t="s">
        <v>1689</v>
      </c>
      <c r="G577" s="25">
        <f t="shared" si="7"/>
        <v>-1.7240076768401225E-2</v>
      </c>
    </row>
    <row r="578" spans="1:7">
      <c r="A578" s="52">
        <v>128.6549</v>
      </c>
      <c r="B578" s="52">
        <v>130.35679999999999</v>
      </c>
      <c r="C578" s="52">
        <v>127.7094</v>
      </c>
      <c r="D578" s="52">
        <v>129.4511</v>
      </c>
      <c r="E578" s="52">
        <v>61682093</v>
      </c>
      <c r="F578" s="52" t="s">
        <v>1688</v>
      </c>
      <c r="G578" s="25">
        <f t="shared" si="7"/>
        <v>-6.1505850471722523E-3</v>
      </c>
    </row>
    <row r="579" spans="1:7">
      <c r="A579" s="52">
        <v>121.6285</v>
      </c>
      <c r="B579" s="52">
        <v>122.5591</v>
      </c>
      <c r="C579" s="52">
        <v>120.4442</v>
      </c>
      <c r="D579" s="52">
        <v>120.7825</v>
      </c>
      <c r="E579" s="52">
        <v>52509551</v>
      </c>
      <c r="F579" s="52" t="s">
        <v>1687</v>
      </c>
      <c r="G579" s="25">
        <f t="shared" si="7"/>
        <v>7.0043259578167483E-3</v>
      </c>
    </row>
    <row r="580" spans="1:7">
      <c r="A580" s="52">
        <v>120.9517</v>
      </c>
      <c r="B580" s="52">
        <v>122.4147</v>
      </c>
      <c r="C580" s="52">
        <v>120.4044</v>
      </c>
      <c r="D580" s="52">
        <v>121.08110000000001</v>
      </c>
      <c r="E580" s="52">
        <v>29723667</v>
      </c>
      <c r="F580" s="52" t="s">
        <v>1686</v>
      </c>
      <c r="G580" s="25">
        <f t="shared" si="7"/>
        <v>-1.0687051901576705E-3</v>
      </c>
    </row>
    <row r="581" spans="1:7">
      <c r="A581" s="52">
        <v>119.44889999999999</v>
      </c>
      <c r="B581" s="52">
        <v>120.4143</v>
      </c>
      <c r="C581" s="52">
        <v>118.1651</v>
      </c>
      <c r="D581" s="52">
        <v>120.0461</v>
      </c>
      <c r="E581" s="52">
        <v>71606474</v>
      </c>
      <c r="F581" s="52" t="s">
        <v>1685</v>
      </c>
      <c r="G581" s="25">
        <f t="shared" si="7"/>
        <v>-4.9747555314166858E-3</v>
      </c>
    </row>
    <row r="582" spans="1:7">
      <c r="A582" s="52">
        <v>118.6328</v>
      </c>
      <c r="B582" s="52">
        <v>123.4996</v>
      </c>
      <c r="C582" s="52">
        <v>117.6575</v>
      </c>
      <c r="D582" s="52">
        <v>120.84229999999999</v>
      </c>
      <c r="E582" s="52">
        <v>37906763</v>
      </c>
      <c r="F582" s="52" t="s">
        <v>1684</v>
      </c>
      <c r="G582" s="25">
        <f t="shared" si="7"/>
        <v>-1.8284160430577678E-2</v>
      </c>
    </row>
    <row r="583" spans="1:7">
      <c r="A583" s="52">
        <v>121.4494</v>
      </c>
      <c r="B583" s="52">
        <v>124.5844</v>
      </c>
      <c r="C583" s="52">
        <v>121.2205</v>
      </c>
      <c r="D583" s="52">
        <v>124.00709999999999</v>
      </c>
      <c r="E583" s="52">
        <v>37224033</v>
      </c>
      <c r="F583" s="52" t="s">
        <v>1683</v>
      </c>
      <c r="G583" s="25">
        <f t="shared" si="7"/>
        <v>-2.0625431930913596E-2</v>
      </c>
    </row>
    <row r="584" spans="1:7">
      <c r="A584" s="52">
        <v>123.1711</v>
      </c>
      <c r="B584" s="52">
        <v>124.08669999999999</v>
      </c>
      <c r="C584" s="52">
        <v>122.3749</v>
      </c>
      <c r="D584" s="52">
        <v>124.00709999999999</v>
      </c>
      <c r="E584" s="52">
        <v>26226447</v>
      </c>
      <c r="F584" s="52" t="s">
        <v>1682</v>
      </c>
      <c r="G584" s="25">
        <f t="shared" si="7"/>
        <v>-6.7415494757960825E-3</v>
      </c>
    </row>
    <row r="585" spans="1:7">
      <c r="A585" s="52">
        <v>124.0569</v>
      </c>
      <c r="B585" s="52">
        <v>126.49509999999999</v>
      </c>
      <c r="C585" s="52">
        <v>123.6041</v>
      </c>
      <c r="D585" s="52">
        <v>125.3408</v>
      </c>
      <c r="E585" s="52">
        <v>25716215</v>
      </c>
      <c r="F585" s="52" t="s">
        <v>1681</v>
      </c>
      <c r="G585" s="25">
        <f t="shared" si="7"/>
        <v>-1.0243272741198406E-2</v>
      </c>
    </row>
    <row r="586" spans="1:7">
      <c r="A586" s="52">
        <v>124.8232</v>
      </c>
      <c r="B586" s="52">
        <v>126.1718</v>
      </c>
      <c r="C586" s="52">
        <v>122.9024</v>
      </c>
      <c r="D586" s="52">
        <v>124.2062</v>
      </c>
      <c r="E586" s="52">
        <v>33283076</v>
      </c>
      <c r="F586" s="52" t="s">
        <v>1680</v>
      </c>
      <c r="G586" s="25">
        <f t="shared" si="7"/>
        <v>4.9675459035056768E-3</v>
      </c>
    </row>
    <row r="587" spans="1:7">
      <c r="A587" s="52">
        <v>123.9474</v>
      </c>
      <c r="B587" s="52">
        <v>124.236</v>
      </c>
      <c r="C587" s="52">
        <v>119.87690000000001</v>
      </c>
      <c r="D587" s="52">
        <v>120.3546</v>
      </c>
      <c r="E587" s="52">
        <v>44297915</v>
      </c>
      <c r="F587" s="52" t="s">
        <v>1679</v>
      </c>
      <c r="G587" s="25">
        <f t="shared" si="7"/>
        <v>2.985178796655874E-2</v>
      </c>
    </row>
    <row r="588" spans="1:7">
      <c r="A588" s="52">
        <v>118.36409999999999</v>
      </c>
      <c r="B588" s="52">
        <v>119.7574</v>
      </c>
      <c r="C588" s="52">
        <v>117.8511</v>
      </c>
      <c r="D588" s="52">
        <v>118.2347</v>
      </c>
      <c r="E588" s="52">
        <v>30404409</v>
      </c>
      <c r="F588" s="52" t="s">
        <v>1678</v>
      </c>
      <c r="G588" s="25">
        <f t="shared" si="7"/>
        <v>1.0944333600879652E-3</v>
      </c>
    </row>
    <row r="589" spans="1:7">
      <c r="A589" s="52">
        <v>116.5826</v>
      </c>
      <c r="B589" s="52">
        <v>117.1499</v>
      </c>
      <c r="C589" s="52">
        <v>114.80110000000001</v>
      </c>
      <c r="D589" s="52">
        <v>115.7367</v>
      </c>
      <c r="E589" s="52">
        <v>23078782</v>
      </c>
      <c r="F589" s="52" t="s">
        <v>1677</v>
      </c>
      <c r="G589" s="25">
        <f t="shared" si="7"/>
        <v>7.3088311659137428E-3</v>
      </c>
    </row>
    <row r="590" spans="1:7">
      <c r="A590" s="52">
        <v>115.8959</v>
      </c>
      <c r="B590" s="52">
        <v>117.74209999999999</v>
      </c>
      <c r="C590" s="52">
        <v>115.58240000000001</v>
      </c>
      <c r="D590" s="52">
        <v>117.7371</v>
      </c>
      <c r="E590" s="52">
        <v>35315235</v>
      </c>
      <c r="F590" s="52" t="s">
        <v>1676</v>
      </c>
      <c r="G590" s="25">
        <f t="shared" si="7"/>
        <v>-1.5638231279690107E-2</v>
      </c>
    </row>
    <row r="591" spans="1:7">
      <c r="A591" s="52">
        <v>118.9115</v>
      </c>
      <c r="B591" s="52">
        <v>120.474</v>
      </c>
      <c r="C591" s="52">
        <v>118.8319</v>
      </c>
      <c r="D591" s="52">
        <v>119.52849999999999</v>
      </c>
      <c r="E591" s="52">
        <v>21709549</v>
      </c>
      <c r="F591" s="52" t="s">
        <v>1675</v>
      </c>
      <c r="G591" s="25">
        <f t="shared" si="7"/>
        <v>-5.1619488239206257E-3</v>
      </c>
    </row>
    <row r="592" spans="1:7">
      <c r="A592" s="52">
        <v>119.5385</v>
      </c>
      <c r="B592" s="52">
        <v>119.7276</v>
      </c>
      <c r="C592" s="52">
        <v>117.8366</v>
      </c>
      <c r="D592" s="52">
        <v>119.22499999999999</v>
      </c>
      <c r="E592" s="52">
        <v>24778801</v>
      </c>
      <c r="F592" s="52" t="s">
        <v>1674</v>
      </c>
      <c r="G592" s="25">
        <f t="shared" si="7"/>
        <v>2.6294820717132072E-3</v>
      </c>
    </row>
    <row r="593" spans="1:7">
      <c r="A593" s="52">
        <v>121.1707</v>
      </c>
      <c r="B593" s="52">
        <v>122.0266</v>
      </c>
      <c r="C593" s="52">
        <v>118.6627</v>
      </c>
      <c r="D593" s="52">
        <v>118.6726</v>
      </c>
      <c r="E593" s="52">
        <v>27584809</v>
      </c>
      <c r="F593" s="52" t="s">
        <v>1673</v>
      </c>
      <c r="G593" s="25">
        <f t="shared" si="7"/>
        <v>2.1050351976783066E-2</v>
      </c>
    </row>
    <row r="594" spans="1:7">
      <c r="A594" s="52">
        <v>119.3295</v>
      </c>
      <c r="B594" s="52">
        <v>119.6181</v>
      </c>
      <c r="C594" s="52">
        <v>118.25279999999999</v>
      </c>
      <c r="D594" s="52">
        <v>118.6726</v>
      </c>
      <c r="E594" s="52">
        <v>14467850</v>
      </c>
      <c r="F594" s="52" t="s">
        <v>1672</v>
      </c>
      <c r="G594" s="25">
        <f t="shared" si="7"/>
        <v>5.5353973874339157E-3</v>
      </c>
    </row>
    <row r="595" spans="1:7">
      <c r="A595" s="52">
        <v>119.13039999999999</v>
      </c>
      <c r="B595" s="52">
        <v>120.5039</v>
      </c>
      <c r="C595" s="52">
        <v>119.12050000000001</v>
      </c>
      <c r="D595" s="52">
        <v>119.59820000000001</v>
      </c>
      <c r="E595" s="52">
        <v>29532241</v>
      </c>
      <c r="F595" s="52" t="s">
        <v>1671</v>
      </c>
      <c r="G595" s="25">
        <f t="shared" si="7"/>
        <v>-3.9114301051355049E-3</v>
      </c>
    </row>
    <row r="596" spans="1:7">
      <c r="A596" s="52">
        <v>118.5333</v>
      </c>
      <c r="B596" s="52">
        <v>119.48869999999999</v>
      </c>
      <c r="C596" s="52">
        <v>117.7321</v>
      </c>
      <c r="D596" s="52">
        <v>118.6726</v>
      </c>
      <c r="E596" s="52">
        <v>24090902</v>
      </c>
      <c r="F596" s="52" t="s">
        <v>1670</v>
      </c>
      <c r="G596" s="25">
        <f t="shared" si="7"/>
        <v>-1.1738177136088046E-3</v>
      </c>
    </row>
    <row r="597" spans="1:7">
      <c r="A597" s="52">
        <v>119.6082</v>
      </c>
      <c r="B597" s="52">
        <v>119.8172</v>
      </c>
      <c r="C597" s="52">
        <v>116.294</v>
      </c>
      <c r="D597" s="52">
        <v>116.5329</v>
      </c>
      <c r="E597" s="52">
        <v>27091449</v>
      </c>
      <c r="F597" s="52" t="s">
        <v>1669</v>
      </c>
      <c r="G597" s="25">
        <f t="shared" si="7"/>
        <v>2.6389972273924256E-2</v>
      </c>
    </row>
    <row r="598" spans="1:7">
      <c r="A598" s="52">
        <v>117.767</v>
      </c>
      <c r="B598" s="52">
        <v>118.5134</v>
      </c>
      <c r="C598" s="52">
        <v>115.5476</v>
      </c>
      <c r="D598" s="52">
        <v>116.52290000000001</v>
      </c>
      <c r="E598" s="52">
        <v>39535936</v>
      </c>
      <c r="F598" s="52" t="s">
        <v>1668</v>
      </c>
      <c r="G598" s="25">
        <f t="shared" si="7"/>
        <v>1.0676871241618535E-2</v>
      </c>
    </row>
    <row r="599" spans="1:7">
      <c r="A599" s="52">
        <v>117.7769</v>
      </c>
      <c r="B599" s="52">
        <v>121.4195</v>
      </c>
      <c r="C599" s="52">
        <v>117.70229999999999</v>
      </c>
      <c r="D599" s="52">
        <v>120.1854</v>
      </c>
      <c r="E599" s="52">
        <v>33969897</v>
      </c>
      <c r="F599" s="52" t="s">
        <v>1667</v>
      </c>
      <c r="G599" s="25">
        <f t="shared" si="7"/>
        <v>-2.003987173150823E-2</v>
      </c>
    </row>
    <row r="600" spans="1:7">
      <c r="A600" s="52">
        <v>121.75790000000001</v>
      </c>
      <c r="B600" s="52">
        <v>122.2037</v>
      </c>
      <c r="C600" s="52">
        <v>120.48399999999999</v>
      </c>
      <c r="D600" s="52">
        <v>120.80240000000001</v>
      </c>
      <c r="E600" s="52">
        <v>34913637</v>
      </c>
      <c r="F600" s="52" t="s">
        <v>1666</v>
      </c>
      <c r="G600" s="25">
        <f t="shared" si="7"/>
        <v>7.9096110673297915E-3</v>
      </c>
    </row>
    <row r="601" spans="1:7">
      <c r="A601" s="52">
        <v>122.56399999999999</v>
      </c>
      <c r="B601" s="52">
        <v>122.6536</v>
      </c>
      <c r="C601" s="52">
        <v>118.2646</v>
      </c>
      <c r="D601" s="52">
        <v>119.429</v>
      </c>
      <c r="E601" s="52">
        <v>26952246</v>
      </c>
      <c r="F601" s="52" t="s">
        <v>1665</v>
      </c>
      <c r="G601" s="25">
        <f t="shared" si="7"/>
        <v>2.6249905801773332E-2</v>
      </c>
    </row>
    <row r="602" spans="1:7">
      <c r="A602" s="52">
        <v>119.9764</v>
      </c>
      <c r="B602" s="52">
        <v>122.07640000000001</v>
      </c>
      <c r="C602" s="52">
        <v>119.52849999999999</v>
      </c>
      <c r="D602" s="52">
        <v>121.8176</v>
      </c>
      <c r="E602" s="52">
        <v>30306336</v>
      </c>
      <c r="F602" s="52" t="s">
        <v>1664</v>
      </c>
      <c r="G602" s="25">
        <f t="shared" si="7"/>
        <v>-1.5114400546390683E-2</v>
      </c>
    </row>
    <row r="603" spans="1:7">
      <c r="A603" s="52">
        <v>122.51430000000001</v>
      </c>
      <c r="B603" s="52">
        <v>123.9773</v>
      </c>
      <c r="C603" s="52">
        <v>121.55880000000001</v>
      </c>
      <c r="D603" s="52">
        <v>122.3451</v>
      </c>
      <c r="E603" s="52">
        <v>26097492</v>
      </c>
      <c r="F603" s="52" t="s">
        <v>1663</v>
      </c>
      <c r="G603" s="25">
        <f t="shared" si="7"/>
        <v>1.3829732453527477E-3</v>
      </c>
    </row>
    <row r="604" spans="1:7">
      <c r="A604" s="52">
        <v>122.9422</v>
      </c>
      <c r="B604" s="52">
        <v>125.508</v>
      </c>
      <c r="C604" s="52">
        <v>122.6934</v>
      </c>
      <c r="D604" s="52">
        <v>125.3308</v>
      </c>
      <c r="E604" s="52">
        <v>45535553</v>
      </c>
      <c r="F604" s="52" t="s">
        <v>1662</v>
      </c>
      <c r="G604" s="25">
        <f t="shared" si="7"/>
        <v>-1.9058363945654189E-2</v>
      </c>
    </row>
    <row r="605" spans="1:7">
      <c r="A605" s="52">
        <v>124.4948</v>
      </c>
      <c r="B605" s="52">
        <v>124.863</v>
      </c>
      <c r="C605" s="52">
        <v>121.8176</v>
      </c>
      <c r="D605" s="52">
        <v>122.55410000000001</v>
      </c>
      <c r="E605" s="52">
        <v>35246268</v>
      </c>
      <c r="F605" s="52" t="s">
        <v>1661</v>
      </c>
      <c r="G605" s="25">
        <f t="shared" si="7"/>
        <v>1.5835455525355702E-2</v>
      </c>
    </row>
    <row r="606" spans="1:7">
      <c r="A606" s="52">
        <v>123.08159999999999</v>
      </c>
      <c r="B606" s="52">
        <v>123.4597</v>
      </c>
      <c r="C606" s="52">
        <v>120.8721</v>
      </c>
      <c r="D606" s="52">
        <v>122.51430000000001</v>
      </c>
      <c r="E606" s="52">
        <v>30592297</v>
      </c>
      <c r="F606" s="52" t="s">
        <v>1660</v>
      </c>
      <c r="G606" s="25">
        <f t="shared" si="7"/>
        <v>4.6304798705130157E-3</v>
      </c>
    </row>
    <row r="607" spans="1:7">
      <c r="A607" s="52">
        <v>123.24079999999999</v>
      </c>
      <c r="B607" s="52">
        <v>124.5645</v>
      </c>
      <c r="C607" s="52">
        <v>122.5939</v>
      </c>
      <c r="D607" s="52">
        <v>124.3853</v>
      </c>
      <c r="E607" s="52">
        <v>22278313</v>
      </c>
      <c r="F607" s="52" t="s">
        <v>1659</v>
      </c>
      <c r="G607" s="25">
        <f t="shared" si="7"/>
        <v>-9.2012480574473754E-3</v>
      </c>
    </row>
    <row r="608" spans="1:7">
      <c r="A608" s="52">
        <v>123.0517</v>
      </c>
      <c r="B608" s="52">
        <v>123.4597</v>
      </c>
      <c r="C608" s="52">
        <v>121.08110000000001</v>
      </c>
      <c r="D608" s="52">
        <v>122.2008</v>
      </c>
      <c r="E608" s="52">
        <v>28338743</v>
      </c>
      <c r="F608" s="52" t="s">
        <v>1658</v>
      </c>
      <c r="G608" s="25">
        <f t="shared" si="7"/>
        <v>6.9631295376135771E-3</v>
      </c>
    </row>
    <row r="609" spans="1:7">
      <c r="A609" s="52">
        <v>121.6484</v>
      </c>
      <c r="B609" s="52">
        <v>123.1661</v>
      </c>
      <c r="C609" s="52">
        <v>121.32989999999999</v>
      </c>
      <c r="D609" s="52">
        <v>121.6683</v>
      </c>
      <c r="E609" s="52">
        <v>23778319</v>
      </c>
      <c r="F609" s="52" t="s">
        <v>1657</v>
      </c>
      <c r="G609" s="25">
        <f t="shared" si="7"/>
        <v>-1.6355944810608758E-4</v>
      </c>
    </row>
    <row r="610" spans="1:7">
      <c r="A610" s="52">
        <v>121.55880000000001</v>
      </c>
      <c r="B610" s="52">
        <v>122.6387</v>
      </c>
      <c r="C610" s="52">
        <v>120.6631</v>
      </c>
      <c r="D610" s="52">
        <v>121.6434</v>
      </c>
      <c r="E610" s="52">
        <v>29389167</v>
      </c>
      <c r="F610" s="52" t="s">
        <v>1656</v>
      </c>
      <c r="G610" s="25">
        <f t="shared" si="7"/>
        <v>-6.9547546352699552E-4</v>
      </c>
    </row>
    <row r="611" spans="1:7">
      <c r="A611" s="52">
        <v>121.9171</v>
      </c>
      <c r="B611" s="52">
        <v>128.42599999999999</v>
      </c>
      <c r="C611" s="52">
        <v>121.5389</v>
      </c>
      <c r="D611" s="52">
        <v>126.3659</v>
      </c>
      <c r="E611" s="52">
        <v>52538986</v>
      </c>
      <c r="F611" s="52" t="s">
        <v>1655</v>
      </c>
      <c r="G611" s="25">
        <f t="shared" si="7"/>
        <v>-3.5205700271987883E-2</v>
      </c>
    </row>
    <row r="612" spans="1:7">
      <c r="A612" s="52">
        <v>126.7042</v>
      </c>
      <c r="B612" s="52">
        <v>127.67959999999999</v>
      </c>
      <c r="C612" s="52">
        <v>124.76349999999999</v>
      </c>
      <c r="D612" s="52">
        <v>125.4104</v>
      </c>
      <c r="E612" s="52">
        <v>26638295</v>
      </c>
      <c r="F612" s="52" t="s">
        <v>1654</v>
      </c>
      <c r="G612" s="25">
        <f t="shared" si="7"/>
        <v>1.0316528772733369E-2</v>
      </c>
    </row>
    <row r="613" spans="1:7">
      <c r="A613" s="52">
        <v>125.4104</v>
      </c>
      <c r="B613" s="52">
        <v>126.8237</v>
      </c>
      <c r="C613" s="52">
        <v>123.25069999999999</v>
      </c>
      <c r="D613" s="52">
        <v>123.4199</v>
      </c>
      <c r="E613" s="52">
        <v>32305531</v>
      </c>
      <c r="F613" s="52" t="s">
        <v>1653</v>
      </c>
      <c r="G613" s="25">
        <f t="shared" si="7"/>
        <v>1.6127869168586217E-2</v>
      </c>
    </row>
    <row r="614" spans="1:7">
      <c r="A614" s="52">
        <v>124.07680000000001</v>
      </c>
      <c r="B614" s="52">
        <v>125.5498</v>
      </c>
      <c r="C614" s="52">
        <v>123.1711</v>
      </c>
      <c r="D614" s="52">
        <v>123.4</v>
      </c>
      <c r="E614" s="52">
        <v>26980147</v>
      </c>
      <c r="F614" s="52" t="s">
        <v>1652</v>
      </c>
      <c r="G614" s="25">
        <f t="shared" si="7"/>
        <v>5.4846029173418742E-3</v>
      </c>
    </row>
    <row r="615" spans="1:7">
      <c r="A615" s="52">
        <v>123.1313</v>
      </c>
      <c r="B615" s="52">
        <v>123.828</v>
      </c>
      <c r="C615" s="52">
        <v>122.0365</v>
      </c>
      <c r="D615" s="52">
        <v>122.2306</v>
      </c>
      <c r="E615" s="52">
        <v>30772683</v>
      </c>
      <c r="F615" s="52" t="s">
        <v>1651</v>
      </c>
      <c r="G615" s="25">
        <f t="shared" si="7"/>
        <v>7.3688585346058932E-3</v>
      </c>
    </row>
    <row r="616" spans="1:7">
      <c r="A616" s="52">
        <v>122.2854</v>
      </c>
      <c r="B616" s="52">
        <v>123.46980000000001</v>
      </c>
      <c r="C616" s="52">
        <v>121.9171</v>
      </c>
      <c r="D616" s="52">
        <v>122.16589999999999</v>
      </c>
      <c r="E616" s="52">
        <v>37325787</v>
      </c>
      <c r="F616" s="52" t="s">
        <v>1650</v>
      </c>
      <c r="G616" s="25">
        <f t="shared" si="7"/>
        <v>9.7817803495092726E-4</v>
      </c>
    </row>
    <row r="617" spans="1:7">
      <c r="A617" s="52">
        <v>123.08159999999999</v>
      </c>
      <c r="B617" s="52">
        <v>125.0621</v>
      </c>
      <c r="C617" s="52">
        <v>121.4195</v>
      </c>
      <c r="D617" s="52">
        <v>125.04219999999999</v>
      </c>
      <c r="E617" s="52">
        <v>35076658</v>
      </c>
      <c r="F617" s="52" t="s">
        <v>1649</v>
      </c>
      <c r="G617" s="25">
        <f t="shared" si="7"/>
        <v>-1.5679506598572313E-2</v>
      </c>
    </row>
    <row r="618" spans="1:7">
      <c r="A618" s="52">
        <v>124.0171</v>
      </c>
      <c r="B618" s="52">
        <v>124.664</v>
      </c>
      <c r="C618" s="52">
        <v>121.8674</v>
      </c>
      <c r="D618" s="52">
        <v>122.5839</v>
      </c>
      <c r="E618" s="52">
        <v>35635937</v>
      </c>
      <c r="F618" s="52" t="s">
        <v>1648</v>
      </c>
      <c r="G618" s="25">
        <f t="shared" si="7"/>
        <v>1.1691584294511781E-2</v>
      </c>
    </row>
    <row r="619" spans="1:7">
      <c r="A619" s="52">
        <v>122.8925</v>
      </c>
      <c r="B619" s="52">
        <v>124.72369999999999</v>
      </c>
      <c r="C619" s="52">
        <v>121.3797</v>
      </c>
      <c r="D619" s="52">
        <v>123.92749999999999</v>
      </c>
      <c r="E619" s="52">
        <v>42316986</v>
      </c>
      <c r="F619" s="52" t="s">
        <v>1647</v>
      </c>
      <c r="G619" s="25">
        <f t="shared" si="7"/>
        <v>-8.3516572189384908E-3</v>
      </c>
    </row>
    <row r="620" spans="1:7">
      <c r="A620" s="52">
        <v>120.32470000000001</v>
      </c>
      <c r="B620" s="52">
        <v>121.32989999999999</v>
      </c>
      <c r="C620" s="52">
        <v>119.2897</v>
      </c>
      <c r="D620" s="52">
        <v>120.5437</v>
      </c>
      <c r="E620" s="52">
        <v>34182635</v>
      </c>
      <c r="F620" s="52" t="s">
        <v>1646</v>
      </c>
      <c r="G620" s="25">
        <f t="shared" si="7"/>
        <v>-1.8167685246096577E-3</v>
      </c>
    </row>
    <row r="621" spans="1:7">
      <c r="A621" s="52">
        <v>121.9768</v>
      </c>
      <c r="B621" s="52">
        <v>124.032</v>
      </c>
      <c r="C621" s="52">
        <v>121.6289</v>
      </c>
      <c r="D621" s="52">
        <v>123.5692</v>
      </c>
      <c r="E621" s="52">
        <v>34046251</v>
      </c>
      <c r="F621" s="52" t="s">
        <v>1645</v>
      </c>
      <c r="G621" s="25">
        <f t="shared" si="7"/>
        <v>-1.288670639609224E-2</v>
      </c>
    </row>
    <row r="622" spans="1:7">
      <c r="A622" s="52">
        <v>124.455</v>
      </c>
      <c r="B622" s="52">
        <v>125.8284</v>
      </c>
      <c r="C622" s="52">
        <v>122.15600000000001</v>
      </c>
      <c r="D622" s="52">
        <v>122.355</v>
      </c>
      <c r="E622" s="52">
        <v>35253034</v>
      </c>
      <c r="F622" s="52" t="s">
        <v>1644</v>
      </c>
      <c r="G622" s="25">
        <f t="shared" si="7"/>
        <v>1.7163172735074061E-2</v>
      </c>
    </row>
    <row r="623" spans="1:7">
      <c r="A623" s="52">
        <v>122.1759</v>
      </c>
      <c r="B623" s="52">
        <v>125.3706</v>
      </c>
      <c r="C623" s="52">
        <v>121.5688</v>
      </c>
      <c r="D623" s="52">
        <v>122.96210000000001</v>
      </c>
      <c r="E623" s="52">
        <v>41353445</v>
      </c>
      <c r="F623" s="52" t="s">
        <v>1643</v>
      </c>
      <c r="G623" s="25">
        <f t="shared" si="7"/>
        <v>-6.3938400531546868E-3</v>
      </c>
    </row>
    <row r="624" spans="1:7">
      <c r="A624" s="52">
        <v>122.24550000000001</v>
      </c>
      <c r="B624" s="52">
        <v>122.72329999999999</v>
      </c>
      <c r="C624" s="52">
        <v>120.2551</v>
      </c>
      <c r="D624" s="52">
        <v>120.3745</v>
      </c>
      <c r="E624" s="52">
        <v>35234233</v>
      </c>
      <c r="F624" s="52" t="s">
        <v>1642</v>
      </c>
      <c r="G624" s="25">
        <f t="shared" si="7"/>
        <v>1.5543159057773925E-2</v>
      </c>
    </row>
    <row r="625" spans="1:7">
      <c r="A625" s="52">
        <v>120.265</v>
      </c>
      <c r="B625" s="52">
        <v>121.0911</v>
      </c>
      <c r="C625" s="52">
        <v>118.32429999999999</v>
      </c>
      <c r="D625" s="52">
        <v>119.04089999999999</v>
      </c>
      <c r="E625" s="52">
        <v>33323588</v>
      </c>
      <c r="F625" s="52" t="s">
        <v>1641</v>
      </c>
      <c r="G625" s="25">
        <f t="shared" si="7"/>
        <v>1.0283020373669904E-2</v>
      </c>
    </row>
    <row r="626" spans="1:7">
      <c r="A626" s="52">
        <v>118.9413</v>
      </c>
      <c r="B626" s="52">
        <v>120.1754</v>
      </c>
      <c r="C626" s="52">
        <v>115.876</v>
      </c>
      <c r="D626" s="52">
        <v>115.9357</v>
      </c>
      <c r="E626" s="52">
        <v>45035558</v>
      </c>
      <c r="F626" s="52" t="s">
        <v>1640</v>
      </c>
      <c r="G626" s="25">
        <f t="shared" si="7"/>
        <v>2.5924715165389189E-2</v>
      </c>
    </row>
    <row r="627" spans="1:7">
      <c r="A627" s="52">
        <v>115.9556</v>
      </c>
      <c r="B627" s="52">
        <v>117.9162</v>
      </c>
      <c r="C627" s="52">
        <v>115.458</v>
      </c>
      <c r="D627" s="52">
        <v>115.5575</v>
      </c>
      <c r="E627" s="52">
        <v>36266765</v>
      </c>
      <c r="F627" s="52" t="s">
        <v>1639</v>
      </c>
      <c r="G627" s="25">
        <f t="shared" si="7"/>
        <v>3.4450381844535194E-3</v>
      </c>
    </row>
    <row r="628" spans="1:7">
      <c r="A628" s="52">
        <v>116.9509</v>
      </c>
      <c r="B628" s="52">
        <v>117.4684</v>
      </c>
      <c r="C628" s="52">
        <v>115.5575</v>
      </c>
      <c r="D628" s="52">
        <v>116.12479999999999</v>
      </c>
      <c r="E628" s="52">
        <v>41102330</v>
      </c>
      <c r="F628" s="52" t="s">
        <v>1638</v>
      </c>
      <c r="G628" s="25">
        <f t="shared" si="7"/>
        <v>7.1138981509548671E-3</v>
      </c>
    </row>
    <row r="629" spans="1:7">
      <c r="A629" s="52">
        <v>116.0153</v>
      </c>
      <c r="B629" s="52">
        <v>117.35890000000001</v>
      </c>
      <c r="C629" s="52">
        <v>113.8656</v>
      </c>
      <c r="D629" s="52">
        <v>114.8459</v>
      </c>
      <c r="E629" s="52">
        <v>78900029</v>
      </c>
      <c r="F629" s="52" t="s">
        <v>1637</v>
      </c>
      <c r="G629" s="25">
        <f t="shared" si="7"/>
        <v>1.0182339987757416E-2</v>
      </c>
    </row>
    <row r="630" spans="1:7">
      <c r="A630" s="52">
        <v>111.2183</v>
      </c>
      <c r="B630" s="52">
        <v>112.40260000000001</v>
      </c>
      <c r="C630" s="52">
        <v>107.4164</v>
      </c>
      <c r="D630" s="52">
        <v>107.4563</v>
      </c>
      <c r="E630" s="52">
        <v>63153367</v>
      </c>
      <c r="F630" s="52" t="s">
        <v>1636</v>
      </c>
      <c r="G630" s="25">
        <f t="shared" si="7"/>
        <v>3.5009580638827087E-2</v>
      </c>
    </row>
    <row r="631" spans="1:7">
      <c r="A631" s="52">
        <v>106.83920000000001</v>
      </c>
      <c r="B631" s="52">
        <v>109.6259</v>
      </c>
      <c r="C631" s="52">
        <v>106.68</v>
      </c>
      <c r="D631" s="52">
        <v>107.87430000000001</v>
      </c>
      <c r="E631" s="52">
        <v>36360141</v>
      </c>
      <c r="F631" s="52" t="s">
        <v>1635</v>
      </c>
      <c r="G631" s="25">
        <f t="shared" si="7"/>
        <v>-9.5954272704434906E-3</v>
      </c>
    </row>
    <row r="632" spans="1:7">
      <c r="A632" s="52">
        <v>107.2572</v>
      </c>
      <c r="B632" s="52">
        <v>107.44629999999999</v>
      </c>
      <c r="C632" s="52">
        <v>104.6596</v>
      </c>
      <c r="D632" s="52">
        <v>104.6795</v>
      </c>
      <c r="E632" s="52">
        <v>26511445</v>
      </c>
      <c r="F632" s="52" t="s">
        <v>1634</v>
      </c>
      <c r="G632" s="25">
        <f t="shared" si="7"/>
        <v>2.4624687737331508E-2</v>
      </c>
    </row>
    <row r="633" spans="1:7">
      <c r="A633" s="52">
        <v>105.0677</v>
      </c>
      <c r="B633" s="52">
        <v>105.3762</v>
      </c>
      <c r="C633" s="52">
        <v>103.6146</v>
      </c>
      <c r="D633" s="52">
        <v>104.3212</v>
      </c>
      <c r="E633" s="52">
        <v>26639254</v>
      </c>
      <c r="F633" s="52" t="s">
        <v>1633</v>
      </c>
      <c r="G633" s="25">
        <f t="shared" si="7"/>
        <v>7.155784250947983E-3</v>
      </c>
    </row>
    <row r="634" spans="1:7">
      <c r="A634" s="52">
        <v>104.1919</v>
      </c>
      <c r="B634" s="52">
        <v>105.0975</v>
      </c>
      <c r="C634" s="52">
        <v>103.4753</v>
      </c>
      <c r="D634" s="52">
        <v>104.98309999999999</v>
      </c>
      <c r="E634" s="52">
        <v>23419506</v>
      </c>
      <c r="F634" s="52" t="s">
        <v>1632</v>
      </c>
      <c r="G634" s="25">
        <f t="shared" si="7"/>
        <v>-7.5364511049872407E-3</v>
      </c>
    </row>
    <row r="635" spans="1:7">
      <c r="A635" s="52">
        <v>104.9084</v>
      </c>
      <c r="B635" s="52">
        <v>106.9785</v>
      </c>
      <c r="C635" s="52">
        <v>104.4606</v>
      </c>
      <c r="D635" s="52">
        <v>105.0279</v>
      </c>
      <c r="E635" s="52">
        <v>21795405</v>
      </c>
      <c r="F635" s="52" t="s">
        <v>1631</v>
      </c>
      <c r="G635" s="25">
        <f t="shared" ref="G635:G698" si="8">A635/D635-1</f>
        <v>-1.1377929102648343E-3</v>
      </c>
    </row>
    <row r="636" spans="1:7">
      <c r="A636" s="52">
        <v>104.8189</v>
      </c>
      <c r="B636" s="52">
        <v>106.68989999999999</v>
      </c>
      <c r="C636" s="52">
        <v>103.2165</v>
      </c>
      <c r="D636" s="52">
        <v>106.6302</v>
      </c>
      <c r="E636" s="52">
        <v>30997245</v>
      </c>
      <c r="F636" s="52" t="s">
        <v>1630</v>
      </c>
      <c r="G636" s="25">
        <f t="shared" si="8"/>
        <v>-1.6986744843393353E-2</v>
      </c>
    </row>
    <row r="637" spans="1:7">
      <c r="A637" s="52">
        <v>106.68989999999999</v>
      </c>
      <c r="B637" s="52">
        <v>107.47620000000001</v>
      </c>
      <c r="C637" s="52">
        <v>106.3117</v>
      </c>
      <c r="D637" s="52">
        <v>106.33159999999999</v>
      </c>
      <c r="E637" s="52">
        <v>26681680</v>
      </c>
      <c r="F637" s="52" t="s">
        <v>1629</v>
      </c>
      <c r="G637" s="25">
        <f t="shared" si="8"/>
        <v>3.3696474049107472E-3</v>
      </c>
    </row>
    <row r="638" spans="1:7">
      <c r="A638" s="52">
        <v>106.8293</v>
      </c>
      <c r="B638" s="52">
        <v>106.83920000000001</v>
      </c>
      <c r="C638" s="52">
        <v>104.59</v>
      </c>
      <c r="D638" s="52">
        <v>106.5307</v>
      </c>
      <c r="E638" s="52">
        <v>36139847</v>
      </c>
      <c r="F638" s="52" t="s">
        <v>1628</v>
      </c>
      <c r="G638" s="25">
        <f t="shared" si="8"/>
        <v>2.8029478826292475E-3</v>
      </c>
    </row>
    <row r="639" spans="1:7">
      <c r="A639" s="52">
        <v>107.07810000000001</v>
      </c>
      <c r="B639" s="52">
        <v>107.8544</v>
      </c>
      <c r="C639" s="52">
        <v>103.04730000000001</v>
      </c>
      <c r="D639" s="52">
        <v>103.953</v>
      </c>
      <c r="E639" s="52">
        <v>50089187</v>
      </c>
      <c r="F639" s="52" t="s">
        <v>1627</v>
      </c>
      <c r="G639" s="25">
        <f t="shared" si="8"/>
        <v>3.0062624455282627E-2</v>
      </c>
    </row>
    <row r="640" spans="1:7">
      <c r="A640" s="52">
        <v>103.2165</v>
      </c>
      <c r="B640" s="52">
        <v>105.84399999999999</v>
      </c>
      <c r="C640" s="52">
        <v>102.1417</v>
      </c>
      <c r="D640" s="52">
        <v>104.4208</v>
      </c>
      <c r="E640" s="52">
        <v>53347560</v>
      </c>
      <c r="F640" s="52" t="s">
        <v>1626</v>
      </c>
      <c r="G640" s="25">
        <f t="shared" si="8"/>
        <v>-1.1533142822119813E-2</v>
      </c>
    </row>
    <row r="641" spans="1:7">
      <c r="A641" s="52">
        <v>103.35590000000001</v>
      </c>
      <c r="B641" s="52">
        <v>106.1823</v>
      </c>
      <c r="C641" s="52">
        <v>103.3459</v>
      </c>
      <c r="D641" s="52">
        <v>105.3215</v>
      </c>
      <c r="E641" s="52">
        <v>46664104</v>
      </c>
      <c r="F641" s="52" t="s">
        <v>1625</v>
      </c>
      <c r="G641" s="25">
        <f t="shared" si="8"/>
        <v>-1.8662856111999915E-2</v>
      </c>
    </row>
    <row r="642" spans="1:7">
      <c r="A642" s="52">
        <v>105.4658</v>
      </c>
      <c r="B642" s="52">
        <v>106.12260000000001</v>
      </c>
      <c r="C642" s="52">
        <v>104.20180000000001</v>
      </c>
      <c r="D642" s="52">
        <v>104.9881</v>
      </c>
      <c r="E642" s="52">
        <v>23542829</v>
      </c>
      <c r="F642" s="52" t="s">
        <v>1624</v>
      </c>
      <c r="G642" s="25">
        <f t="shared" si="8"/>
        <v>4.5500394806650135E-3</v>
      </c>
    </row>
    <row r="643" spans="1:7">
      <c r="A643" s="52">
        <v>104.9084</v>
      </c>
      <c r="B643" s="52">
        <v>105.4956</v>
      </c>
      <c r="C643" s="52">
        <v>104.2814</v>
      </c>
      <c r="D643" s="52">
        <v>104.9682</v>
      </c>
      <c r="E643" s="52">
        <v>25800082</v>
      </c>
      <c r="F643" s="52" t="s">
        <v>1623</v>
      </c>
      <c r="G643" s="25">
        <f t="shared" si="8"/>
        <v>-5.6969634613146525E-4</v>
      </c>
    </row>
    <row r="644" spans="1:7">
      <c r="A644" s="52">
        <v>104.789</v>
      </c>
      <c r="B644" s="52">
        <v>105.7444</v>
      </c>
      <c r="C644" s="52">
        <v>103.3742</v>
      </c>
      <c r="D644" s="52">
        <v>103.4156</v>
      </c>
      <c r="E644" s="52">
        <v>27820794</v>
      </c>
      <c r="F644" s="52" t="s">
        <v>1622</v>
      </c>
      <c r="G644" s="25">
        <f t="shared" si="8"/>
        <v>1.3280394834048304E-2</v>
      </c>
    </row>
    <row r="645" spans="1:7">
      <c r="A645" s="52">
        <v>103.68429999999999</v>
      </c>
      <c r="B645" s="52">
        <v>104.48050000000001</v>
      </c>
      <c r="C645" s="52">
        <v>102.5796</v>
      </c>
      <c r="D645" s="52">
        <v>103.08710000000001</v>
      </c>
      <c r="E645" s="52">
        <v>20905684</v>
      </c>
      <c r="F645" s="52" t="s">
        <v>1621</v>
      </c>
      <c r="G645" s="25">
        <f t="shared" si="8"/>
        <v>5.7931593768763001E-3</v>
      </c>
    </row>
    <row r="646" spans="1:7">
      <c r="A646" s="52">
        <v>104.00279999999999</v>
      </c>
      <c r="B646" s="52">
        <v>106.0331</v>
      </c>
      <c r="C646" s="52">
        <v>103.5748</v>
      </c>
      <c r="D646" s="52">
        <v>105.9833</v>
      </c>
      <c r="E646" s="52">
        <v>26596445</v>
      </c>
      <c r="F646" s="52" t="s">
        <v>1620</v>
      </c>
      <c r="G646" s="25">
        <f t="shared" si="8"/>
        <v>-1.8686906333356346E-2</v>
      </c>
    </row>
    <row r="647" spans="1:7">
      <c r="A647" s="52">
        <v>105.4658</v>
      </c>
      <c r="B647" s="52">
        <v>105.6549</v>
      </c>
      <c r="C647" s="52">
        <v>104.0227</v>
      </c>
      <c r="D647" s="52">
        <v>104.16</v>
      </c>
      <c r="E647" s="52">
        <v>37571218</v>
      </c>
      <c r="F647" s="52" t="s">
        <v>1619</v>
      </c>
      <c r="G647" s="25">
        <f t="shared" si="8"/>
        <v>1.2536482334869481E-2</v>
      </c>
    </row>
    <row r="648" spans="1:7">
      <c r="A648" s="52">
        <v>108.352</v>
      </c>
      <c r="B648" s="52">
        <v>108.4216</v>
      </c>
      <c r="C648" s="52">
        <v>106.33159999999999</v>
      </c>
      <c r="D648" s="52">
        <v>106.3814</v>
      </c>
      <c r="E648" s="52">
        <v>26578002</v>
      </c>
      <c r="F648" s="52" t="s">
        <v>1618</v>
      </c>
      <c r="G648" s="25">
        <f t="shared" si="8"/>
        <v>1.852391489489702E-2</v>
      </c>
    </row>
    <row r="649" spans="1:7">
      <c r="A649" s="52">
        <v>106.9188</v>
      </c>
      <c r="B649" s="52">
        <v>106.9785</v>
      </c>
      <c r="C649" s="52">
        <v>105.3364</v>
      </c>
      <c r="D649" s="52">
        <v>105.3364</v>
      </c>
      <c r="E649" s="52">
        <v>24843579</v>
      </c>
      <c r="F649" s="52" t="s">
        <v>1617</v>
      </c>
      <c r="G649" s="25">
        <f t="shared" si="8"/>
        <v>1.5022347450643903E-2</v>
      </c>
    </row>
    <row r="650" spans="1:7">
      <c r="A650" s="52">
        <v>104.1421</v>
      </c>
      <c r="B650" s="52">
        <v>106.24209999999999</v>
      </c>
      <c r="C650" s="52">
        <v>103.84350000000001</v>
      </c>
      <c r="D650" s="52">
        <v>106.0729</v>
      </c>
      <c r="E650" s="52">
        <v>24370274</v>
      </c>
      <c r="F650" s="52" t="s">
        <v>1616</v>
      </c>
      <c r="G650" s="25">
        <f t="shared" si="8"/>
        <v>-1.8202575775716601E-2</v>
      </c>
    </row>
    <row r="651" spans="1:7">
      <c r="A651" s="52">
        <v>104.84869999999999</v>
      </c>
      <c r="B651" s="52">
        <v>106.2222</v>
      </c>
      <c r="C651" s="52">
        <v>104.1819</v>
      </c>
      <c r="D651" s="52">
        <v>106.04300000000001</v>
      </c>
      <c r="E651" s="52">
        <v>26311803</v>
      </c>
      <c r="F651" s="52" t="s">
        <v>1615</v>
      </c>
      <c r="G651" s="25">
        <f t="shared" si="8"/>
        <v>-1.1262412417604284E-2</v>
      </c>
    </row>
    <row r="652" spans="1:7">
      <c r="A652" s="52">
        <v>105.9335</v>
      </c>
      <c r="B652" s="52">
        <v>107.07810000000001</v>
      </c>
      <c r="C652" s="52">
        <v>104.6198</v>
      </c>
      <c r="D652" s="52">
        <v>106.471</v>
      </c>
      <c r="E652" s="52">
        <v>27067355</v>
      </c>
      <c r="F652" s="52" t="s">
        <v>1614</v>
      </c>
      <c r="G652" s="25">
        <f t="shared" si="8"/>
        <v>-5.0483230175353278E-3</v>
      </c>
    </row>
    <row r="653" spans="1:7">
      <c r="A653" s="52">
        <v>107.9041</v>
      </c>
      <c r="B653" s="52">
        <v>108.65049999999999</v>
      </c>
      <c r="C653" s="52">
        <v>103.8336</v>
      </c>
      <c r="D653" s="52">
        <v>104.75920000000001</v>
      </c>
      <c r="E653" s="52">
        <v>48711480</v>
      </c>
      <c r="F653" s="52" t="s">
        <v>1613</v>
      </c>
      <c r="G653" s="25">
        <f t="shared" si="8"/>
        <v>3.0020275068919799E-2</v>
      </c>
    </row>
    <row r="654" spans="1:7">
      <c r="A654" s="52">
        <v>103.9729</v>
      </c>
      <c r="B654" s="52">
        <v>105.59520000000001</v>
      </c>
      <c r="C654" s="52">
        <v>103.16679999999999</v>
      </c>
      <c r="D654" s="52">
        <v>105.27670000000001</v>
      </c>
      <c r="E654" s="52">
        <v>28290503</v>
      </c>
      <c r="F654" s="52" t="s">
        <v>1612</v>
      </c>
      <c r="G654" s="25">
        <f t="shared" si="8"/>
        <v>-1.23845067332089E-2</v>
      </c>
    </row>
    <row r="655" spans="1:7">
      <c r="A655" s="52">
        <v>104.2217</v>
      </c>
      <c r="B655" s="52">
        <v>105.0776</v>
      </c>
      <c r="C655" s="52">
        <v>103.545</v>
      </c>
      <c r="D655" s="52">
        <v>103.8336</v>
      </c>
      <c r="E655" s="52">
        <v>24420079</v>
      </c>
      <c r="F655" s="52" t="s">
        <v>1611</v>
      </c>
      <c r="G655" s="25">
        <f t="shared" si="8"/>
        <v>3.7377111070018287E-3</v>
      </c>
    </row>
    <row r="656" spans="1:7">
      <c r="A656" s="52">
        <v>103.8634</v>
      </c>
      <c r="B656" s="52">
        <v>104.0326</v>
      </c>
      <c r="C656" s="52">
        <v>101.44499999999999</v>
      </c>
      <c r="D656" s="52">
        <v>101.9028</v>
      </c>
      <c r="E656" s="52">
        <v>25035399</v>
      </c>
      <c r="F656" s="52" t="s">
        <v>1610</v>
      </c>
      <c r="G656" s="25">
        <f t="shared" si="8"/>
        <v>1.923990312336854E-2</v>
      </c>
    </row>
    <row r="657" spans="1:7">
      <c r="A657" s="52">
        <v>103.2364</v>
      </c>
      <c r="B657" s="52">
        <v>103.39570000000001</v>
      </c>
      <c r="C657" s="52">
        <v>100.5592</v>
      </c>
      <c r="D657" s="52">
        <v>100.818</v>
      </c>
      <c r="E657" s="52">
        <v>36863369</v>
      </c>
      <c r="F657" s="52" t="s">
        <v>1609</v>
      </c>
      <c r="G657" s="25">
        <f t="shared" si="8"/>
        <v>2.3987779959927735E-2</v>
      </c>
    </row>
    <row r="658" spans="1:7">
      <c r="A658" s="52">
        <v>100.40989999999999</v>
      </c>
      <c r="B658" s="52">
        <v>100.6737</v>
      </c>
      <c r="C658" s="52">
        <v>99.305199999999999</v>
      </c>
      <c r="D658" s="52">
        <v>100.4298</v>
      </c>
      <c r="E658" s="52">
        <v>33086183</v>
      </c>
      <c r="F658" s="52" t="s">
        <v>1608</v>
      </c>
      <c r="G658" s="25">
        <f t="shared" si="8"/>
        <v>-1.9814835835585409E-4</v>
      </c>
    </row>
    <row r="659" spans="1:7">
      <c r="A659" s="52">
        <v>100.9076</v>
      </c>
      <c r="B659" s="52">
        <v>102.00230000000001</v>
      </c>
      <c r="C659" s="52">
        <v>100.1711</v>
      </c>
      <c r="D659" s="52">
        <v>101.7933</v>
      </c>
      <c r="E659" s="52">
        <v>28779572</v>
      </c>
      <c r="F659" s="52" t="s">
        <v>1607</v>
      </c>
      <c r="G659" s="25">
        <f t="shared" si="8"/>
        <v>-8.7009655841788769E-3</v>
      </c>
    </row>
    <row r="660" spans="1:7">
      <c r="A660" s="52">
        <v>100.5493</v>
      </c>
      <c r="B660" s="52">
        <v>101.96250000000001</v>
      </c>
      <c r="C660" s="52">
        <v>99.2654</v>
      </c>
      <c r="D660" s="52">
        <v>101.9526</v>
      </c>
      <c r="E660" s="52">
        <v>32057865</v>
      </c>
      <c r="F660" s="52" t="s">
        <v>1606</v>
      </c>
      <c r="G660" s="25">
        <f t="shared" si="8"/>
        <v>-1.3764239460298255E-2</v>
      </c>
    </row>
    <row r="661" spans="1:7">
      <c r="A661" s="52">
        <v>101.9725</v>
      </c>
      <c r="B661" s="52">
        <v>104.2615</v>
      </c>
      <c r="C661" s="52">
        <v>101.4423</v>
      </c>
      <c r="D661" s="52">
        <v>104.1172</v>
      </c>
      <c r="E661" s="52">
        <v>31120864</v>
      </c>
      <c r="F661" s="52" t="s">
        <v>1605</v>
      </c>
      <c r="G661" s="25">
        <f t="shared" si="8"/>
        <v>-2.0598902006584874E-2</v>
      </c>
    </row>
    <row r="662" spans="1:7">
      <c r="A662" s="52">
        <v>104.9383</v>
      </c>
      <c r="B662" s="52">
        <v>104.9881</v>
      </c>
      <c r="C662" s="52">
        <v>103.3459</v>
      </c>
      <c r="D662" s="52">
        <v>104.49039999999999</v>
      </c>
      <c r="E662" s="52">
        <v>30411043</v>
      </c>
      <c r="F662" s="52" t="s">
        <v>1604</v>
      </c>
      <c r="G662" s="25">
        <f t="shared" si="8"/>
        <v>4.2865181873168456E-3</v>
      </c>
    </row>
    <row r="663" spans="1:7">
      <c r="A663" s="52">
        <v>105.0975</v>
      </c>
      <c r="B663" s="52">
        <v>105.7942</v>
      </c>
      <c r="C663" s="52">
        <v>103.96299999999999</v>
      </c>
      <c r="D663" s="52">
        <v>104.56010000000001</v>
      </c>
      <c r="E663" s="52">
        <v>40797769</v>
      </c>
      <c r="F663" s="52" t="s">
        <v>1603</v>
      </c>
      <c r="G663" s="25">
        <f t="shared" si="8"/>
        <v>5.1396278312663135E-3</v>
      </c>
    </row>
    <row r="664" spans="1:7">
      <c r="A664" s="52">
        <v>102.8781</v>
      </c>
      <c r="B664" s="52">
        <v>106.08280000000001</v>
      </c>
      <c r="C664" s="52">
        <v>102.8383</v>
      </c>
      <c r="D664" s="52">
        <v>103.7739</v>
      </c>
      <c r="E664" s="52">
        <v>43427419</v>
      </c>
      <c r="F664" s="52" t="s">
        <v>1602</v>
      </c>
      <c r="G664" s="25">
        <f t="shared" si="8"/>
        <v>-8.6322283348703177E-3</v>
      </c>
    </row>
    <row r="665" spans="1:7">
      <c r="A665" s="52">
        <v>104.4208</v>
      </c>
      <c r="B665" s="52">
        <v>104.59990000000001</v>
      </c>
      <c r="C665" s="52">
        <v>100.7384</v>
      </c>
      <c r="D665" s="52">
        <v>100.76819999999999</v>
      </c>
      <c r="E665" s="52">
        <v>42110279</v>
      </c>
      <c r="F665" s="52" t="s">
        <v>1601</v>
      </c>
      <c r="G665" s="25">
        <f t="shared" si="8"/>
        <v>3.6247546348947557E-2</v>
      </c>
    </row>
    <row r="666" spans="1:7">
      <c r="A666" s="52">
        <v>100.7384</v>
      </c>
      <c r="B666" s="52">
        <v>101.2659</v>
      </c>
      <c r="C666" s="52">
        <v>99.394800000000004</v>
      </c>
      <c r="D666" s="52">
        <v>99.643600000000006</v>
      </c>
      <c r="E666" s="52">
        <v>32960440</v>
      </c>
      <c r="F666" s="52" t="s">
        <v>1600</v>
      </c>
      <c r="G666" s="25">
        <f t="shared" si="8"/>
        <v>1.0987158231938521E-2</v>
      </c>
    </row>
    <row r="667" spans="1:7">
      <c r="A667" s="52">
        <v>101.1365</v>
      </c>
      <c r="B667" s="52">
        <v>102.34569999999999</v>
      </c>
      <c r="C667" s="52">
        <v>99.623699999999999</v>
      </c>
      <c r="D667" s="52">
        <v>99.782899999999998</v>
      </c>
      <c r="E667" s="52">
        <v>61028547</v>
      </c>
      <c r="F667" s="52" t="s">
        <v>1599</v>
      </c>
      <c r="G667" s="25">
        <f t="shared" si="8"/>
        <v>1.3565450593237882E-2</v>
      </c>
    </row>
    <row r="668" spans="1:7">
      <c r="A668" s="52">
        <v>99.842699999999994</v>
      </c>
      <c r="B668" s="52">
        <v>100.7085</v>
      </c>
      <c r="C668" s="52">
        <v>95.045599999999993</v>
      </c>
      <c r="D668" s="52">
        <v>95.7423</v>
      </c>
      <c r="E668" s="52">
        <v>65567656</v>
      </c>
      <c r="F668" s="52" t="s">
        <v>1598</v>
      </c>
      <c r="G668" s="25">
        <f t="shared" si="8"/>
        <v>4.2827464976295637E-2</v>
      </c>
    </row>
    <row r="669" spans="1:7">
      <c r="A669" s="52">
        <v>95.652699999999996</v>
      </c>
      <c r="B669" s="52">
        <v>96.468800000000002</v>
      </c>
      <c r="C669" s="52">
        <v>92.199200000000005</v>
      </c>
      <c r="D669" s="52">
        <v>92.776399999999995</v>
      </c>
      <c r="E669" s="52">
        <v>50622050</v>
      </c>
      <c r="F669" s="52" t="s">
        <v>1597</v>
      </c>
      <c r="G669" s="25">
        <f t="shared" si="8"/>
        <v>3.1002496324496365E-2</v>
      </c>
    </row>
    <row r="670" spans="1:7">
      <c r="A670" s="52">
        <v>93.522900000000007</v>
      </c>
      <c r="B670" s="52">
        <v>93.911000000000001</v>
      </c>
      <c r="C670" s="52">
        <v>92.000200000000007</v>
      </c>
      <c r="D670" s="52">
        <v>92.119600000000005</v>
      </c>
      <c r="E670" s="52">
        <v>36050214</v>
      </c>
      <c r="F670" s="52" t="s">
        <v>1596</v>
      </c>
      <c r="G670" s="25">
        <f t="shared" si="8"/>
        <v>1.5233457374977721E-2</v>
      </c>
    </row>
    <row r="671" spans="1:7">
      <c r="A671" s="52">
        <v>90.676500000000004</v>
      </c>
      <c r="B671" s="52">
        <v>92.129499999999993</v>
      </c>
      <c r="C671" s="52">
        <v>88.994500000000002</v>
      </c>
      <c r="D671" s="52">
        <v>89.661299999999997</v>
      </c>
      <c r="E671" s="52">
        <v>37335573</v>
      </c>
      <c r="F671" s="52" t="s">
        <v>1595</v>
      </c>
      <c r="G671" s="25">
        <f t="shared" si="8"/>
        <v>1.1322610758487839E-2</v>
      </c>
    </row>
    <row r="672" spans="1:7">
      <c r="A672" s="52">
        <v>90.198800000000006</v>
      </c>
      <c r="B672" s="52">
        <v>92.348500000000001</v>
      </c>
      <c r="C672" s="52">
        <v>89.9649</v>
      </c>
      <c r="D672" s="52">
        <v>91.731399999999994</v>
      </c>
      <c r="E672" s="52">
        <v>35941046</v>
      </c>
      <c r="F672" s="52" t="s">
        <v>1594</v>
      </c>
      <c r="G672" s="25">
        <f t="shared" si="8"/>
        <v>-1.6707474212755757E-2</v>
      </c>
    </row>
    <row r="673" spans="1:7">
      <c r="A673" s="52">
        <v>91.880700000000004</v>
      </c>
      <c r="B673" s="52">
        <v>95.075400000000002</v>
      </c>
      <c r="C673" s="52">
        <v>91.462699999999998</v>
      </c>
      <c r="D673" s="52">
        <v>93.602500000000006</v>
      </c>
      <c r="E673" s="52">
        <v>28813532</v>
      </c>
      <c r="F673" s="52" t="s">
        <v>1593</v>
      </c>
      <c r="G673" s="25">
        <f t="shared" si="8"/>
        <v>-1.8394807830987459E-2</v>
      </c>
    </row>
    <row r="674" spans="1:7">
      <c r="A674" s="52">
        <v>93.801500000000004</v>
      </c>
      <c r="B674" s="52">
        <v>95.498400000000004</v>
      </c>
      <c r="C674" s="52">
        <v>93.552700000000002</v>
      </c>
      <c r="D674" s="52">
        <v>93.672200000000004</v>
      </c>
      <c r="E674" s="52">
        <v>34103265</v>
      </c>
      <c r="F674" s="52" t="s">
        <v>1592</v>
      </c>
      <c r="G674" s="25">
        <f t="shared" si="8"/>
        <v>1.3803455027212586E-3</v>
      </c>
    </row>
    <row r="675" spans="1:7">
      <c r="A675" s="52">
        <v>93.413399999999996</v>
      </c>
      <c r="B675" s="52">
        <v>95.214799999999997</v>
      </c>
      <c r="C675" s="52">
        <v>93.084999999999994</v>
      </c>
      <c r="D675" s="52">
        <v>94.528099999999995</v>
      </c>
      <c r="E675" s="52">
        <v>27835476</v>
      </c>
      <c r="F675" s="52" t="s">
        <v>1591</v>
      </c>
      <c r="G675" s="25">
        <f t="shared" si="8"/>
        <v>-1.179226071400985E-2</v>
      </c>
    </row>
    <row r="676" spans="1:7">
      <c r="A676" s="52">
        <v>94.677400000000006</v>
      </c>
      <c r="B676" s="52">
        <v>95.513400000000004</v>
      </c>
      <c r="C676" s="52">
        <v>93.552700000000002</v>
      </c>
      <c r="D676" s="52">
        <v>93.567700000000002</v>
      </c>
      <c r="E676" s="52">
        <v>32639313</v>
      </c>
      <c r="F676" s="52" t="s">
        <v>1590</v>
      </c>
      <c r="G676" s="25">
        <f t="shared" si="8"/>
        <v>1.1859861896787116E-2</v>
      </c>
    </row>
    <row r="677" spans="1:7">
      <c r="A677" s="52">
        <v>93.204400000000007</v>
      </c>
      <c r="B677" s="52">
        <v>93.284000000000006</v>
      </c>
      <c r="C677" s="52">
        <v>92.010099999999994</v>
      </c>
      <c r="D677" s="52">
        <v>92.04</v>
      </c>
      <c r="E677" s="52">
        <v>35160105</v>
      </c>
      <c r="F677" s="52" t="s">
        <v>1589</v>
      </c>
      <c r="G677" s="25">
        <f t="shared" si="8"/>
        <v>1.2651021295088993E-2</v>
      </c>
    </row>
    <row r="678" spans="1:7">
      <c r="A678" s="52">
        <v>91.562200000000004</v>
      </c>
      <c r="B678" s="52">
        <v>91.835899999999995</v>
      </c>
      <c r="C678" s="52">
        <v>89.163700000000006</v>
      </c>
      <c r="D678" s="52">
        <v>89.233400000000003</v>
      </c>
      <c r="E678" s="52">
        <v>32226229</v>
      </c>
      <c r="F678" s="52" t="s">
        <v>1588</v>
      </c>
      <c r="G678" s="25">
        <f t="shared" si="8"/>
        <v>2.6097851253006121E-2</v>
      </c>
    </row>
    <row r="679" spans="1:7">
      <c r="A679" s="52">
        <v>89.93</v>
      </c>
      <c r="B679" s="52">
        <v>90.596900000000005</v>
      </c>
      <c r="C679" s="52">
        <v>89.243300000000005</v>
      </c>
      <c r="D679" s="52">
        <v>89.551900000000003</v>
      </c>
      <c r="E679" s="52">
        <v>31111225</v>
      </c>
      <c r="F679" s="52" t="s">
        <v>1587</v>
      </c>
      <c r="G679" s="25">
        <f t="shared" si="8"/>
        <v>4.2221326404019432E-3</v>
      </c>
    </row>
    <row r="680" spans="1:7">
      <c r="A680" s="52">
        <v>89.631500000000003</v>
      </c>
      <c r="B680" s="52">
        <v>90.795900000000003</v>
      </c>
      <c r="C680" s="52">
        <v>88.894999999999996</v>
      </c>
      <c r="D680" s="52">
        <v>88.904899999999998</v>
      </c>
      <c r="E680" s="52">
        <v>30142039</v>
      </c>
      <c r="F680" s="52" t="s">
        <v>1586</v>
      </c>
      <c r="G680" s="25">
        <f t="shared" si="8"/>
        <v>8.1727778783846627E-3</v>
      </c>
    </row>
    <row r="681" spans="1:7">
      <c r="A681" s="52">
        <v>89.442400000000006</v>
      </c>
      <c r="B681" s="52">
        <v>89.730999999999995</v>
      </c>
      <c r="C681" s="52">
        <v>88.909899999999993</v>
      </c>
      <c r="D681" s="52">
        <v>89.442400000000006</v>
      </c>
      <c r="E681" s="52">
        <v>27502302</v>
      </c>
      <c r="F681" s="52" t="s">
        <v>1585</v>
      </c>
      <c r="G681" s="25">
        <f t="shared" si="8"/>
        <v>0</v>
      </c>
    </row>
    <row r="682" spans="1:7">
      <c r="A682" s="52">
        <v>88.7059</v>
      </c>
      <c r="B682" s="52">
        <v>89.462299999999999</v>
      </c>
      <c r="C682" s="52">
        <v>88.153499999999994</v>
      </c>
      <c r="D682" s="52">
        <v>89.014399999999995</v>
      </c>
      <c r="E682" s="52">
        <v>36585093</v>
      </c>
      <c r="F682" s="52" t="s">
        <v>1584</v>
      </c>
      <c r="G682" s="25">
        <f t="shared" si="8"/>
        <v>-3.4657313872811235E-3</v>
      </c>
    </row>
    <row r="683" spans="1:7">
      <c r="A683" s="52">
        <v>90.457499999999996</v>
      </c>
      <c r="B683" s="52">
        <v>91.502499999999998</v>
      </c>
      <c r="C683" s="52">
        <v>89.332899999999995</v>
      </c>
      <c r="D683" s="52">
        <v>91.482600000000005</v>
      </c>
      <c r="E683" s="52">
        <v>41206380</v>
      </c>
      <c r="F683" s="52" t="s">
        <v>1583</v>
      </c>
      <c r="G683" s="25">
        <f t="shared" si="8"/>
        <v>-1.1205409553292189E-2</v>
      </c>
    </row>
    <row r="684" spans="1:7">
      <c r="A684" s="52">
        <v>91.213899999999995</v>
      </c>
      <c r="B684" s="52">
        <v>91.671700000000001</v>
      </c>
      <c r="C684" s="52">
        <v>90.178899999999999</v>
      </c>
      <c r="D684" s="52">
        <v>91.2637</v>
      </c>
      <c r="E684" s="52">
        <v>30884017</v>
      </c>
      <c r="F684" s="52" t="s">
        <v>1582</v>
      </c>
      <c r="G684" s="25">
        <f t="shared" si="8"/>
        <v>-5.456714991831646E-4</v>
      </c>
    </row>
    <row r="685" spans="1:7">
      <c r="A685" s="52">
        <v>91.353200000000001</v>
      </c>
      <c r="B685" s="52">
        <v>92.656999999999996</v>
      </c>
      <c r="C685" s="52">
        <v>91.283600000000007</v>
      </c>
      <c r="D685" s="52">
        <v>92.557500000000005</v>
      </c>
      <c r="E685" s="52">
        <v>33629256</v>
      </c>
      <c r="F685" s="52" t="s">
        <v>1581</v>
      </c>
      <c r="G685" s="25">
        <f t="shared" si="8"/>
        <v>-1.3011371309726405E-2</v>
      </c>
    </row>
    <row r="686" spans="1:7">
      <c r="A686" s="52">
        <v>93.9011</v>
      </c>
      <c r="B686" s="52">
        <v>95.105199999999996</v>
      </c>
      <c r="C686" s="52">
        <v>92.766499999999994</v>
      </c>
      <c r="D686" s="52">
        <v>94.398700000000005</v>
      </c>
      <c r="E686" s="52">
        <v>34284118</v>
      </c>
      <c r="F686" s="52" t="s">
        <v>1580</v>
      </c>
      <c r="G686" s="25">
        <f t="shared" si="8"/>
        <v>-5.2712590321689623E-3</v>
      </c>
    </row>
    <row r="687" spans="1:7">
      <c r="A687" s="52">
        <v>95.055499999999995</v>
      </c>
      <c r="B687" s="52">
        <v>97.215199999999996</v>
      </c>
      <c r="C687" s="52">
        <v>94.289199999999994</v>
      </c>
      <c r="D687" s="52">
        <v>94.916200000000003</v>
      </c>
      <c r="E687" s="52">
        <v>42462618</v>
      </c>
      <c r="F687" s="52" t="s">
        <v>1579</v>
      </c>
      <c r="G687" s="25">
        <f t="shared" si="8"/>
        <v>1.4676103763107129E-3</v>
      </c>
    </row>
    <row r="688" spans="1:7">
      <c r="A688" s="52">
        <v>96.478700000000003</v>
      </c>
      <c r="B688" s="52">
        <v>96.657899999999998</v>
      </c>
      <c r="C688" s="52">
        <v>93.701999999999998</v>
      </c>
      <c r="D688" s="52">
        <v>94.040400000000005</v>
      </c>
      <c r="E688" s="52">
        <v>50298481</v>
      </c>
      <c r="F688" s="52" t="s">
        <v>1578</v>
      </c>
      <c r="G688" s="25">
        <f t="shared" si="8"/>
        <v>2.5928218084993127E-2</v>
      </c>
    </row>
    <row r="689" spans="1:7">
      <c r="A689" s="52">
        <v>94.229500000000002</v>
      </c>
      <c r="B689" s="52">
        <v>94.393699999999995</v>
      </c>
      <c r="C689" s="52">
        <v>91.820999999999998</v>
      </c>
      <c r="D689" s="52">
        <v>93.980699999999999</v>
      </c>
      <c r="E689" s="52">
        <v>54726120</v>
      </c>
      <c r="F689" s="52" t="s">
        <v>1577</v>
      </c>
      <c r="G689" s="25">
        <f t="shared" si="8"/>
        <v>2.6473520627108282E-3</v>
      </c>
    </row>
    <row r="690" spans="1:7">
      <c r="A690" s="52">
        <v>94.159800000000004</v>
      </c>
      <c r="B690" s="52">
        <v>94.747</v>
      </c>
      <c r="C690" s="52">
        <v>93.393500000000003</v>
      </c>
      <c r="D690" s="52">
        <v>94.289199999999994</v>
      </c>
      <c r="E690" s="52">
        <v>50076120</v>
      </c>
      <c r="F690" s="52" t="s">
        <v>1576</v>
      </c>
      <c r="G690" s="25">
        <f t="shared" si="8"/>
        <v>-1.3723735061914599E-3</v>
      </c>
    </row>
    <row r="691" spans="1:7">
      <c r="A691" s="52">
        <v>94.12</v>
      </c>
      <c r="B691" s="52">
        <v>96.289599999999993</v>
      </c>
      <c r="C691" s="52">
        <v>93.801500000000004</v>
      </c>
      <c r="D691" s="52">
        <v>94.995800000000003</v>
      </c>
      <c r="E691" s="52">
        <v>54980696</v>
      </c>
      <c r="F691" s="52" t="s">
        <v>1575</v>
      </c>
      <c r="G691" s="25">
        <f t="shared" si="8"/>
        <v>-9.2193549609561609E-3</v>
      </c>
    </row>
    <row r="692" spans="1:7">
      <c r="A692" s="52">
        <v>94.557900000000004</v>
      </c>
      <c r="B692" s="52">
        <v>99.554000000000002</v>
      </c>
      <c r="C692" s="52">
        <v>93.1845</v>
      </c>
      <c r="D692" s="52">
        <v>99.524199999999993</v>
      </c>
      <c r="E692" s="52">
        <v>119455020</v>
      </c>
      <c r="F692" s="52" t="s">
        <v>1574</v>
      </c>
      <c r="G692" s="25">
        <f t="shared" si="8"/>
        <v>-4.9900426227992734E-2</v>
      </c>
    </row>
    <row r="693" spans="1:7">
      <c r="A693" s="52">
        <v>98.897199999999998</v>
      </c>
      <c r="B693" s="52">
        <v>102.64919999999999</v>
      </c>
      <c r="C693" s="52">
        <v>97.5685</v>
      </c>
      <c r="D693" s="52">
        <v>101.56440000000001</v>
      </c>
      <c r="E693" s="52">
        <v>94743515</v>
      </c>
      <c r="F693" s="52" t="s">
        <v>1573</v>
      </c>
      <c r="G693" s="25">
        <f t="shared" si="8"/>
        <v>-2.6261170252568911E-2</v>
      </c>
    </row>
    <row r="694" spans="1:7">
      <c r="A694" s="52">
        <v>107.12779999999999</v>
      </c>
      <c r="B694" s="52">
        <v>107.6653</v>
      </c>
      <c r="C694" s="52">
        <v>102.6293</v>
      </c>
      <c r="D694" s="52">
        <v>102.7289</v>
      </c>
      <c r="E694" s="52">
        <v>49010230</v>
      </c>
      <c r="F694" s="52" t="s">
        <v>1572</v>
      </c>
      <c r="G694" s="25">
        <f t="shared" si="8"/>
        <v>4.2820472135883803E-2</v>
      </c>
    </row>
    <row r="695" spans="1:7">
      <c r="A695" s="52">
        <v>102.4104</v>
      </c>
      <c r="B695" s="52">
        <v>103.8634</v>
      </c>
      <c r="C695" s="52">
        <v>101.3952</v>
      </c>
      <c r="D695" s="52">
        <v>101.9128</v>
      </c>
      <c r="E695" s="52">
        <v>31999562</v>
      </c>
      <c r="F695" s="52" t="s">
        <v>1571</v>
      </c>
      <c r="G695" s="25">
        <f t="shared" si="8"/>
        <v>4.8826055215831499E-3</v>
      </c>
    </row>
    <row r="696" spans="1:7">
      <c r="A696" s="52">
        <v>104.2814</v>
      </c>
      <c r="B696" s="52">
        <v>107.297</v>
      </c>
      <c r="C696" s="52">
        <v>102.0919</v>
      </c>
      <c r="D696" s="52">
        <v>102.4402</v>
      </c>
      <c r="E696" s="52">
        <v>65309261</v>
      </c>
      <c r="F696" s="52" t="s">
        <v>1570</v>
      </c>
      <c r="G696" s="25">
        <f t="shared" si="8"/>
        <v>1.7973412781310483E-2</v>
      </c>
    </row>
    <row r="697" spans="1:7">
      <c r="A697" s="52">
        <v>107.2274</v>
      </c>
      <c r="B697" s="52">
        <v>107.3368</v>
      </c>
      <c r="C697" s="52">
        <v>105.1075</v>
      </c>
      <c r="D697" s="52">
        <v>105.2966</v>
      </c>
      <c r="E697" s="52">
        <v>69883762</v>
      </c>
      <c r="F697" s="52" t="s">
        <v>1569</v>
      </c>
      <c r="G697" s="25">
        <f t="shared" si="8"/>
        <v>1.8336774406771061E-2</v>
      </c>
    </row>
    <row r="698" spans="1:7">
      <c r="A698" s="52">
        <v>99.952100000000002</v>
      </c>
      <c r="B698" s="52">
        <v>100.7085</v>
      </c>
      <c r="C698" s="52">
        <v>97.115700000000004</v>
      </c>
      <c r="D698" s="52">
        <v>98.240300000000005</v>
      </c>
      <c r="E698" s="52">
        <v>35531104</v>
      </c>
      <c r="F698" s="52" t="s">
        <v>1568</v>
      </c>
      <c r="G698" s="25">
        <f t="shared" si="8"/>
        <v>1.7424621056735257E-2</v>
      </c>
    </row>
    <row r="699" spans="1:7">
      <c r="A699" s="52">
        <v>98.369699999999995</v>
      </c>
      <c r="B699" s="52">
        <v>98.409499999999994</v>
      </c>
      <c r="C699" s="52">
        <v>96.359300000000005</v>
      </c>
      <c r="D699" s="52">
        <v>96.409099999999995</v>
      </c>
      <c r="E699" s="52">
        <v>29870669</v>
      </c>
      <c r="F699" s="52" t="s">
        <v>1567</v>
      </c>
      <c r="G699" s="25">
        <f t="shared" ref="G699:G762" si="9">A699/D699-1</f>
        <v>2.0336254565181067E-2</v>
      </c>
    </row>
    <row r="700" spans="1:7">
      <c r="A700" s="52">
        <v>96.478700000000003</v>
      </c>
      <c r="B700" s="52">
        <v>97.822299999999998</v>
      </c>
      <c r="C700" s="52">
        <v>95.936300000000003</v>
      </c>
      <c r="D700" s="52">
        <v>97.016199999999998</v>
      </c>
      <c r="E700" s="52">
        <v>27226198</v>
      </c>
      <c r="F700" s="52" t="s">
        <v>1566</v>
      </c>
      <c r="G700" s="25">
        <f t="shared" si="9"/>
        <v>-5.5403118242107752E-3</v>
      </c>
    </row>
    <row r="701" spans="1:7">
      <c r="A701" s="52">
        <v>98.897199999999998</v>
      </c>
      <c r="B701" s="52">
        <v>99.842699999999994</v>
      </c>
      <c r="C701" s="52">
        <v>96.846999999999994</v>
      </c>
      <c r="D701" s="52">
        <v>96.846999999999994</v>
      </c>
      <c r="E701" s="52">
        <v>33879753</v>
      </c>
      <c r="F701" s="52" t="s">
        <v>1565</v>
      </c>
      <c r="G701" s="25">
        <f t="shared" si="9"/>
        <v>2.1169473499437208E-2</v>
      </c>
    </row>
    <row r="702" spans="1:7">
      <c r="A702" s="52">
        <v>97.055999999999997</v>
      </c>
      <c r="B702" s="52">
        <v>97.105699999999999</v>
      </c>
      <c r="C702" s="52">
        <v>94.926199999999994</v>
      </c>
      <c r="D702" s="52">
        <v>96.040800000000004</v>
      </c>
      <c r="E702" s="52">
        <v>30113974</v>
      </c>
      <c r="F702" s="52" t="s">
        <v>1564</v>
      </c>
      <c r="G702" s="25">
        <f t="shared" si="9"/>
        <v>1.057050753429789E-2</v>
      </c>
    </row>
    <row r="703" spans="1:7">
      <c r="A703" s="52">
        <v>94.766900000000007</v>
      </c>
      <c r="B703" s="52">
        <v>95.704400000000007</v>
      </c>
      <c r="C703" s="52">
        <v>93.313900000000004</v>
      </c>
      <c r="D703" s="52">
        <v>95.115300000000005</v>
      </c>
      <c r="E703" s="52">
        <v>42329952</v>
      </c>
      <c r="F703" s="52" t="s">
        <v>1563</v>
      </c>
      <c r="G703" s="25">
        <f t="shared" si="9"/>
        <v>-3.662922789498646E-3</v>
      </c>
    </row>
    <row r="704" spans="1:7">
      <c r="A704" s="52">
        <v>97.235100000000003</v>
      </c>
      <c r="B704" s="52">
        <v>99.135999999999996</v>
      </c>
      <c r="C704" s="52">
        <v>96.737499999999997</v>
      </c>
      <c r="D704" s="52">
        <v>97.633200000000002</v>
      </c>
      <c r="E704" s="52">
        <v>33078512</v>
      </c>
      <c r="F704" s="52" t="s">
        <v>1562</v>
      </c>
      <c r="G704" s="25">
        <f t="shared" si="9"/>
        <v>-4.0775064219957802E-3</v>
      </c>
    </row>
    <row r="705" spans="1:7">
      <c r="A705" s="52">
        <v>99.315200000000004</v>
      </c>
      <c r="B705" s="52">
        <v>99.563999999999993</v>
      </c>
      <c r="C705" s="52">
        <v>97.036100000000005</v>
      </c>
      <c r="D705" s="52">
        <v>97.483900000000006</v>
      </c>
      <c r="E705" s="52">
        <v>40005055</v>
      </c>
      <c r="F705" s="52" t="s">
        <v>1561</v>
      </c>
      <c r="G705" s="25">
        <f t="shared" si="9"/>
        <v>1.878566614589694E-2</v>
      </c>
    </row>
    <row r="706" spans="1:7">
      <c r="A706" s="52">
        <v>97.553600000000003</v>
      </c>
      <c r="B706" s="52">
        <v>97.832300000000004</v>
      </c>
      <c r="C706" s="52">
        <v>94.567899999999995</v>
      </c>
      <c r="D706" s="52">
        <v>94.647499999999994</v>
      </c>
      <c r="E706" s="52">
        <v>63191078</v>
      </c>
      <c r="F706" s="52" t="s">
        <v>1560</v>
      </c>
      <c r="G706" s="25">
        <f t="shared" si="9"/>
        <v>3.0704456007818681E-2</v>
      </c>
    </row>
    <row r="707" spans="1:7">
      <c r="A707" s="52">
        <v>92.607200000000006</v>
      </c>
      <c r="B707" s="52">
        <v>93.159599999999998</v>
      </c>
      <c r="C707" s="52">
        <v>90.198800000000006</v>
      </c>
      <c r="D707" s="52">
        <v>90.288300000000007</v>
      </c>
      <c r="E707" s="52">
        <v>37000395</v>
      </c>
      <c r="F707" s="52" t="s">
        <v>1559</v>
      </c>
      <c r="G707" s="25">
        <f t="shared" si="9"/>
        <v>2.5683283437610394E-2</v>
      </c>
    </row>
    <row r="708" spans="1:7">
      <c r="A708" s="52">
        <v>90.686400000000006</v>
      </c>
      <c r="B708" s="52">
        <v>92.3583</v>
      </c>
      <c r="C708" s="52">
        <v>90.208699999999993</v>
      </c>
      <c r="D708" s="52">
        <v>91.701599999999999</v>
      </c>
      <c r="E708" s="52">
        <v>29116691</v>
      </c>
      <c r="F708" s="52" t="s">
        <v>1558</v>
      </c>
      <c r="G708" s="25">
        <f t="shared" si="9"/>
        <v>-1.1070690151534945E-2</v>
      </c>
    </row>
    <row r="709" spans="1:7">
      <c r="A709" s="52">
        <v>90.855599999999995</v>
      </c>
      <c r="B709" s="52">
        <v>91.811099999999996</v>
      </c>
      <c r="C709" s="52">
        <v>89.621499999999997</v>
      </c>
      <c r="D709" s="52">
        <v>91.622</v>
      </c>
      <c r="E709" s="52">
        <v>32602423</v>
      </c>
      <c r="F709" s="52" t="s">
        <v>1557</v>
      </c>
      <c r="G709" s="25">
        <f t="shared" si="9"/>
        <v>-8.3648032132020989E-3</v>
      </c>
    </row>
    <row r="710" spans="1:7">
      <c r="A710" s="52">
        <v>91.681700000000006</v>
      </c>
      <c r="B710" s="52">
        <v>91.751300000000001</v>
      </c>
      <c r="C710" s="52">
        <v>89.700999999999993</v>
      </c>
      <c r="D710" s="52">
        <v>90.417699999999996</v>
      </c>
      <c r="E710" s="52">
        <v>26329212</v>
      </c>
      <c r="F710" s="52" t="s">
        <v>1556</v>
      </c>
      <c r="G710" s="25">
        <f t="shared" si="9"/>
        <v>1.3979563735861511E-2</v>
      </c>
    </row>
    <row r="711" spans="1:7">
      <c r="A711" s="52">
        <v>90.696399999999997</v>
      </c>
      <c r="B711" s="52">
        <v>91.432900000000004</v>
      </c>
      <c r="C711" s="52">
        <v>89.322999999999993</v>
      </c>
      <c r="D711" s="52">
        <v>91.044700000000006</v>
      </c>
      <c r="E711" s="52">
        <v>30258135</v>
      </c>
      <c r="F711" s="52" t="s">
        <v>1555</v>
      </c>
      <c r="G711" s="25">
        <f t="shared" si="9"/>
        <v>-3.8255933623814187E-3</v>
      </c>
    </row>
    <row r="712" spans="1:7">
      <c r="A712" s="52">
        <v>91.084500000000006</v>
      </c>
      <c r="B712" s="52">
        <v>91.164100000000005</v>
      </c>
      <c r="C712" s="52">
        <v>88.586500000000001</v>
      </c>
      <c r="D712" s="52">
        <v>88.755700000000004</v>
      </c>
      <c r="E712" s="52">
        <v>26861969</v>
      </c>
      <c r="F712" s="52" t="s">
        <v>1554</v>
      </c>
      <c r="G712" s="25">
        <f t="shared" si="9"/>
        <v>2.623831483499095E-2</v>
      </c>
    </row>
    <row r="713" spans="1:7">
      <c r="A713" s="52">
        <v>87.999300000000005</v>
      </c>
      <c r="B713" s="52">
        <v>88.248099999999994</v>
      </c>
      <c r="C713" s="52">
        <v>85.421599999999998</v>
      </c>
      <c r="D713" s="52">
        <v>85.570899999999995</v>
      </c>
      <c r="E713" s="52">
        <v>30467755</v>
      </c>
      <c r="F713" s="52" t="s">
        <v>1553</v>
      </c>
      <c r="G713" s="25">
        <f t="shared" si="9"/>
        <v>2.8378806346550212E-2</v>
      </c>
    </row>
    <row r="714" spans="1:7">
      <c r="A714" s="52">
        <v>87.601200000000006</v>
      </c>
      <c r="B714" s="52">
        <v>89.621499999999997</v>
      </c>
      <c r="C714" s="52">
        <v>87.441900000000004</v>
      </c>
      <c r="D714" s="52">
        <v>87.939599999999999</v>
      </c>
      <c r="E714" s="52">
        <v>29003901</v>
      </c>
      <c r="F714" s="52" t="s">
        <v>1552</v>
      </c>
      <c r="G714" s="25">
        <f t="shared" si="9"/>
        <v>-3.8480957384385839E-3</v>
      </c>
    </row>
    <row r="715" spans="1:7">
      <c r="A715" s="52">
        <v>86.924400000000006</v>
      </c>
      <c r="B715" s="52">
        <v>87.272800000000004</v>
      </c>
      <c r="C715" s="52">
        <v>84.456199999999995</v>
      </c>
      <c r="D715" s="52">
        <v>86.376999999999995</v>
      </c>
      <c r="E715" s="52">
        <v>41381495</v>
      </c>
      <c r="F715" s="52" t="s">
        <v>1551</v>
      </c>
      <c r="G715" s="25">
        <f t="shared" si="9"/>
        <v>6.3373351702422642E-3</v>
      </c>
    </row>
    <row r="716" spans="1:7">
      <c r="A716" s="52">
        <v>85.7898</v>
      </c>
      <c r="B716" s="52">
        <v>87.153300000000002</v>
      </c>
      <c r="C716" s="52">
        <v>85.491299999999995</v>
      </c>
      <c r="D716" s="52">
        <v>87.053799999999995</v>
      </c>
      <c r="E716" s="52">
        <v>27194375</v>
      </c>
      <c r="F716" s="52" t="s">
        <v>1550</v>
      </c>
      <c r="G716" s="25">
        <f t="shared" si="9"/>
        <v>-1.4519756748125778E-2</v>
      </c>
    </row>
    <row r="717" spans="1:7">
      <c r="A717" s="52">
        <v>87.660899999999998</v>
      </c>
      <c r="B717" s="52">
        <v>90.218699999999998</v>
      </c>
      <c r="C717" s="52">
        <v>86.855699999999999</v>
      </c>
      <c r="D717" s="52">
        <v>89.920100000000005</v>
      </c>
      <c r="E717" s="52">
        <v>34854776</v>
      </c>
      <c r="F717" s="52" t="s">
        <v>1549</v>
      </c>
      <c r="G717" s="25">
        <f t="shared" si="9"/>
        <v>-2.5124527219164694E-2</v>
      </c>
    </row>
    <row r="718" spans="1:7">
      <c r="A718" s="52">
        <v>88.695899999999995</v>
      </c>
      <c r="B718" s="52">
        <v>90.616799999999998</v>
      </c>
      <c r="C718" s="52">
        <v>88.098799999999997</v>
      </c>
      <c r="D718" s="52">
        <v>89.158699999999996</v>
      </c>
      <c r="E718" s="52">
        <v>28131224</v>
      </c>
      <c r="F718" s="52" t="s">
        <v>1548</v>
      </c>
      <c r="G718" s="25">
        <f t="shared" si="9"/>
        <v>-5.1907441449908776E-3</v>
      </c>
    </row>
    <row r="719" spans="1:7">
      <c r="A719" s="52">
        <v>87.810199999999995</v>
      </c>
      <c r="B719" s="52">
        <v>87.879900000000006</v>
      </c>
      <c r="C719" s="52">
        <v>86.158100000000005</v>
      </c>
      <c r="D719" s="52">
        <v>86.566100000000006</v>
      </c>
      <c r="E719" s="52">
        <v>23986297</v>
      </c>
      <c r="F719" s="52" t="s">
        <v>1547</v>
      </c>
      <c r="G719" s="25">
        <f t="shared" si="9"/>
        <v>1.4371676672507938E-2</v>
      </c>
    </row>
    <row r="720" spans="1:7">
      <c r="A720" s="52">
        <v>88.0291</v>
      </c>
      <c r="B720" s="52">
        <v>88.422300000000007</v>
      </c>
      <c r="C720" s="52">
        <v>86.197900000000004</v>
      </c>
      <c r="D720" s="52">
        <v>86.207800000000006</v>
      </c>
      <c r="E720" s="52">
        <v>23333537</v>
      </c>
      <c r="F720" s="52" t="s">
        <v>1546</v>
      </c>
      <c r="G720" s="25">
        <f t="shared" si="9"/>
        <v>2.1126858590521991E-2</v>
      </c>
    </row>
    <row r="721" spans="1:7">
      <c r="A721" s="52">
        <v>85.610699999999994</v>
      </c>
      <c r="B721" s="52">
        <v>87.621099999999998</v>
      </c>
      <c r="C721" s="52">
        <v>85.531099999999995</v>
      </c>
      <c r="D721" s="52">
        <v>86.566100000000006</v>
      </c>
      <c r="E721" s="52">
        <v>19523176</v>
      </c>
      <c r="F721" s="52" t="s">
        <v>1545</v>
      </c>
      <c r="G721" s="25">
        <f t="shared" si="9"/>
        <v>-1.1036652916095457E-2</v>
      </c>
    </row>
    <row r="722" spans="1:7">
      <c r="A722" s="52">
        <v>86.974199999999996</v>
      </c>
      <c r="B722" s="52">
        <v>88.516800000000003</v>
      </c>
      <c r="C722" s="52">
        <v>86.596000000000004</v>
      </c>
      <c r="D722" s="52">
        <v>88.372500000000002</v>
      </c>
      <c r="E722" s="52">
        <v>20097346</v>
      </c>
      <c r="F722" s="52" t="s">
        <v>1544</v>
      </c>
      <c r="G722" s="25">
        <f t="shared" si="9"/>
        <v>-1.5822795552915325E-2</v>
      </c>
    </row>
    <row r="723" spans="1:7">
      <c r="A723" s="52">
        <v>88.805400000000006</v>
      </c>
      <c r="B723" s="52">
        <v>89.118899999999996</v>
      </c>
      <c r="C723" s="52">
        <v>86.655699999999996</v>
      </c>
      <c r="D723" s="52">
        <v>86.695499999999996</v>
      </c>
      <c r="E723" s="52">
        <v>23003035</v>
      </c>
      <c r="F723" s="52" t="s">
        <v>1543</v>
      </c>
      <c r="G723" s="25">
        <f t="shared" si="9"/>
        <v>2.4336903299479351E-2</v>
      </c>
    </row>
    <row r="724" spans="1:7">
      <c r="A724" s="52">
        <v>87.342399999999998</v>
      </c>
      <c r="B724" s="52">
        <v>88.118700000000004</v>
      </c>
      <c r="C724" s="52">
        <v>85.909300000000002</v>
      </c>
      <c r="D724" s="52">
        <v>87.740499999999997</v>
      </c>
      <c r="E724" s="52">
        <v>27658293</v>
      </c>
      <c r="F724" s="52" t="s">
        <v>1542</v>
      </c>
      <c r="G724" s="25">
        <f t="shared" si="9"/>
        <v>-4.5372433482827601E-3</v>
      </c>
    </row>
    <row r="725" spans="1:7">
      <c r="A725" s="52">
        <v>89.153800000000004</v>
      </c>
      <c r="B725" s="52">
        <v>89.790700000000001</v>
      </c>
      <c r="C725" s="52">
        <v>87.899799999999999</v>
      </c>
      <c r="D725" s="52">
        <v>88.656099999999995</v>
      </c>
      <c r="E725" s="52">
        <v>24745637</v>
      </c>
      <c r="F725" s="52" t="s">
        <v>1541</v>
      </c>
      <c r="G725" s="25">
        <f t="shared" si="9"/>
        <v>5.6138269109515804E-3</v>
      </c>
    </row>
    <row r="726" spans="1:7">
      <c r="A726" s="52">
        <v>88.596400000000003</v>
      </c>
      <c r="B726" s="52">
        <v>88.750699999999995</v>
      </c>
      <c r="C726" s="52">
        <v>87.024000000000001</v>
      </c>
      <c r="D726" s="52">
        <v>87.690799999999996</v>
      </c>
      <c r="E726" s="52">
        <v>23453836</v>
      </c>
      <c r="F726" s="52" t="s">
        <v>1540</v>
      </c>
      <c r="G726" s="25">
        <f t="shared" si="9"/>
        <v>1.0327195099143927E-2</v>
      </c>
    </row>
    <row r="727" spans="1:7">
      <c r="A727" s="52">
        <v>88.019199999999998</v>
      </c>
      <c r="B727" s="52">
        <v>90.129099999999994</v>
      </c>
      <c r="C727" s="52">
        <v>87.790300000000002</v>
      </c>
      <c r="D727" s="52">
        <v>89.825500000000005</v>
      </c>
      <c r="E727" s="52">
        <v>29493030</v>
      </c>
      <c r="F727" s="52" t="s">
        <v>1539</v>
      </c>
      <c r="G727" s="25">
        <f t="shared" si="9"/>
        <v>-2.0108989095524166E-2</v>
      </c>
    </row>
    <row r="728" spans="1:7">
      <c r="A728" s="52">
        <v>89.830500000000001</v>
      </c>
      <c r="B728" s="52">
        <v>90.895399999999995</v>
      </c>
      <c r="C728" s="52">
        <v>89.093999999999994</v>
      </c>
      <c r="D728" s="52">
        <v>90.328100000000006</v>
      </c>
      <c r="E728" s="52">
        <v>58011847</v>
      </c>
      <c r="F728" s="52" t="s">
        <v>1538</v>
      </c>
      <c r="G728" s="25">
        <f t="shared" si="9"/>
        <v>-5.5088062297337093E-3</v>
      </c>
    </row>
    <row r="729" spans="1:7">
      <c r="A729" s="52">
        <v>90.427700000000002</v>
      </c>
      <c r="B729" s="52">
        <v>93.194400000000002</v>
      </c>
      <c r="C729" s="52">
        <v>89.581699999999998</v>
      </c>
      <c r="D729" s="52">
        <v>92.686899999999994</v>
      </c>
      <c r="E729" s="52">
        <v>40107033</v>
      </c>
      <c r="F729" s="52" t="s">
        <v>1537</v>
      </c>
      <c r="G729" s="25">
        <f t="shared" si="9"/>
        <v>-2.4374534049579788E-2</v>
      </c>
    </row>
    <row r="730" spans="1:7">
      <c r="A730" s="52">
        <v>94.617599999999996</v>
      </c>
      <c r="B730" s="52">
        <v>96.409099999999995</v>
      </c>
      <c r="C730" s="52">
        <v>93.154600000000002</v>
      </c>
      <c r="D730" s="52">
        <v>94.747</v>
      </c>
      <c r="E730" s="52">
        <v>28733599</v>
      </c>
      <c r="F730" s="52" t="s">
        <v>1536</v>
      </c>
      <c r="G730" s="25">
        <f t="shared" si="9"/>
        <v>-1.3657424509483373E-3</v>
      </c>
    </row>
    <row r="731" spans="1:7">
      <c r="A731" s="52">
        <v>95.174999999999997</v>
      </c>
      <c r="B731" s="52">
        <v>99.056399999999996</v>
      </c>
      <c r="C731" s="52">
        <v>94.577799999999996</v>
      </c>
      <c r="D731" s="52">
        <v>97.294799999999995</v>
      </c>
      <c r="E731" s="52">
        <v>40593656</v>
      </c>
      <c r="F731" s="52" t="s">
        <v>1535</v>
      </c>
      <c r="G731" s="25">
        <f t="shared" si="9"/>
        <v>-2.1787392543075268E-2</v>
      </c>
    </row>
    <row r="732" spans="1:7">
      <c r="A732" s="52">
        <v>92.866</v>
      </c>
      <c r="B732" s="52">
        <v>93.114800000000002</v>
      </c>
      <c r="C732" s="52">
        <v>91.174099999999996</v>
      </c>
      <c r="D732" s="52">
        <v>92.268900000000002</v>
      </c>
      <c r="E732" s="52">
        <v>29009013</v>
      </c>
      <c r="F732" s="52" t="s">
        <v>1534</v>
      </c>
      <c r="G732" s="25">
        <f t="shared" si="9"/>
        <v>6.4713028983762744E-3</v>
      </c>
    </row>
    <row r="733" spans="1:7">
      <c r="A733" s="52">
        <v>92.388300000000001</v>
      </c>
      <c r="B733" s="52">
        <v>93.811499999999995</v>
      </c>
      <c r="C733" s="52">
        <v>92.308700000000002</v>
      </c>
      <c r="D733" s="52">
        <v>93.323800000000006</v>
      </c>
      <c r="E733" s="52">
        <v>28225448</v>
      </c>
      <c r="F733" s="52" t="s">
        <v>1533</v>
      </c>
      <c r="G733" s="25">
        <f t="shared" si="9"/>
        <v>-1.0024238190043722E-2</v>
      </c>
    </row>
    <row r="734" spans="1:7">
      <c r="A734" s="52">
        <v>93.264099999999999</v>
      </c>
      <c r="B734" s="52">
        <v>95.125200000000007</v>
      </c>
      <c r="C734" s="52">
        <v>93.005300000000005</v>
      </c>
      <c r="D734" s="52">
        <v>94.926199999999994</v>
      </c>
      <c r="E734" s="52">
        <v>32213288</v>
      </c>
      <c r="F734" s="52" t="s">
        <v>1532</v>
      </c>
      <c r="G734" s="25">
        <f t="shared" si="9"/>
        <v>-1.7509391506243754E-2</v>
      </c>
    </row>
    <row r="735" spans="1:7">
      <c r="A735" s="52">
        <v>94.488299999999995</v>
      </c>
      <c r="B735" s="52">
        <v>96.420100000000005</v>
      </c>
      <c r="C735" s="52">
        <v>94.264300000000006</v>
      </c>
      <c r="D735" s="52">
        <v>95.951300000000003</v>
      </c>
      <c r="E735" s="52">
        <v>31045449</v>
      </c>
      <c r="F735" s="52" t="s">
        <v>1531</v>
      </c>
      <c r="G735" s="25">
        <f t="shared" si="9"/>
        <v>-1.5247318170780511E-2</v>
      </c>
    </row>
    <row r="736" spans="1:7">
      <c r="A736" s="52">
        <v>96.518500000000003</v>
      </c>
      <c r="B736" s="52">
        <v>99.305199999999999</v>
      </c>
      <c r="C736" s="52">
        <v>95.961200000000005</v>
      </c>
      <c r="D736" s="52">
        <v>98.827500000000001</v>
      </c>
      <c r="E736" s="52">
        <v>24910655</v>
      </c>
      <c r="F736" s="52" t="s">
        <v>1530</v>
      </c>
      <c r="G736" s="25">
        <f t="shared" si="9"/>
        <v>-2.3363942222559442E-2</v>
      </c>
    </row>
    <row r="737" spans="1:7">
      <c r="A737" s="52">
        <v>99.006699999999995</v>
      </c>
      <c r="B737" s="52">
        <v>100.8976</v>
      </c>
      <c r="C737" s="52">
        <v>98.528899999999993</v>
      </c>
      <c r="D737" s="52">
        <v>98.927000000000007</v>
      </c>
      <c r="E737" s="52">
        <v>24405087</v>
      </c>
      <c r="F737" s="52" t="s">
        <v>1529</v>
      </c>
      <c r="G737" s="25">
        <f t="shared" si="9"/>
        <v>8.056445661952516E-4</v>
      </c>
    </row>
    <row r="738" spans="1:7">
      <c r="A738" s="52">
        <v>99.962100000000007</v>
      </c>
      <c r="B738" s="52">
        <v>100.29049999999999</v>
      </c>
      <c r="C738" s="52">
        <v>98.429400000000001</v>
      </c>
      <c r="D738" s="52">
        <v>98.578699999999998</v>
      </c>
      <c r="E738" s="52">
        <v>21480703</v>
      </c>
      <c r="F738" s="52" t="s">
        <v>1528</v>
      </c>
      <c r="G738" s="25">
        <f t="shared" si="9"/>
        <v>1.4033457531900995E-2</v>
      </c>
    </row>
    <row r="739" spans="1:7">
      <c r="A739" s="52">
        <v>100.5095</v>
      </c>
      <c r="B739" s="52">
        <v>101.76349999999999</v>
      </c>
      <c r="C739" s="52">
        <v>99.772999999999996</v>
      </c>
      <c r="D739" s="52">
        <v>100.5393</v>
      </c>
      <c r="E739" s="52">
        <v>28687096</v>
      </c>
      <c r="F739" s="52" t="s">
        <v>1527</v>
      </c>
      <c r="G739" s="25">
        <f t="shared" si="9"/>
        <v>-2.9640150667442633E-4</v>
      </c>
    </row>
    <row r="740" spans="1:7">
      <c r="A740" s="52">
        <v>100.5095</v>
      </c>
      <c r="B740" s="52">
        <v>100.5592</v>
      </c>
      <c r="C740" s="52">
        <v>93.970699999999994</v>
      </c>
      <c r="D740" s="52">
        <v>94.368799999999993</v>
      </c>
      <c r="E740" s="52">
        <v>43647481</v>
      </c>
      <c r="F740" s="52" t="s">
        <v>1526</v>
      </c>
      <c r="G740" s="25">
        <f t="shared" si="9"/>
        <v>6.5071294749959874E-2</v>
      </c>
    </row>
    <row r="741" spans="1:7">
      <c r="A741" s="52">
        <v>94.737099999999998</v>
      </c>
      <c r="B741" s="52">
        <v>95.662599999999998</v>
      </c>
      <c r="C741" s="52">
        <v>93.662199999999999</v>
      </c>
      <c r="D741" s="52">
        <v>95.274500000000003</v>
      </c>
      <c r="E741" s="52">
        <v>20061720</v>
      </c>
      <c r="F741" s="52" t="s">
        <v>1525</v>
      </c>
      <c r="G741" s="25">
        <f t="shared" si="9"/>
        <v>-5.6405439020934534E-3</v>
      </c>
    </row>
    <row r="742" spans="1:7">
      <c r="A742" s="52">
        <v>95.593000000000004</v>
      </c>
      <c r="B742" s="52">
        <v>97.115700000000004</v>
      </c>
      <c r="C742" s="52">
        <v>95.155100000000004</v>
      </c>
      <c r="D742" s="52">
        <v>96.574600000000004</v>
      </c>
      <c r="E742" s="52">
        <v>26252433</v>
      </c>
      <c r="F742" s="52" t="s">
        <v>1524</v>
      </c>
      <c r="G742" s="25">
        <f t="shared" si="9"/>
        <v>-1.0164163247893376E-2</v>
      </c>
    </row>
    <row r="743" spans="1:7">
      <c r="A743" s="52">
        <v>96.996300000000005</v>
      </c>
      <c r="B743" s="52">
        <v>98.170699999999997</v>
      </c>
      <c r="C743" s="52">
        <v>96.936599999999999</v>
      </c>
      <c r="D743" s="52">
        <v>97.772599999999997</v>
      </c>
      <c r="E743" s="52">
        <v>9701441</v>
      </c>
      <c r="F743" s="52" t="s">
        <v>1523</v>
      </c>
      <c r="G743" s="25">
        <f t="shared" si="9"/>
        <v>-7.9398522694495988E-3</v>
      </c>
    </row>
    <row r="744" spans="1:7">
      <c r="A744" s="52">
        <v>97.991500000000002</v>
      </c>
      <c r="B744" s="52">
        <v>98.290099999999995</v>
      </c>
      <c r="C744" s="52">
        <v>96.628</v>
      </c>
      <c r="D744" s="52">
        <v>96.628</v>
      </c>
      <c r="E744" s="52">
        <v>18868092</v>
      </c>
      <c r="F744" s="52" t="s">
        <v>1522</v>
      </c>
      <c r="G744" s="25">
        <f t="shared" si="9"/>
        <v>1.4110816740489307E-2</v>
      </c>
    </row>
    <row r="745" spans="1:7">
      <c r="A745" s="52">
        <v>96.588200000000001</v>
      </c>
      <c r="B745" s="52">
        <v>96.757400000000004</v>
      </c>
      <c r="C745" s="52">
        <v>93.602500000000006</v>
      </c>
      <c r="D745" s="52">
        <v>95.493499999999997</v>
      </c>
      <c r="E745" s="52">
        <v>23438480</v>
      </c>
      <c r="F745" s="52" t="s">
        <v>1521</v>
      </c>
      <c r="G745" s="25">
        <f t="shared" si="9"/>
        <v>1.1463607470665549E-2</v>
      </c>
    </row>
    <row r="746" spans="1:7">
      <c r="A746" s="52">
        <v>95.145099999999999</v>
      </c>
      <c r="B746" s="52">
        <v>97.931799999999996</v>
      </c>
      <c r="C746" s="52">
        <v>94.901300000000006</v>
      </c>
      <c r="D746" s="52">
        <v>96.827100000000002</v>
      </c>
      <c r="E746" s="52">
        <v>21647387</v>
      </c>
      <c r="F746" s="52" t="s">
        <v>1520</v>
      </c>
      <c r="G746" s="25">
        <f t="shared" si="9"/>
        <v>-1.7371169848110712E-2</v>
      </c>
    </row>
    <row r="747" spans="1:7">
      <c r="A747" s="52">
        <v>96.966399999999993</v>
      </c>
      <c r="B747" s="52">
        <v>98.429400000000001</v>
      </c>
      <c r="C747" s="52">
        <v>95.911500000000004</v>
      </c>
      <c r="D747" s="52">
        <v>98.3</v>
      </c>
      <c r="E747" s="52">
        <v>28342297</v>
      </c>
      <c r="F747" s="52" t="s">
        <v>1519</v>
      </c>
      <c r="G747" s="25">
        <f t="shared" si="9"/>
        <v>-1.3566632756866759E-2</v>
      </c>
    </row>
    <row r="748" spans="1:7">
      <c r="A748" s="52">
        <v>97.891999999999996</v>
      </c>
      <c r="B748" s="52">
        <v>98.807599999999994</v>
      </c>
      <c r="C748" s="52">
        <v>96.329499999999996</v>
      </c>
      <c r="D748" s="52">
        <v>96.508600000000001</v>
      </c>
      <c r="E748" s="52">
        <v>26052599</v>
      </c>
      <c r="F748" s="52" t="s">
        <v>1518</v>
      </c>
      <c r="G748" s="25">
        <f t="shared" si="9"/>
        <v>1.4334473818913507E-2</v>
      </c>
    </row>
    <row r="749" spans="1:7">
      <c r="A749" s="52">
        <v>98.3797</v>
      </c>
      <c r="B749" s="52">
        <v>99.163399999999996</v>
      </c>
      <c r="C749" s="52">
        <v>97.175399999999996</v>
      </c>
      <c r="D749" s="52">
        <v>97.434200000000004</v>
      </c>
      <c r="E749" s="52">
        <v>29105154</v>
      </c>
      <c r="F749" s="52" t="s">
        <v>1517</v>
      </c>
      <c r="G749" s="25">
        <f t="shared" si="9"/>
        <v>9.7039848431044184E-3</v>
      </c>
    </row>
    <row r="750" spans="1:7">
      <c r="A750" s="52">
        <v>97.971599999999995</v>
      </c>
      <c r="B750" s="52">
        <v>99.663499999999999</v>
      </c>
      <c r="C750" s="52">
        <v>96.249799999999993</v>
      </c>
      <c r="D750" s="52">
        <v>97.792500000000004</v>
      </c>
      <c r="E750" s="52">
        <v>41640816</v>
      </c>
      <c r="F750" s="52" t="s">
        <v>1516</v>
      </c>
      <c r="G750" s="25">
        <f t="shared" si="9"/>
        <v>1.8314287905514259E-3</v>
      </c>
    </row>
    <row r="751" spans="1:7">
      <c r="A751" s="52">
        <v>95.244600000000005</v>
      </c>
      <c r="B751" s="52">
        <v>96.329499999999996</v>
      </c>
      <c r="C751" s="52">
        <v>94.060299999999998</v>
      </c>
      <c r="D751" s="52">
        <v>94.637500000000003</v>
      </c>
      <c r="E751" s="52">
        <v>30179539</v>
      </c>
      <c r="F751" s="52" t="s">
        <v>1515</v>
      </c>
      <c r="G751" s="25">
        <f t="shared" si="9"/>
        <v>6.4150046229032309E-3</v>
      </c>
    </row>
    <row r="752" spans="1:7">
      <c r="A752" s="52">
        <v>95.951300000000003</v>
      </c>
      <c r="B752" s="52">
        <v>96.468800000000002</v>
      </c>
      <c r="C752" s="52">
        <v>93.473100000000002</v>
      </c>
      <c r="D752" s="52">
        <v>94.239400000000003</v>
      </c>
      <c r="E752" s="52">
        <v>33090482</v>
      </c>
      <c r="F752" s="52" t="s">
        <v>1514</v>
      </c>
      <c r="G752" s="25">
        <f t="shared" si="9"/>
        <v>1.8165438234963194E-2</v>
      </c>
    </row>
    <row r="753" spans="1:7">
      <c r="A753" s="52">
        <v>93.492999999999995</v>
      </c>
      <c r="B753" s="52">
        <v>93.940899999999999</v>
      </c>
      <c r="C753" s="52">
        <v>91.174099999999996</v>
      </c>
      <c r="D753" s="52">
        <v>91.811099999999996</v>
      </c>
      <c r="E753" s="52">
        <v>51620136</v>
      </c>
      <c r="F753" s="52" t="s">
        <v>1513</v>
      </c>
      <c r="G753" s="25">
        <f t="shared" si="9"/>
        <v>1.831913570363497E-2</v>
      </c>
    </row>
    <row r="754" spans="1:7">
      <c r="A754" s="52">
        <v>86.904499999999999</v>
      </c>
      <c r="B754" s="52">
        <v>89.009500000000003</v>
      </c>
      <c r="C754" s="52">
        <v>86.864699999999999</v>
      </c>
      <c r="D754" s="52">
        <v>88.0291</v>
      </c>
      <c r="E754" s="52">
        <v>31769099</v>
      </c>
      <c r="F754" s="52" t="s">
        <v>1512</v>
      </c>
      <c r="G754" s="25">
        <f t="shared" si="9"/>
        <v>-1.2775320888206321E-2</v>
      </c>
    </row>
    <row r="755" spans="1:7">
      <c r="A755" s="52">
        <v>88.477000000000004</v>
      </c>
      <c r="B755" s="52">
        <v>89.890199999999993</v>
      </c>
      <c r="C755" s="52">
        <v>87.173299999999998</v>
      </c>
      <c r="D755" s="52">
        <v>88.477000000000004</v>
      </c>
      <c r="E755" s="52">
        <v>30429025</v>
      </c>
      <c r="F755" s="52" t="s">
        <v>1511</v>
      </c>
      <c r="G755" s="25">
        <f t="shared" si="9"/>
        <v>0</v>
      </c>
    </row>
    <row r="756" spans="1:7">
      <c r="A756" s="52">
        <v>88.068899999999999</v>
      </c>
      <c r="B756" s="52">
        <v>88.477000000000004</v>
      </c>
      <c r="C756" s="52">
        <v>86.436800000000005</v>
      </c>
      <c r="D756" s="52">
        <v>86.864699999999999</v>
      </c>
      <c r="E756" s="52">
        <v>34078912</v>
      </c>
      <c r="F756" s="52" t="s">
        <v>1510</v>
      </c>
      <c r="G756" s="25">
        <f t="shared" si="9"/>
        <v>1.3862938569982886E-2</v>
      </c>
    </row>
    <row r="757" spans="1:7">
      <c r="A757" s="52">
        <v>86.168000000000006</v>
      </c>
      <c r="B757" s="52">
        <v>86.227699999999999</v>
      </c>
      <c r="C757" s="52">
        <v>83.311700000000002</v>
      </c>
      <c r="D757" s="52">
        <v>84.993600000000001</v>
      </c>
      <c r="E757" s="52">
        <v>51124904</v>
      </c>
      <c r="F757" s="52" t="s">
        <v>1509</v>
      </c>
      <c r="G757" s="25">
        <f t="shared" si="9"/>
        <v>1.3817510965531632E-2</v>
      </c>
    </row>
    <row r="758" spans="1:7">
      <c r="A758" s="52">
        <v>83.033000000000001</v>
      </c>
      <c r="B758" s="52">
        <v>86.1083</v>
      </c>
      <c r="C758" s="52">
        <v>82.9435</v>
      </c>
      <c r="D758" s="52">
        <v>85.909300000000002</v>
      </c>
      <c r="E758" s="52">
        <v>61288019</v>
      </c>
      <c r="F758" s="52" t="s">
        <v>1508</v>
      </c>
      <c r="G758" s="25">
        <f t="shared" si="9"/>
        <v>-3.3480659253421918E-2</v>
      </c>
    </row>
    <row r="759" spans="1:7">
      <c r="A759" s="52">
        <v>86.556200000000004</v>
      </c>
      <c r="B759" s="52">
        <v>90.746099999999998</v>
      </c>
      <c r="C759" s="52">
        <v>86.4666</v>
      </c>
      <c r="D759" s="52">
        <v>90.507300000000001</v>
      </c>
      <c r="E759" s="52">
        <v>57038282</v>
      </c>
      <c r="F759" s="52" t="s">
        <v>1507</v>
      </c>
      <c r="G759" s="25">
        <f t="shared" si="9"/>
        <v>-4.3655042189966964E-2</v>
      </c>
    </row>
    <row r="760" spans="1:7">
      <c r="A760" s="52">
        <v>90.039500000000004</v>
      </c>
      <c r="B760" s="52">
        <v>95.573099999999997</v>
      </c>
      <c r="C760" s="52">
        <v>89.94</v>
      </c>
      <c r="D760" s="52">
        <v>94.995800000000003</v>
      </c>
      <c r="E760" s="52">
        <v>47161351</v>
      </c>
      <c r="F760" s="52" t="s">
        <v>1506</v>
      </c>
      <c r="G760" s="25">
        <f t="shared" si="9"/>
        <v>-5.2173885582309953E-2</v>
      </c>
    </row>
    <row r="761" spans="1:7">
      <c r="A761" s="52">
        <v>94.060299999999998</v>
      </c>
      <c r="B761" s="52">
        <v>95.573099999999997</v>
      </c>
      <c r="C761" s="52">
        <v>93.532799999999995</v>
      </c>
      <c r="D761" s="52">
        <v>94.965999999999994</v>
      </c>
      <c r="E761" s="52">
        <v>31675036</v>
      </c>
      <c r="F761" s="52" t="s">
        <v>1505</v>
      </c>
      <c r="G761" s="25">
        <f t="shared" si="9"/>
        <v>-9.5370974875218506E-3</v>
      </c>
    </row>
    <row r="762" spans="1:7">
      <c r="A762" s="52">
        <v>95.831800000000001</v>
      </c>
      <c r="B762" s="52">
        <v>96.090599999999995</v>
      </c>
      <c r="C762" s="52">
        <v>91.691599999999994</v>
      </c>
      <c r="D762" s="52">
        <v>91.831000000000003</v>
      </c>
      <c r="E762" s="52">
        <v>43697286</v>
      </c>
      <c r="F762" s="52" t="s">
        <v>1504</v>
      </c>
      <c r="G762" s="25">
        <f t="shared" si="9"/>
        <v>4.3566987182977357E-2</v>
      </c>
    </row>
    <row r="763" spans="1:7">
      <c r="A763" s="52">
        <v>91.781199999999998</v>
      </c>
      <c r="B763" s="52">
        <v>94.975899999999996</v>
      </c>
      <c r="C763" s="52">
        <v>91.363200000000006</v>
      </c>
      <c r="D763" s="52">
        <v>94.070300000000003</v>
      </c>
      <c r="E763" s="52">
        <v>60710859</v>
      </c>
      <c r="F763" s="52" t="s">
        <v>1503</v>
      </c>
      <c r="G763" s="25">
        <f t="shared" ref="G763:G826" si="10">A763/D763-1</f>
        <v>-2.4333928987151143E-2</v>
      </c>
    </row>
    <row r="764" spans="1:7">
      <c r="A764" s="52">
        <v>94.478300000000004</v>
      </c>
      <c r="B764" s="52">
        <v>97.842200000000005</v>
      </c>
      <c r="C764" s="52">
        <v>94.239400000000003</v>
      </c>
      <c r="D764" s="52">
        <v>95.971199999999996</v>
      </c>
      <c r="E764" s="52">
        <v>88279042</v>
      </c>
      <c r="F764" s="52" t="s">
        <v>1502</v>
      </c>
      <c r="G764" s="25">
        <f t="shared" si="10"/>
        <v>-1.55557083791803E-2</v>
      </c>
    </row>
    <row r="765" spans="1:7">
      <c r="A765" s="52">
        <v>103.9829</v>
      </c>
      <c r="B765" s="52">
        <v>104.3212</v>
      </c>
      <c r="C765" s="52">
        <v>102.2312</v>
      </c>
      <c r="D765" s="52">
        <v>102.4104</v>
      </c>
      <c r="E765" s="52">
        <v>40611375</v>
      </c>
      <c r="F765" s="52" t="s">
        <v>1501</v>
      </c>
      <c r="G765" s="25">
        <f t="shared" si="10"/>
        <v>1.5354885831907694E-2</v>
      </c>
    </row>
    <row r="766" spans="1:7">
      <c r="A766" s="52">
        <v>102.0322</v>
      </c>
      <c r="B766" s="52">
        <v>102.2611</v>
      </c>
      <c r="C766" s="52">
        <v>99.504300000000001</v>
      </c>
      <c r="D766" s="52">
        <v>101.3156</v>
      </c>
      <c r="E766" s="52">
        <v>27176417</v>
      </c>
      <c r="F766" s="52" t="s">
        <v>1500</v>
      </c>
      <c r="G766" s="25">
        <f t="shared" si="10"/>
        <v>7.0729482922669007E-3</v>
      </c>
    </row>
    <row r="767" spans="1:7">
      <c r="A767" s="52">
        <v>100.64879999999999</v>
      </c>
      <c r="B767" s="52">
        <v>100.8279</v>
      </c>
      <c r="C767" s="52">
        <v>97.254999999999995</v>
      </c>
      <c r="D767" s="52">
        <v>97.379400000000004</v>
      </c>
      <c r="E767" s="52">
        <v>32458722</v>
      </c>
      <c r="F767" s="52" t="s">
        <v>1499</v>
      </c>
      <c r="G767" s="25">
        <f t="shared" si="10"/>
        <v>3.3573835944768593E-2</v>
      </c>
    </row>
    <row r="768" spans="1:7">
      <c r="A768" s="52">
        <v>99.494299999999996</v>
      </c>
      <c r="B768" s="52">
        <v>101.8331</v>
      </c>
      <c r="C768" s="52">
        <v>98.917100000000005</v>
      </c>
      <c r="D768" s="52">
        <v>99.524199999999993</v>
      </c>
      <c r="E768" s="52">
        <v>25323202</v>
      </c>
      <c r="F768" s="52" t="s">
        <v>1498</v>
      </c>
      <c r="G768" s="25">
        <f t="shared" si="10"/>
        <v>-3.0042944329111698E-4</v>
      </c>
    </row>
    <row r="769" spans="1:7">
      <c r="A769" s="52">
        <v>99.155900000000003</v>
      </c>
      <c r="B769" s="52">
        <v>100.5376</v>
      </c>
      <c r="C769" s="52">
        <v>98.449399999999997</v>
      </c>
      <c r="D769" s="52">
        <v>99.534099999999995</v>
      </c>
      <c r="E769" s="52">
        <v>23811064</v>
      </c>
      <c r="F769" s="52" t="s">
        <v>1497</v>
      </c>
      <c r="G769" s="25">
        <f t="shared" si="10"/>
        <v>-3.7997028154169721E-3</v>
      </c>
    </row>
    <row r="770" spans="1:7">
      <c r="A770" s="52">
        <v>100.29049999999999</v>
      </c>
      <c r="B770" s="52">
        <v>102.9777</v>
      </c>
      <c r="C770" s="52">
        <v>99.494299999999996</v>
      </c>
      <c r="D770" s="52">
        <v>102.63930000000001</v>
      </c>
      <c r="E770" s="52">
        <v>24060671</v>
      </c>
      <c r="F770" s="52" t="s">
        <v>1496</v>
      </c>
      <c r="G770" s="25">
        <f t="shared" si="10"/>
        <v>-2.2884022007164995E-2</v>
      </c>
    </row>
    <row r="771" spans="1:7">
      <c r="A771" s="52">
        <v>99.494299999999996</v>
      </c>
      <c r="B771" s="52">
        <v>100.4498</v>
      </c>
      <c r="C771" s="52">
        <v>98.359700000000004</v>
      </c>
      <c r="D771" s="52">
        <v>98.389600000000002</v>
      </c>
      <c r="E771" s="52">
        <v>28419192</v>
      </c>
      <c r="F771" s="52" t="s">
        <v>1495</v>
      </c>
      <c r="G771" s="25">
        <f t="shared" si="10"/>
        <v>1.1227812695650652E-2</v>
      </c>
    </row>
    <row r="772" spans="1:7">
      <c r="A772" s="52">
        <v>96.100499999999997</v>
      </c>
      <c r="B772" s="52">
        <v>100.2109</v>
      </c>
      <c r="C772" s="52">
        <v>95.911500000000004</v>
      </c>
      <c r="D772" s="52">
        <v>99.514200000000002</v>
      </c>
      <c r="E772" s="52">
        <v>25410674</v>
      </c>
      <c r="F772" s="52" t="s">
        <v>1494</v>
      </c>
      <c r="G772" s="25">
        <f t="shared" si="10"/>
        <v>-3.4303647117697844E-2</v>
      </c>
    </row>
    <row r="773" spans="1:7">
      <c r="A773" s="52">
        <v>98.588700000000003</v>
      </c>
      <c r="B773" s="52">
        <v>99.300299999999993</v>
      </c>
      <c r="C773" s="52">
        <v>93.9345</v>
      </c>
      <c r="D773" s="52">
        <v>94.697299999999998</v>
      </c>
      <c r="E773" s="52">
        <v>34574549</v>
      </c>
      <c r="F773" s="52" t="s">
        <v>1493</v>
      </c>
      <c r="G773" s="25">
        <f t="shared" si="10"/>
        <v>4.1093040667474101E-2</v>
      </c>
    </row>
    <row r="774" spans="1:7">
      <c r="A774" s="52">
        <v>97.095799999999997</v>
      </c>
      <c r="B774" s="52">
        <v>98.280100000000004</v>
      </c>
      <c r="C774" s="52">
        <v>96.274699999999996</v>
      </c>
      <c r="D774" s="52">
        <v>96.837000000000003</v>
      </c>
      <c r="E774" s="52">
        <v>21876362</v>
      </c>
      <c r="F774" s="52" t="s">
        <v>1492</v>
      </c>
      <c r="G774" s="25">
        <f t="shared" si="10"/>
        <v>2.672532193273236E-3</v>
      </c>
    </row>
    <row r="775" spans="1:7">
      <c r="A775" s="52">
        <v>96.717600000000004</v>
      </c>
      <c r="B775" s="52">
        <v>98.772800000000004</v>
      </c>
      <c r="C775" s="52">
        <v>95.851699999999994</v>
      </c>
      <c r="D775" s="52">
        <v>96.966399999999993</v>
      </c>
      <c r="E775" s="52">
        <v>26507103</v>
      </c>
      <c r="F775" s="52" t="s">
        <v>1491</v>
      </c>
      <c r="G775" s="25">
        <f t="shared" si="10"/>
        <v>-2.5658372384660399E-3</v>
      </c>
    </row>
    <row r="776" spans="1:7">
      <c r="A776" s="52">
        <v>97.394400000000005</v>
      </c>
      <c r="B776" s="52">
        <v>98.623500000000007</v>
      </c>
      <c r="C776" s="52">
        <v>96.548400000000001</v>
      </c>
      <c r="D776" s="52">
        <v>98.528899999999993</v>
      </c>
      <c r="E776" s="52">
        <v>18225094</v>
      </c>
      <c r="F776" s="52" t="s">
        <v>1490</v>
      </c>
      <c r="G776" s="25">
        <f t="shared" si="10"/>
        <v>-1.1514388164284628E-2</v>
      </c>
    </row>
    <row r="777" spans="1:7">
      <c r="A777" s="52">
        <v>98.210499999999996</v>
      </c>
      <c r="B777" s="52">
        <v>100.0517</v>
      </c>
      <c r="C777" s="52">
        <v>97.827299999999994</v>
      </c>
      <c r="D777" s="52">
        <v>99.374899999999997</v>
      </c>
      <c r="E777" s="52">
        <v>27502765</v>
      </c>
      <c r="F777" s="52" t="s">
        <v>1489</v>
      </c>
      <c r="G777" s="25">
        <f t="shared" si="10"/>
        <v>-1.1717244495340395E-2</v>
      </c>
    </row>
    <row r="778" spans="1:7">
      <c r="A778" s="52">
        <v>100.9374</v>
      </c>
      <c r="B778" s="52">
        <v>102.4357</v>
      </c>
      <c r="C778" s="52">
        <v>100.1114</v>
      </c>
      <c r="D778" s="52">
        <v>100.2009</v>
      </c>
      <c r="E778" s="52">
        <v>22323989</v>
      </c>
      <c r="F778" s="52" t="s">
        <v>1488</v>
      </c>
      <c r="G778" s="25">
        <f t="shared" si="10"/>
        <v>7.3502333811372722E-3</v>
      </c>
    </row>
    <row r="779" spans="1:7">
      <c r="A779" s="52">
        <v>100.9474</v>
      </c>
      <c r="B779" s="52">
        <v>101.44499999999999</v>
      </c>
      <c r="C779" s="52">
        <v>98.329899999999995</v>
      </c>
      <c r="D779" s="52">
        <v>99.35</v>
      </c>
      <c r="E779" s="52">
        <v>22176903</v>
      </c>
      <c r="F779" s="52" t="s">
        <v>1487</v>
      </c>
      <c r="G779" s="25">
        <f t="shared" si="10"/>
        <v>1.6078510317060868E-2</v>
      </c>
    </row>
    <row r="780" spans="1:7">
      <c r="A780" s="52">
        <v>101.1564</v>
      </c>
      <c r="B780" s="52">
        <v>101.3554</v>
      </c>
      <c r="C780" s="52">
        <v>99.9024</v>
      </c>
      <c r="D780" s="52">
        <v>99.962100000000007</v>
      </c>
      <c r="E780" s="52">
        <v>28850773</v>
      </c>
      <c r="F780" s="52" t="s">
        <v>1486</v>
      </c>
      <c r="G780" s="25">
        <f t="shared" si="10"/>
        <v>1.1947528113154915E-2</v>
      </c>
    </row>
    <row r="781" spans="1:7">
      <c r="A781" s="52">
        <v>98.170699999999997</v>
      </c>
      <c r="B781" s="52">
        <v>98.814800000000005</v>
      </c>
      <c r="C781" s="52">
        <v>96.061700000000002</v>
      </c>
      <c r="D781" s="52">
        <v>96.299599999999998</v>
      </c>
      <c r="E781" s="52">
        <v>27982031</v>
      </c>
      <c r="F781" s="52" t="s">
        <v>1485</v>
      </c>
      <c r="G781" s="25">
        <f t="shared" si="10"/>
        <v>1.9429987248129832E-2</v>
      </c>
    </row>
    <row r="782" spans="1:7">
      <c r="A782" s="52">
        <v>95.194900000000004</v>
      </c>
      <c r="B782" s="52">
        <v>98.429400000000001</v>
      </c>
      <c r="C782" s="52">
        <v>95.1053</v>
      </c>
      <c r="D782" s="52">
        <v>96.588200000000001</v>
      </c>
      <c r="E782" s="52">
        <v>32941493</v>
      </c>
      <c r="F782" s="52" t="s">
        <v>1484</v>
      </c>
      <c r="G782" s="25">
        <f t="shared" si="10"/>
        <v>-1.4425157524418086E-2</v>
      </c>
    </row>
    <row r="783" spans="1:7">
      <c r="A783" s="52">
        <v>96.956500000000005</v>
      </c>
      <c r="B783" s="52">
        <v>98.170699999999997</v>
      </c>
      <c r="C783" s="52">
        <v>95.503399999999999</v>
      </c>
      <c r="D783" s="52">
        <v>98.170699999999997</v>
      </c>
      <c r="E783" s="52">
        <v>31047224</v>
      </c>
      <c r="F783" s="52" t="s">
        <v>1483</v>
      </c>
      <c r="G783" s="25">
        <f t="shared" si="10"/>
        <v>-1.2368252441919969E-2</v>
      </c>
    </row>
    <row r="784" spans="1:7">
      <c r="A784" s="52">
        <v>99.573899999999995</v>
      </c>
      <c r="B784" s="52">
        <v>100.2208</v>
      </c>
      <c r="C784" s="52">
        <v>96.647900000000007</v>
      </c>
      <c r="D784" s="52">
        <v>97.185400000000001</v>
      </c>
      <c r="E784" s="52">
        <v>32466323</v>
      </c>
      <c r="F784" s="52" t="s">
        <v>1482</v>
      </c>
      <c r="G784" s="25">
        <f t="shared" si="10"/>
        <v>2.4576736834956536E-2</v>
      </c>
    </row>
    <row r="785" spans="1:7">
      <c r="A785" s="52">
        <v>97.036100000000005</v>
      </c>
      <c r="B785" s="52">
        <v>99.524199999999993</v>
      </c>
      <c r="C785" s="52">
        <v>96.411100000000005</v>
      </c>
      <c r="D785" s="52">
        <v>98.956900000000005</v>
      </c>
      <c r="E785" s="52">
        <v>30072781</v>
      </c>
      <c r="F785" s="52" t="s">
        <v>1481</v>
      </c>
      <c r="G785" s="25">
        <f t="shared" si="10"/>
        <v>-1.941047061902712E-2</v>
      </c>
    </row>
    <row r="786" spans="1:7">
      <c r="A786" s="52">
        <v>97.7029</v>
      </c>
      <c r="B786" s="52">
        <v>99.404799999999994</v>
      </c>
      <c r="C786" s="52">
        <v>97.334599999999995</v>
      </c>
      <c r="D786" s="52">
        <v>97.633200000000002</v>
      </c>
      <c r="E786" s="52">
        <v>27072662</v>
      </c>
      <c r="F786" s="52" t="s">
        <v>1480</v>
      </c>
      <c r="G786" s="25">
        <f t="shared" si="10"/>
        <v>7.1389650241915348E-4</v>
      </c>
    </row>
    <row r="787" spans="1:7">
      <c r="A787" s="52">
        <v>98.270200000000003</v>
      </c>
      <c r="B787" s="52">
        <v>99.1858</v>
      </c>
      <c r="C787" s="52">
        <v>97.006200000000007</v>
      </c>
      <c r="D787" s="52">
        <v>99.155900000000003</v>
      </c>
      <c r="E787" s="52">
        <v>31625437</v>
      </c>
      <c r="F787" s="52" t="s">
        <v>1479</v>
      </c>
      <c r="G787" s="25">
        <f t="shared" si="10"/>
        <v>-8.9323983746806279E-3</v>
      </c>
    </row>
    <row r="788" spans="1:7">
      <c r="A788" s="52">
        <v>99.663499999999999</v>
      </c>
      <c r="B788" s="52">
        <v>100.75830000000001</v>
      </c>
      <c r="C788" s="52">
        <v>98.319900000000004</v>
      </c>
      <c r="D788" s="52">
        <v>98.349800000000002</v>
      </c>
      <c r="E788" s="52">
        <v>34298619</v>
      </c>
      <c r="F788" s="52" t="s">
        <v>1478</v>
      </c>
      <c r="G788" s="25">
        <f t="shared" si="10"/>
        <v>1.3357424214385683E-2</v>
      </c>
    </row>
    <row r="789" spans="1:7">
      <c r="A789" s="52">
        <v>98.807599999999994</v>
      </c>
      <c r="B789" s="52">
        <v>102.3905</v>
      </c>
      <c r="C789" s="52">
        <v>98.797700000000006</v>
      </c>
      <c r="D789" s="52">
        <v>101.1862</v>
      </c>
      <c r="E789" s="52">
        <v>31487265</v>
      </c>
      <c r="F789" s="52" t="s">
        <v>1477</v>
      </c>
      <c r="G789" s="25">
        <f t="shared" si="10"/>
        <v>-2.3507158090727898E-2</v>
      </c>
    </row>
    <row r="790" spans="1:7">
      <c r="A790" s="52">
        <v>100.6588</v>
      </c>
      <c r="B790" s="52">
        <v>101.88290000000001</v>
      </c>
      <c r="C790" s="52">
        <v>100.04170000000001</v>
      </c>
      <c r="D790" s="52">
        <v>101.5943</v>
      </c>
      <c r="E790" s="52">
        <v>26517123</v>
      </c>
      <c r="F790" s="52" t="s">
        <v>1476</v>
      </c>
      <c r="G790" s="25">
        <f t="shared" si="10"/>
        <v>-9.2081937667762848E-3</v>
      </c>
    </row>
    <row r="791" spans="1:7">
      <c r="A791" s="52">
        <v>102.5796</v>
      </c>
      <c r="B791" s="52">
        <v>102.8383</v>
      </c>
      <c r="C791" s="52">
        <v>101.0668</v>
      </c>
      <c r="D791" s="52">
        <v>101.2659</v>
      </c>
      <c r="E791" s="52">
        <v>23036811</v>
      </c>
      <c r="F791" s="52" t="s">
        <v>1475</v>
      </c>
      <c r="G791" s="25">
        <f t="shared" si="10"/>
        <v>1.2972777608257102E-2</v>
      </c>
    </row>
    <row r="792" spans="1:7">
      <c r="A792" s="52">
        <v>102.3109</v>
      </c>
      <c r="B792" s="52">
        <v>102.63930000000001</v>
      </c>
      <c r="C792" s="52">
        <v>100.4597</v>
      </c>
      <c r="D792" s="52">
        <v>101.5843</v>
      </c>
      <c r="E792" s="52">
        <v>42797172</v>
      </c>
      <c r="F792" s="52" t="s">
        <v>1474</v>
      </c>
      <c r="G792" s="25">
        <f t="shared" si="10"/>
        <v>7.1526800893446651E-3</v>
      </c>
    </row>
    <row r="793" spans="1:7">
      <c r="A793" s="52">
        <v>102.4203</v>
      </c>
      <c r="B793" s="52">
        <v>104.76909999999999</v>
      </c>
      <c r="C793" s="52">
        <v>101.863</v>
      </c>
      <c r="D793" s="52">
        <v>103.535</v>
      </c>
      <c r="E793" s="52">
        <v>34188284</v>
      </c>
      <c r="F793" s="52" t="s">
        <v>1473</v>
      </c>
      <c r="G793" s="25">
        <f t="shared" si="10"/>
        <v>-1.0766407495049979E-2</v>
      </c>
    </row>
    <row r="794" spans="1:7">
      <c r="A794" s="52">
        <v>104.5004</v>
      </c>
      <c r="B794" s="52">
        <v>104.7741</v>
      </c>
      <c r="C794" s="52">
        <v>103.16679999999999</v>
      </c>
      <c r="D794" s="52">
        <v>104.0724</v>
      </c>
      <c r="E794" s="52">
        <v>26395134</v>
      </c>
      <c r="F794" s="52" t="s">
        <v>1472</v>
      </c>
      <c r="G794" s="25">
        <f t="shared" si="10"/>
        <v>4.1125216676083376E-3</v>
      </c>
    </row>
    <row r="795" spans="1:7">
      <c r="A795" s="52">
        <v>103.8236</v>
      </c>
      <c r="B795" s="52">
        <v>107.7847</v>
      </c>
      <c r="C795" s="52">
        <v>103.5947</v>
      </c>
      <c r="D795" s="52">
        <v>107.2871</v>
      </c>
      <c r="E795" s="52">
        <v>38172871</v>
      </c>
      <c r="F795" s="52" t="s">
        <v>1471</v>
      </c>
      <c r="G795" s="25">
        <f t="shared" si="10"/>
        <v>-3.2282539093702711E-2</v>
      </c>
    </row>
    <row r="796" spans="1:7">
      <c r="A796" s="52">
        <v>110.3325</v>
      </c>
      <c r="B796" s="52">
        <v>111.0889</v>
      </c>
      <c r="C796" s="52">
        <v>109.40689999999999</v>
      </c>
      <c r="D796" s="52">
        <v>110.4619</v>
      </c>
      <c r="E796" s="52">
        <v>22966752</v>
      </c>
      <c r="F796" s="52" t="s">
        <v>1470</v>
      </c>
      <c r="G796" s="25">
        <f t="shared" si="10"/>
        <v>-1.1714446338512152E-3</v>
      </c>
    </row>
    <row r="797" spans="1:7">
      <c r="A797" s="52">
        <v>110.12350000000001</v>
      </c>
      <c r="B797" s="52">
        <v>110.4619</v>
      </c>
      <c r="C797" s="52">
        <v>108.5013</v>
      </c>
      <c r="D797" s="52">
        <v>108.54600000000001</v>
      </c>
      <c r="E797" s="52">
        <v>23213585</v>
      </c>
      <c r="F797" s="52" t="s">
        <v>1469</v>
      </c>
      <c r="G797" s="25">
        <f t="shared" si="10"/>
        <v>1.4533009046855616E-2</v>
      </c>
    </row>
    <row r="798" spans="1:7">
      <c r="A798" s="52">
        <v>107.8643</v>
      </c>
      <c r="B798" s="52">
        <v>109.07850000000001</v>
      </c>
      <c r="C798" s="52">
        <v>106.65009999999999</v>
      </c>
      <c r="D798" s="52">
        <v>107.52589999999999</v>
      </c>
      <c r="E798" s="52">
        <v>24238293</v>
      </c>
      <c r="F798" s="52" t="s">
        <v>1468</v>
      </c>
      <c r="G798" s="25">
        <f t="shared" si="10"/>
        <v>3.1471487334679971E-3</v>
      </c>
    </row>
    <row r="799" spans="1:7">
      <c r="A799" s="52">
        <v>108.92919999999999</v>
      </c>
      <c r="B799" s="52">
        <v>109.4567</v>
      </c>
      <c r="C799" s="52">
        <v>106.3913</v>
      </c>
      <c r="D799" s="52">
        <v>106.5506</v>
      </c>
      <c r="E799" s="52">
        <v>23166967</v>
      </c>
      <c r="F799" s="52" t="s">
        <v>1467</v>
      </c>
      <c r="G799" s="25">
        <f t="shared" si="10"/>
        <v>2.2323665938999815E-2</v>
      </c>
    </row>
    <row r="800" spans="1:7">
      <c r="A800" s="52">
        <v>106.3018</v>
      </c>
      <c r="B800" s="52">
        <v>107.51600000000001</v>
      </c>
      <c r="C800" s="52">
        <v>105.27670000000001</v>
      </c>
      <c r="D800" s="52">
        <v>106.7894</v>
      </c>
      <c r="E800" s="52">
        <v>25068280</v>
      </c>
      <c r="F800" s="52" t="s">
        <v>1466</v>
      </c>
      <c r="G800" s="25">
        <f t="shared" si="10"/>
        <v>-4.5659962505641971E-3</v>
      </c>
    </row>
    <row r="801" spans="1:7">
      <c r="A801" s="52">
        <v>107.3368</v>
      </c>
      <c r="B801" s="52">
        <v>110.2131</v>
      </c>
      <c r="C801" s="52">
        <v>106.7496</v>
      </c>
      <c r="D801" s="52">
        <v>110.0638</v>
      </c>
      <c r="E801" s="52">
        <v>24160711</v>
      </c>
      <c r="F801" s="52" t="s">
        <v>1465</v>
      </c>
      <c r="G801" s="25">
        <f t="shared" si="10"/>
        <v>-2.4776538698463968E-2</v>
      </c>
    </row>
    <row r="802" spans="1:7">
      <c r="A802" s="52">
        <v>109.2178</v>
      </c>
      <c r="B802" s="52">
        <v>109.9195</v>
      </c>
      <c r="C802" s="52">
        <v>106.8492</v>
      </c>
      <c r="D802" s="52">
        <v>107.76479999999999</v>
      </c>
      <c r="E802" s="52">
        <v>28360926</v>
      </c>
      <c r="F802" s="52" t="s">
        <v>1464</v>
      </c>
      <c r="G802" s="25">
        <f t="shared" si="10"/>
        <v>1.3483066827015833E-2</v>
      </c>
    </row>
    <row r="803" spans="1:7">
      <c r="A803" s="52">
        <v>107.7051</v>
      </c>
      <c r="B803" s="52">
        <v>110.32259999999999</v>
      </c>
      <c r="C803" s="52">
        <v>107.6155</v>
      </c>
      <c r="D803" s="52">
        <v>110.12350000000001</v>
      </c>
      <c r="E803" s="52">
        <v>28626972</v>
      </c>
      <c r="F803" s="52" t="s">
        <v>1463</v>
      </c>
      <c r="G803" s="25">
        <f t="shared" si="10"/>
        <v>-2.1960798557982719E-2</v>
      </c>
    </row>
    <row r="804" spans="1:7">
      <c r="A804" s="52">
        <v>108.4216</v>
      </c>
      <c r="B804" s="52">
        <v>109.9742</v>
      </c>
      <c r="C804" s="52">
        <v>107.2871</v>
      </c>
      <c r="D804" s="52">
        <v>109.64579999999999</v>
      </c>
      <c r="E804" s="52">
        <v>27513255</v>
      </c>
      <c r="F804" s="52" t="s">
        <v>1462</v>
      </c>
      <c r="G804" s="25">
        <f t="shared" si="10"/>
        <v>-1.1165042345443243E-2</v>
      </c>
    </row>
    <row r="805" spans="1:7">
      <c r="A805" s="52">
        <v>108.8994</v>
      </c>
      <c r="B805" s="52">
        <v>110.4221</v>
      </c>
      <c r="C805" s="52">
        <v>108.28230000000001</v>
      </c>
      <c r="D805" s="52">
        <v>109.4666</v>
      </c>
      <c r="E805" s="52">
        <v>21191157</v>
      </c>
      <c r="F805" s="52" t="s">
        <v>1461</v>
      </c>
      <c r="G805" s="25">
        <f t="shared" si="10"/>
        <v>-5.1814891482881986E-3</v>
      </c>
    </row>
    <row r="806" spans="1:7">
      <c r="A806" s="52">
        <v>109.815</v>
      </c>
      <c r="B806" s="52">
        <v>114.5722</v>
      </c>
      <c r="C806" s="52">
        <v>109.6657</v>
      </c>
      <c r="D806" s="52">
        <v>114.1741</v>
      </c>
      <c r="E806" s="52">
        <v>37245697</v>
      </c>
      <c r="F806" s="52" t="s">
        <v>1460</v>
      </c>
      <c r="G806" s="25">
        <f t="shared" si="10"/>
        <v>-3.8179411968213395E-2</v>
      </c>
    </row>
    <row r="807" spans="1:7">
      <c r="A807" s="52">
        <v>116.095</v>
      </c>
      <c r="B807" s="52">
        <v>116.16459999999999</v>
      </c>
      <c r="C807" s="52">
        <v>113.56699999999999</v>
      </c>
      <c r="D807" s="52">
        <v>113.6914</v>
      </c>
      <c r="E807" s="52">
        <v>16956794</v>
      </c>
      <c r="F807" s="52" t="s">
        <v>1459</v>
      </c>
      <c r="G807" s="25">
        <f t="shared" si="10"/>
        <v>2.1141440777402654E-2</v>
      </c>
    </row>
    <row r="808" spans="1:7">
      <c r="A808" s="52">
        <v>113.149</v>
      </c>
      <c r="B808" s="52">
        <v>114.23390000000001</v>
      </c>
      <c r="C808" s="52">
        <v>112.333</v>
      </c>
      <c r="D808" s="52">
        <v>112.9599</v>
      </c>
      <c r="E808" s="52">
        <v>17734624</v>
      </c>
      <c r="F808" s="52" t="s">
        <v>1458</v>
      </c>
      <c r="G808" s="25">
        <f t="shared" si="10"/>
        <v>1.6740453913290931E-3</v>
      </c>
    </row>
    <row r="809" spans="1:7">
      <c r="A809" s="52">
        <v>113.3182</v>
      </c>
      <c r="B809" s="52">
        <v>114.4628</v>
      </c>
      <c r="C809" s="52">
        <v>112.8903</v>
      </c>
      <c r="D809" s="52">
        <v>112.93510000000001</v>
      </c>
      <c r="E809" s="52">
        <v>15870373</v>
      </c>
      <c r="F809" s="52" t="s">
        <v>1457</v>
      </c>
      <c r="G809" s="25">
        <f t="shared" si="10"/>
        <v>3.3922137581672285E-3</v>
      </c>
    </row>
    <row r="810" spans="1:7">
      <c r="A810" s="52">
        <v>113.6964</v>
      </c>
      <c r="B810" s="52">
        <v>115.07980000000001</v>
      </c>
      <c r="C810" s="52">
        <v>113.3083</v>
      </c>
      <c r="D810" s="52">
        <v>114.6519</v>
      </c>
      <c r="E810" s="52">
        <v>21456648</v>
      </c>
      <c r="F810" s="52" t="s">
        <v>1456</v>
      </c>
      <c r="G810" s="25">
        <f t="shared" si="10"/>
        <v>-8.3339220719412799E-3</v>
      </c>
    </row>
    <row r="811" spans="1:7">
      <c r="A811" s="52">
        <v>116.6523</v>
      </c>
      <c r="B811" s="52">
        <v>118.5831</v>
      </c>
      <c r="C811" s="52">
        <v>116.20440000000001</v>
      </c>
      <c r="D811" s="52">
        <v>118.4935</v>
      </c>
      <c r="E811" s="52">
        <v>21809528</v>
      </c>
      <c r="F811" s="52" t="s">
        <v>1455</v>
      </c>
      <c r="G811" s="25">
        <f t="shared" si="10"/>
        <v>-1.5538405060193217E-2</v>
      </c>
    </row>
    <row r="812" spans="1:7">
      <c r="A812" s="52">
        <v>119.59820000000001</v>
      </c>
      <c r="B812" s="52">
        <v>120.24509999999999</v>
      </c>
      <c r="C812" s="52">
        <v>118.1551</v>
      </c>
      <c r="D812" s="52">
        <v>118.8617</v>
      </c>
      <c r="E812" s="52">
        <v>17987660</v>
      </c>
      <c r="F812" s="52" t="s">
        <v>1454</v>
      </c>
      <c r="G812" s="25">
        <f t="shared" si="10"/>
        <v>6.1962768494814302E-3</v>
      </c>
    </row>
    <row r="813" spans="1:7">
      <c r="A813" s="52">
        <v>118.9812</v>
      </c>
      <c r="B813" s="52">
        <v>120.7129</v>
      </c>
      <c r="C813" s="52">
        <v>118.812</v>
      </c>
      <c r="D813" s="52">
        <v>119.5484</v>
      </c>
      <c r="E813" s="52">
        <v>22846958</v>
      </c>
      <c r="F813" s="52" t="s">
        <v>1453</v>
      </c>
      <c r="G813" s="25">
        <f t="shared" si="10"/>
        <v>-4.7445218840235226E-3</v>
      </c>
    </row>
    <row r="814" spans="1:7">
      <c r="A814" s="52">
        <v>121.12090000000001</v>
      </c>
      <c r="B814" s="52">
        <v>121.8475</v>
      </c>
      <c r="C814" s="52">
        <v>120.066</v>
      </c>
      <c r="D814" s="52">
        <v>120.9418</v>
      </c>
      <c r="E814" s="52">
        <v>19041230</v>
      </c>
      <c r="F814" s="52" t="s">
        <v>1452</v>
      </c>
      <c r="G814" s="25">
        <f t="shared" si="10"/>
        <v>1.4808775791330664E-3</v>
      </c>
    </row>
    <row r="815" spans="1:7">
      <c r="A815" s="52">
        <v>121.4991</v>
      </c>
      <c r="B815" s="52">
        <v>121.71810000000001</v>
      </c>
      <c r="C815" s="52">
        <v>120.0361</v>
      </c>
      <c r="D815" s="52">
        <v>120.5536</v>
      </c>
      <c r="E815" s="52">
        <v>19494825</v>
      </c>
      <c r="F815" s="52" t="s">
        <v>1451</v>
      </c>
      <c r="G815" s="25">
        <f t="shared" si="10"/>
        <v>7.8429843654606035E-3</v>
      </c>
    </row>
    <row r="816" spans="1:7">
      <c r="A816" s="52">
        <v>121.101</v>
      </c>
      <c r="B816" s="52">
        <v>121.101</v>
      </c>
      <c r="C816" s="52">
        <v>118.8916</v>
      </c>
      <c r="D816" s="52">
        <v>119.6878</v>
      </c>
      <c r="E816" s="52">
        <v>19096268</v>
      </c>
      <c r="F816" s="52" t="s">
        <v>1450</v>
      </c>
      <c r="G816" s="25">
        <f t="shared" si="10"/>
        <v>1.1807385548067595E-2</v>
      </c>
    </row>
    <row r="817" spans="1:7">
      <c r="A817" s="52">
        <v>118.2745</v>
      </c>
      <c r="B817" s="52">
        <v>120.9119</v>
      </c>
      <c r="C817" s="52">
        <v>117.99590000000001</v>
      </c>
      <c r="D817" s="52">
        <v>120.7029</v>
      </c>
      <c r="E817" s="52">
        <v>24293654</v>
      </c>
      <c r="F817" s="52" t="s">
        <v>1449</v>
      </c>
      <c r="G817" s="25">
        <f t="shared" si="10"/>
        <v>-2.0118820674565385E-2</v>
      </c>
    </row>
    <row r="818" spans="1:7">
      <c r="A818" s="52">
        <v>119.13039999999999</v>
      </c>
      <c r="B818" s="52">
        <v>120.3446</v>
      </c>
      <c r="C818" s="52">
        <v>117.8466</v>
      </c>
      <c r="D818" s="52">
        <v>118.2148</v>
      </c>
      <c r="E818" s="52">
        <v>30930350</v>
      </c>
      <c r="F818" s="52" t="s">
        <v>1448</v>
      </c>
      <c r="G818" s="25">
        <f t="shared" si="10"/>
        <v>7.7452231023527052E-3</v>
      </c>
    </row>
    <row r="819" spans="1:7">
      <c r="A819" s="52">
        <v>116.07510000000001</v>
      </c>
      <c r="B819" s="52">
        <v>116.76179999999999</v>
      </c>
      <c r="C819" s="52">
        <v>115.15940000000001</v>
      </c>
      <c r="D819" s="52">
        <v>116.5776</v>
      </c>
      <c r="E819" s="52">
        <v>19086465</v>
      </c>
      <c r="F819" s="52" t="s">
        <v>1447</v>
      </c>
      <c r="G819" s="25">
        <f t="shared" si="10"/>
        <v>-4.3104335652818238E-3</v>
      </c>
    </row>
    <row r="820" spans="1:7">
      <c r="A820" s="52">
        <v>116.7419</v>
      </c>
      <c r="B820" s="52">
        <v>119.5783</v>
      </c>
      <c r="C820" s="52">
        <v>116.32389999999999</v>
      </c>
      <c r="D820" s="52">
        <v>117.8267</v>
      </c>
      <c r="E820" s="52">
        <v>19169479</v>
      </c>
      <c r="F820" s="52" t="s">
        <v>1446</v>
      </c>
      <c r="G820" s="25">
        <f t="shared" si="10"/>
        <v>-9.2067417656609418E-3</v>
      </c>
    </row>
    <row r="821" spans="1:7">
      <c r="A821" s="52">
        <v>116.9111</v>
      </c>
      <c r="B821" s="52">
        <v>117.5436</v>
      </c>
      <c r="C821" s="52">
        <v>115.44799999999999</v>
      </c>
      <c r="D821" s="52">
        <v>115.67700000000001</v>
      </c>
      <c r="E821" s="52">
        <v>19159520</v>
      </c>
      <c r="F821" s="52" t="s">
        <v>1445</v>
      </c>
      <c r="G821" s="25">
        <f t="shared" si="10"/>
        <v>1.0668499355965366E-2</v>
      </c>
    </row>
    <row r="822" spans="1:7">
      <c r="A822" s="52">
        <v>117.6276</v>
      </c>
      <c r="B822" s="52">
        <v>118.2148</v>
      </c>
      <c r="C822" s="52">
        <v>116.3338</v>
      </c>
      <c r="D822" s="52">
        <v>116.92100000000001</v>
      </c>
      <c r="E822" s="52">
        <v>21602925</v>
      </c>
      <c r="F822" s="52" t="s">
        <v>1444</v>
      </c>
      <c r="G822" s="25">
        <f t="shared" si="10"/>
        <v>6.0433968234960833E-3</v>
      </c>
    </row>
    <row r="823" spans="1:7">
      <c r="A823" s="52">
        <v>117.51819999999999</v>
      </c>
      <c r="B823" s="52">
        <v>118.0556</v>
      </c>
      <c r="C823" s="52">
        <v>114.93049999999999</v>
      </c>
      <c r="D823" s="52">
        <v>115.15940000000001</v>
      </c>
      <c r="E823" s="52">
        <v>28499014</v>
      </c>
      <c r="F823" s="52" t="s">
        <v>1443</v>
      </c>
      <c r="G823" s="25">
        <f t="shared" si="10"/>
        <v>2.0482913248940138E-2</v>
      </c>
    </row>
    <row r="824" spans="1:7">
      <c r="A824" s="52">
        <v>114.5822</v>
      </c>
      <c r="B824" s="52">
        <v>115.79640000000001</v>
      </c>
      <c r="C824" s="52">
        <v>113.1789</v>
      </c>
      <c r="D824" s="52">
        <v>113.4576</v>
      </c>
      <c r="E824" s="52">
        <v>20236029</v>
      </c>
      <c r="F824" s="52" t="s">
        <v>1442</v>
      </c>
      <c r="G824" s="25">
        <f t="shared" si="10"/>
        <v>9.9120728800892177E-3</v>
      </c>
    </row>
    <row r="825" spans="1:7">
      <c r="A825" s="52">
        <v>114.3135</v>
      </c>
      <c r="B825" s="52">
        <v>116.16459999999999</v>
      </c>
      <c r="C825" s="52">
        <v>113.7959</v>
      </c>
      <c r="D825" s="52">
        <v>114.7514</v>
      </c>
      <c r="E825" s="52">
        <v>26034288</v>
      </c>
      <c r="F825" s="52" t="s">
        <v>1441</v>
      </c>
      <c r="G825" s="25">
        <f t="shared" si="10"/>
        <v>-3.8160754465740299E-3</v>
      </c>
    </row>
    <row r="826" spans="1:7">
      <c r="A826" s="52">
        <v>115.76649999999999</v>
      </c>
      <c r="B826" s="52">
        <v>116.1497</v>
      </c>
      <c r="C826" s="52">
        <v>112.52200000000001</v>
      </c>
      <c r="D826" s="52">
        <v>112.5419</v>
      </c>
      <c r="E826" s="52">
        <v>37223391</v>
      </c>
      <c r="F826" s="52" t="s">
        <v>1440</v>
      </c>
      <c r="G826" s="25">
        <f t="shared" si="10"/>
        <v>2.8652439669136553E-2</v>
      </c>
    </row>
    <row r="827" spans="1:7">
      <c r="A827" s="52">
        <v>113.6765</v>
      </c>
      <c r="B827" s="52">
        <v>113.7959</v>
      </c>
      <c r="C827" s="52">
        <v>110.9297</v>
      </c>
      <c r="D827" s="52">
        <v>111.8353</v>
      </c>
      <c r="E827" s="52">
        <v>32816568</v>
      </c>
      <c r="F827" s="52" t="s">
        <v>1439</v>
      </c>
      <c r="G827" s="25">
        <f t="shared" ref="G827:G890" si="11">A827/D827-1</f>
        <v>1.6463495872948819E-2</v>
      </c>
    </row>
    <row r="828" spans="1:7">
      <c r="A828" s="52">
        <v>112.52200000000001</v>
      </c>
      <c r="B828" s="52">
        <v>113.36799999999999</v>
      </c>
      <c r="C828" s="52">
        <v>107.4961</v>
      </c>
      <c r="D828" s="52">
        <v>108.7401</v>
      </c>
      <c r="E828" s="52">
        <v>59858495</v>
      </c>
      <c r="F828" s="52" t="s">
        <v>1438</v>
      </c>
      <c r="G828" s="25">
        <f t="shared" si="11"/>
        <v>3.4779258065791741E-2</v>
      </c>
    </row>
    <row r="829" spans="1:7">
      <c r="A829" s="52">
        <v>104.52030000000001</v>
      </c>
      <c r="B829" s="52">
        <v>106.68989999999999</v>
      </c>
      <c r="C829" s="52">
        <v>103.5748</v>
      </c>
      <c r="D829" s="52">
        <v>106.0928</v>
      </c>
      <c r="E829" s="52">
        <v>47990963</v>
      </c>
      <c r="F829" s="52" t="s">
        <v>1437</v>
      </c>
      <c r="G829" s="25">
        <f t="shared" si="11"/>
        <v>-1.4821929480605567E-2</v>
      </c>
    </row>
    <row r="830" spans="1:7">
      <c r="A830" s="52">
        <v>106.9984</v>
      </c>
      <c r="B830" s="52">
        <v>109.3472</v>
      </c>
      <c r="C830" s="52">
        <v>105.7942</v>
      </c>
      <c r="D830" s="52">
        <v>107.8942</v>
      </c>
      <c r="E830" s="52">
        <v>34690894</v>
      </c>
      <c r="F830" s="52" t="s">
        <v>1436</v>
      </c>
      <c r="G830" s="25">
        <f t="shared" si="11"/>
        <v>-8.3025778957533936E-3</v>
      </c>
    </row>
    <row r="831" spans="1:7">
      <c r="A831" s="52">
        <v>107.3866</v>
      </c>
      <c r="B831" s="52">
        <v>111.80549999999999</v>
      </c>
      <c r="C831" s="52">
        <v>105.9933</v>
      </c>
      <c r="D831" s="52">
        <v>110.4718</v>
      </c>
      <c r="E831" s="52">
        <v>48901184</v>
      </c>
      <c r="F831" s="52" t="s">
        <v>1435</v>
      </c>
      <c r="G831" s="25">
        <f t="shared" si="11"/>
        <v>-2.7927489187285826E-2</v>
      </c>
    </row>
    <row r="832" spans="1:7">
      <c r="A832" s="52">
        <v>113.7959</v>
      </c>
      <c r="B832" s="52">
        <v>114.00490000000001</v>
      </c>
      <c r="C832" s="52">
        <v>110.58450000000001</v>
      </c>
      <c r="D832" s="52">
        <v>113.7362</v>
      </c>
      <c r="E832" s="52">
        <v>32676166</v>
      </c>
      <c r="F832" s="52" t="s">
        <v>1434</v>
      </c>
      <c r="G832" s="25">
        <f t="shared" si="11"/>
        <v>5.2489884487094685E-4</v>
      </c>
    </row>
    <row r="833" spans="1:7">
      <c r="A833" s="52">
        <v>113.358</v>
      </c>
      <c r="B833" s="52">
        <v>114.8509</v>
      </c>
      <c r="C833" s="52">
        <v>111.9448</v>
      </c>
      <c r="D833" s="52">
        <v>112.6315</v>
      </c>
      <c r="E833" s="52">
        <v>35600426</v>
      </c>
      <c r="F833" s="52" t="s">
        <v>1433</v>
      </c>
      <c r="G833" s="25">
        <f t="shared" si="11"/>
        <v>6.4502381660547226E-3</v>
      </c>
    </row>
    <row r="834" spans="1:7">
      <c r="A834" s="52">
        <v>113.2685</v>
      </c>
      <c r="B834" s="52">
        <v>113.47750000000001</v>
      </c>
      <c r="C834" s="52">
        <v>109.03870000000001</v>
      </c>
      <c r="D834" s="52">
        <v>110.32259999999999</v>
      </c>
      <c r="E834" s="52">
        <v>36530945</v>
      </c>
      <c r="F834" s="52" t="s">
        <v>1432</v>
      </c>
      <c r="G834" s="25">
        <f t="shared" si="11"/>
        <v>2.6702597654515214E-2</v>
      </c>
    </row>
    <row r="835" spans="1:7">
      <c r="A835" s="52">
        <v>108.5112</v>
      </c>
      <c r="B835" s="52">
        <v>113.1391</v>
      </c>
      <c r="C835" s="52">
        <v>107.8544</v>
      </c>
      <c r="D835" s="52">
        <v>112.104</v>
      </c>
      <c r="E835" s="52">
        <v>43164588</v>
      </c>
      <c r="F835" s="52" t="s">
        <v>1431</v>
      </c>
      <c r="G835" s="25">
        <f t="shared" si="11"/>
        <v>-3.2048811817597889E-2</v>
      </c>
    </row>
    <row r="836" spans="1:7">
      <c r="A836" s="52">
        <v>111.2456</v>
      </c>
      <c r="B836" s="52">
        <v>112.6022</v>
      </c>
      <c r="C836" s="52">
        <v>110.3723</v>
      </c>
      <c r="D836" s="52">
        <v>111.4676</v>
      </c>
      <c r="E836" s="52">
        <v>46769120</v>
      </c>
      <c r="F836" s="52" t="s">
        <v>1430</v>
      </c>
      <c r="G836" s="25">
        <f t="shared" si="11"/>
        <v>-1.9916101180971202E-3</v>
      </c>
    </row>
    <row r="837" spans="1:7">
      <c r="A837" s="52">
        <v>109.84229999999999</v>
      </c>
      <c r="B837" s="52">
        <v>110.56440000000001</v>
      </c>
      <c r="C837" s="52">
        <v>107.8573</v>
      </c>
      <c r="D837" s="52">
        <v>109.6861</v>
      </c>
      <c r="E837" s="52">
        <v>37003040</v>
      </c>
      <c r="F837" s="52" t="s">
        <v>1429</v>
      </c>
      <c r="G837" s="25">
        <f t="shared" si="11"/>
        <v>1.4240637601299344E-3</v>
      </c>
    </row>
    <row r="838" spans="1:7">
      <c r="A838" s="52">
        <v>110.8237</v>
      </c>
      <c r="B838" s="52">
        <v>113.65260000000001</v>
      </c>
      <c r="C838" s="52">
        <v>110.6724</v>
      </c>
      <c r="D838" s="52">
        <v>111.1695</v>
      </c>
      <c r="E838" s="52">
        <v>43722020</v>
      </c>
      <c r="F838" s="52" t="s">
        <v>1428</v>
      </c>
      <c r="G838" s="25">
        <f t="shared" si="11"/>
        <v>-3.110565397883347E-3</v>
      </c>
    </row>
    <row r="839" spans="1:7">
      <c r="A839" s="52">
        <v>113.47799999999999</v>
      </c>
      <c r="B839" s="52">
        <v>116.4174</v>
      </c>
      <c r="C839" s="52">
        <v>113.1493</v>
      </c>
      <c r="D839" s="52">
        <v>115.66200000000001</v>
      </c>
      <c r="E839" s="52">
        <v>29959700</v>
      </c>
      <c r="F839" s="52" t="s">
        <v>1427</v>
      </c>
      <c r="G839" s="25">
        <f t="shared" si="11"/>
        <v>-1.8882606214660091E-2</v>
      </c>
    </row>
    <row r="840" spans="1:7">
      <c r="A840" s="52">
        <v>115.12609999999999</v>
      </c>
      <c r="B840" s="52">
        <v>117.4365</v>
      </c>
      <c r="C840" s="52">
        <v>114.7817</v>
      </c>
      <c r="D840" s="52">
        <v>117.4365</v>
      </c>
      <c r="E840" s="52">
        <v>31243700</v>
      </c>
      <c r="F840" s="52" t="s">
        <v>1426</v>
      </c>
      <c r="G840" s="25">
        <f t="shared" si="11"/>
        <v>-1.9673610845009848E-2</v>
      </c>
    </row>
    <row r="841" spans="1:7">
      <c r="A841" s="52">
        <v>118.7856</v>
      </c>
      <c r="B841" s="52">
        <v>119.1155</v>
      </c>
      <c r="C841" s="52">
        <v>116.345</v>
      </c>
      <c r="D841" s="52">
        <v>116.6921</v>
      </c>
      <c r="E841" s="52">
        <v>38238160</v>
      </c>
      <c r="F841" s="52" t="s">
        <v>1425</v>
      </c>
      <c r="G841" s="25">
        <f t="shared" si="11"/>
        <v>1.794037471259835E-2</v>
      </c>
    </row>
    <row r="842" spans="1:7">
      <c r="A842" s="52">
        <v>118.2178</v>
      </c>
      <c r="B842" s="52">
        <v>118.6224</v>
      </c>
      <c r="C842" s="52">
        <v>114.2871</v>
      </c>
      <c r="D842" s="52">
        <v>114.5324</v>
      </c>
      <c r="E842" s="52">
        <v>40935880</v>
      </c>
      <c r="F842" s="52" t="s">
        <v>1424</v>
      </c>
      <c r="G842" s="25">
        <f t="shared" si="11"/>
        <v>3.2177794231152079E-2</v>
      </c>
    </row>
    <row r="843" spans="1:7">
      <c r="A843" s="52">
        <v>114.02679999999999</v>
      </c>
      <c r="B843" s="52">
        <v>115.0395</v>
      </c>
      <c r="C843" s="52">
        <v>110.9456</v>
      </c>
      <c r="D843" s="52">
        <v>112.7629</v>
      </c>
      <c r="E843" s="52">
        <v>37431380</v>
      </c>
      <c r="F843" s="52" t="s">
        <v>1423</v>
      </c>
      <c r="G843" s="25">
        <f t="shared" si="11"/>
        <v>1.1208473708994582E-2</v>
      </c>
    </row>
    <row r="844" spans="1:7">
      <c r="A844" s="52">
        <v>112.72410000000001</v>
      </c>
      <c r="B844" s="52">
        <v>112.8373</v>
      </c>
      <c r="C844" s="52">
        <v>105.22839999999999</v>
      </c>
      <c r="D844" s="52">
        <v>106.5909</v>
      </c>
      <c r="E844" s="52">
        <v>39399640</v>
      </c>
      <c r="F844" s="52" t="s">
        <v>1422</v>
      </c>
      <c r="G844" s="25">
        <f t="shared" si="11"/>
        <v>5.7539621112121297E-2</v>
      </c>
    </row>
    <row r="845" spans="1:7">
      <c r="A845" s="52">
        <v>108.2201</v>
      </c>
      <c r="B845" s="52">
        <v>108.7302</v>
      </c>
      <c r="C845" s="52">
        <v>106.2227</v>
      </c>
      <c r="D845" s="52">
        <v>107.4194</v>
      </c>
      <c r="E845" s="52">
        <v>35475660</v>
      </c>
      <c r="F845" s="52" t="s">
        <v>1421</v>
      </c>
      <c r="G845" s="25">
        <f t="shared" si="11"/>
        <v>7.4539608301666949E-3</v>
      </c>
    </row>
    <row r="846" spans="1:7">
      <c r="A846" s="52">
        <v>108.44450000000001</v>
      </c>
      <c r="B846" s="52">
        <v>110.3604</v>
      </c>
      <c r="C846" s="52">
        <v>106.24209999999999</v>
      </c>
      <c r="D846" s="52">
        <v>109.4766</v>
      </c>
      <c r="E846" s="52">
        <v>43169060</v>
      </c>
      <c r="F846" s="52" t="s">
        <v>1420</v>
      </c>
      <c r="G846" s="25">
        <f t="shared" si="11"/>
        <v>-9.4275854383494284E-3</v>
      </c>
    </row>
    <row r="847" spans="1:7">
      <c r="A847" s="52">
        <v>111.17</v>
      </c>
      <c r="B847" s="52">
        <v>112.62179999999999</v>
      </c>
      <c r="C847" s="52">
        <v>110.345</v>
      </c>
      <c r="D847" s="52">
        <v>111.02119999999999</v>
      </c>
      <c r="E847" s="52">
        <v>24716820</v>
      </c>
      <c r="F847" s="52" t="s">
        <v>1419</v>
      </c>
      <c r="G847" s="25">
        <f t="shared" si="11"/>
        <v>1.3402845582646261E-3</v>
      </c>
    </row>
    <row r="848" spans="1:7">
      <c r="A848" s="52">
        <v>111.47450000000001</v>
      </c>
      <c r="B848" s="52">
        <v>116.7513</v>
      </c>
      <c r="C848" s="52">
        <v>111.3158</v>
      </c>
      <c r="D848" s="52">
        <v>115.25149999999999</v>
      </c>
      <c r="E848" s="52">
        <v>35880960</v>
      </c>
      <c r="F848" s="52" t="s">
        <v>1418</v>
      </c>
      <c r="G848" s="25">
        <f t="shared" si="11"/>
        <v>-3.2771807742198455E-2</v>
      </c>
    </row>
    <row r="849" spans="1:7">
      <c r="A849" s="52">
        <v>115.28230000000001</v>
      </c>
      <c r="B849" s="52">
        <v>118.0153</v>
      </c>
      <c r="C849" s="52">
        <v>114.63160000000001</v>
      </c>
      <c r="D849" s="52">
        <v>117.7102</v>
      </c>
      <c r="E849" s="52">
        <v>36420760</v>
      </c>
      <c r="F849" s="52" t="s">
        <v>1417</v>
      </c>
      <c r="G849" s="25">
        <f t="shared" si="11"/>
        <v>-2.0626079982873136E-2</v>
      </c>
    </row>
    <row r="850" spans="1:7">
      <c r="A850" s="52">
        <v>117.41370000000001</v>
      </c>
      <c r="B850" s="52">
        <v>117.5172</v>
      </c>
      <c r="C850" s="52">
        <v>112.41500000000001</v>
      </c>
      <c r="D850" s="52">
        <v>112.4573</v>
      </c>
      <c r="E850" s="52">
        <v>41163680</v>
      </c>
      <c r="F850" s="52" t="s">
        <v>1416</v>
      </c>
      <c r="G850" s="25">
        <f t="shared" si="11"/>
        <v>4.4073617275179222E-2</v>
      </c>
    </row>
    <row r="851" spans="1:7">
      <c r="A851" s="52">
        <v>111.7079</v>
      </c>
      <c r="B851" s="52">
        <v>112.206</v>
      </c>
      <c r="C851" s="52">
        <v>109.9747</v>
      </c>
      <c r="D851" s="52">
        <v>111.69750000000001</v>
      </c>
      <c r="E851" s="52">
        <v>28361920</v>
      </c>
      <c r="F851" s="52" t="s">
        <v>1415</v>
      </c>
      <c r="G851" s="25">
        <f t="shared" si="11"/>
        <v>9.3108619261705883E-5</v>
      </c>
    </row>
    <row r="852" spans="1:7">
      <c r="A852" s="52">
        <v>110.95699999999999</v>
      </c>
      <c r="B852" s="52">
        <v>112.80719999999999</v>
      </c>
      <c r="C852" s="52">
        <v>109.85720000000001</v>
      </c>
      <c r="D852" s="52">
        <v>110.0304</v>
      </c>
      <c r="E852" s="52">
        <v>30774140</v>
      </c>
      <c r="F852" s="52" t="s">
        <v>1414</v>
      </c>
      <c r="G852" s="25">
        <f t="shared" si="11"/>
        <v>8.4213090200526697E-3</v>
      </c>
    </row>
    <row r="853" spans="1:7">
      <c r="A853" s="52">
        <v>111.0133</v>
      </c>
      <c r="B853" s="52">
        <v>111.95399999999999</v>
      </c>
      <c r="C853" s="52">
        <v>108.08329999999999</v>
      </c>
      <c r="D853" s="52">
        <v>108.41119999999999</v>
      </c>
      <c r="E853" s="52">
        <v>47415800</v>
      </c>
      <c r="F853" s="52" t="s">
        <v>1413</v>
      </c>
      <c r="G853" s="25">
        <f t="shared" si="11"/>
        <v>2.4002132620983829E-2</v>
      </c>
    </row>
    <row r="854" spans="1:7">
      <c r="A854" s="52">
        <v>106.6337</v>
      </c>
      <c r="B854" s="52">
        <v>108.1823</v>
      </c>
      <c r="C854" s="52">
        <v>104.5462</v>
      </c>
      <c r="D854" s="52">
        <v>105.529</v>
      </c>
      <c r="E854" s="52">
        <v>51376520</v>
      </c>
      <c r="F854" s="52" t="s">
        <v>1412</v>
      </c>
      <c r="G854" s="25">
        <f t="shared" si="11"/>
        <v>1.0468212529257448E-2</v>
      </c>
    </row>
    <row r="855" spans="1:7">
      <c r="A855" s="52">
        <v>105.529</v>
      </c>
      <c r="B855" s="52">
        <v>108.1315</v>
      </c>
      <c r="C855" s="52">
        <v>104.6377</v>
      </c>
      <c r="D855" s="52">
        <v>106.71080000000001</v>
      </c>
      <c r="E855" s="52">
        <v>51684960</v>
      </c>
      <c r="F855" s="52" t="s">
        <v>1411</v>
      </c>
      <c r="G855" s="25">
        <f t="shared" si="11"/>
        <v>-1.1074792804477207E-2</v>
      </c>
    </row>
    <row r="856" spans="1:7">
      <c r="A856" s="52">
        <v>109.2422</v>
      </c>
      <c r="B856" s="52">
        <v>110.8933</v>
      </c>
      <c r="C856" s="52">
        <v>107.1572</v>
      </c>
      <c r="D856" s="52">
        <v>108.02849999999999</v>
      </c>
      <c r="E856" s="52">
        <v>39698180</v>
      </c>
      <c r="F856" s="52" t="s">
        <v>1410</v>
      </c>
      <c r="G856" s="25">
        <f t="shared" si="11"/>
        <v>1.1234998171778754E-2</v>
      </c>
    </row>
    <row r="857" spans="1:7">
      <c r="A857" s="52">
        <v>106.2077</v>
      </c>
      <c r="B857" s="52">
        <v>107.411</v>
      </c>
      <c r="C857" s="52">
        <v>105.2966</v>
      </c>
      <c r="D857" s="52">
        <v>106.02809999999999</v>
      </c>
      <c r="E857" s="52">
        <v>33706260</v>
      </c>
      <c r="F857" s="52" t="s">
        <v>1409</v>
      </c>
      <c r="G857" s="25">
        <f t="shared" si="11"/>
        <v>1.6938905818364436E-3</v>
      </c>
    </row>
    <row r="858" spans="1:7">
      <c r="A858" s="52">
        <v>105.88630000000001</v>
      </c>
      <c r="B858" s="52">
        <v>108.27379999999999</v>
      </c>
      <c r="C858" s="52">
        <v>105.6142</v>
      </c>
      <c r="D858" s="52">
        <v>106.2784</v>
      </c>
      <c r="E858" s="52">
        <v>47251920</v>
      </c>
      <c r="F858" s="52" t="s">
        <v>1408</v>
      </c>
      <c r="G858" s="25">
        <f t="shared" si="11"/>
        <v>-3.689366795134319E-3</v>
      </c>
    </row>
    <row r="859" spans="1:7">
      <c r="A859" s="52">
        <v>110.6326</v>
      </c>
      <c r="B859" s="52">
        <v>112.74</v>
      </c>
      <c r="C859" s="52">
        <v>109.84099999999999</v>
      </c>
      <c r="D859" s="52">
        <v>111.91</v>
      </c>
      <c r="E859" s="52">
        <v>41481840</v>
      </c>
      <c r="F859" s="52" t="s">
        <v>1407</v>
      </c>
      <c r="G859" s="25">
        <f t="shared" si="11"/>
        <v>-1.14145295326602E-2</v>
      </c>
    </row>
    <row r="860" spans="1:7">
      <c r="A860" s="52">
        <v>114.2891</v>
      </c>
      <c r="B860" s="52">
        <v>117.73609999999999</v>
      </c>
      <c r="C860" s="52">
        <v>114.2299</v>
      </c>
      <c r="D860" s="52">
        <v>115.774</v>
      </c>
      <c r="E860" s="52">
        <v>25797960</v>
      </c>
      <c r="F860" s="52" t="s">
        <v>1406</v>
      </c>
      <c r="G860" s="25">
        <f t="shared" si="11"/>
        <v>-1.2825850363639479E-2</v>
      </c>
    </row>
    <row r="861" spans="1:7">
      <c r="A861" s="52">
        <v>116.63639999999999</v>
      </c>
      <c r="B861" s="52">
        <v>118.0063</v>
      </c>
      <c r="C861" s="52">
        <v>116.04519999999999</v>
      </c>
      <c r="D861" s="52">
        <v>116.2059</v>
      </c>
      <c r="E861" s="52">
        <v>26107740</v>
      </c>
      <c r="F861" s="52" t="s">
        <v>1405</v>
      </c>
      <c r="G861" s="25">
        <f t="shared" si="11"/>
        <v>3.7046311762138906E-3</v>
      </c>
    </row>
    <row r="862" spans="1:7">
      <c r="A862" s="52">
        <v>116.5921</v>
      </c>
      <c r="B862" s="52">
        <v>117.131</v>
      </c>
      <c r="C862" s="52">
        <v>114.5046</v>
      </c>
      <c r="D862" s="52">
        <v>114.931</v>
      </c>
      <c r="E862" s="52">
        <v>31590460</v>
      </c>
      <c r="F862" s="52" t="s">
        <v>1404</v>
      </c>
      <c r="G862" s="25">
        <f t="shared" si="11"/>
        <v>1.4453019637869824E-2</v>
      </c>
    </row>
    <row r="863" spans="1:7">
      <c r="A863" s="52">
        <v>116.2646</v>
      </c>
      <c r="B863" s="52">
        <v>118.7791</v>
      </c>
      <c r="C863" s="52">
        <v>115.6113</v>
      </c>
      <c r="D863" s="52">
        <v>116.14919999999999</v>
      </c>
      <c r="E863" s="52">
        <v>33541540</v>
      </c>
      <c r="F863" s="52" t="s">
        <v>1403</v>
      </c>
      <c r="G863" s="25">
        <f t="shared" si="11"/>
        <v>9.935496757620399E-4</v>
      </c>
    </row>
    <row r="864" spans="1:7">
      <c r="A864" s="52">
        <v>113.996</v>
      </c>
      <c r="B864" s="52">
        <v>115.7681</v>
      </c>
      <c r="C864" s="52">
        <v>112.97839999999999</v>
      </c>
      <c r="D864" s="52">
        <v>115.5103</v>
      </c>
      <c r="E864" s="52">
        <v>26135460</v>
      </c>
      <c r="F864" s="52" t="s">
        <v>1402</v>
      </c>
      <c r="G864" s="25">
        <f t="shared" si="11"/>
        <v>-1.3109653424846157E-2</v>
      </c>
    </row>
    <row r="865" spans="1:7">
      <c r="A865" s="52">
        <v>117.0628</v>
      </c>
      <c r="B865" s="52">
        <v>117.3385</v>
      </c>
      <c r="C865" s="52">
        <v>112.4091</v>
      </c>
      <c r="D865" s="52">
        <v>113.4576</v>
      </c>
      <c r="E865" s="52">
        <v>37992280</v>
      </c>
      <c r="F865" s="52" t="s">
        <v>1401</v>
      </c>
      <c r="G865" s="25">
        <f t="shared" si="11"/>
        <v>3.1775747063220061E-2</v>
      </c>
    </row>
    <row r="866" spans="1:7">
      <c r="A866" s="52">
        <v>113.3501</v>
      </c>
      <c r="B866" s="52">
        <v>116.5444</v>
      </c>
      <c r="C866" s="52">
        <v>112.7111</v>
      </c>
      <c r="D866" s="52">
        <v>114.3085</v>
      </c>
      <c r="E866" s="52">
        <v>36605520</v>
      </c>
      <c r="F866" s="52" t="s">
        <v>1400</v>
      </c>
      <c r="G866" s="25">
        <f t="shared" si="11"/>
        <v>-8.3843283745302921E-3</v>
      </c>
    </row>
    <row r="867" spans="1:7">
      <c r="A867" s="52">
        <v>113.22069999999999</v>
      </c>
      <c r="B867" s="52">
        <v>115.18429999999999</v>
      </c>
      <c r="C867" s="52">
        <v>111.54519999999999</v>
      </c>
      <c r="D867" s="52">
        <v>112.21</v>
      </c>
      <c r="E867" s="52">
        <v>50012260</v>
      </c>
      <c r="F867" s="52" t="s">
        <v>1399</v>
      </c>
      <c r="G867" s="25">
        <f t="shared" si="11"/>
        <v>9.0072186079672711E-3</v>
      </c>
    </row>
    <row r="868" spans="1:7">
      <c r="A868" s="52">
        <v>111.7821</v>
      </c>
      <c r="B868" s="52">
        <v>111.78360000000001</v>
      </c>
      <c r="C868" s="52">
        <v>108.6189</v>
      </c>
      <c r="D868" s="52">
        <v>108.96210000000001</v>
      </c>
      <c r="E868" s="52">
        <v>37914120</v>
      </c>
      <c r="F868" s="52" t="s">
        <v>1398</v>
      </c>
      <c r="G868" s="25">
        <f t="shared" si="11"/>
        <v>2.5880558469412618E-2</v>
      </c>
    </row>
    <row r="869" spans="1:7">
      <c r="A869" s="52">
        <v>107.2796</v>
      </c>
      <c r="B869" s="52">
        <v>108.13249999999999</v>
      </c>
      <c r="C869" s="52">
        <v>104.7242</v>
      </c>
      <c r="D869" s="52">
        <v>105.1742</v>
      </c>
      <c r="E869" s="52">
        <v>37947220</v>
      </c>
      <c r="F869" s="52" t="s">
        <v>1397</v>
      </c>
      <c r="G869" s="25">
        <f t="shared" si="11"/>
        <v>2.001821739552101E-2</v>
      </c>
    </row>
    <row r="870" spans="1:7">
      <c r="A870" s="52">
        <v>105.30159999999999</v>
      </c>
      <c r="B870" s="52">
        <v>105.9933</v>
      </c>
      <c r="C870" s="52">
        <v>103.3623</v>
      </c>
      <c r="D870" s="52">
        <v>104.486</v>
      </c>
      <c r="E870" s="52">
        <v>40257340</v>
      </c>
      <c r="F870" s="52" t="s">
        <v>1396</v>
      </c>
      <c r="G870" s="25">
        <f t="shared" si="11"/>
        <v>7.8058304461841033E-3</v>
      </c>
    </row>
    <row r="871" spans="1:7">
      <c r="A871" s="52">
        <v>105.4658</v>
      </c>
      <c r="B871" s="52">
        <v>105.9517</v>
      </c>
      <c r="C871" s="52">
        <v>101.3999</v>
      </c>
      <c r="D871" s="52">
        <v>105.2687</v>
      </c>
      <c r="E871" s="52">
        <v>76779780</v>
      </c>
      <c r="F871" s="52" t="s">
        <v>1395</v>
      </c>
      <c r="G871" s="25">
        <f t="shared" si="11"/>
        <v>1.8723514206977487E-3</v>
      </c>
    </row>
    <row r="872" spans="1:7">
      <c r="A872" s="52">
        <v>110.9575</v>
      </c>
      <c r="B872" s="52">
        <v>111.6139</v>
      </c>
      <c r="C872" s="52">
        <v>108.2236</v>
      </c>
      <c r="D872" s="52">
        <v>109.06610000000001</v>
      </c>
      <c r="E872" s="52">
        <v>37184940</v>
      </c>
      <c r="F872" s="52" t="s">
        <v>1394</v>
      </c>
      <c r="G872" s="25">
        <f t="shared" si="11"/>
        <v>1.7341777142485082E-2</v>
      </c>
    </row>
    <row r="873" spans="1:7">
      <c r="A873" s="52">
        <v>108.38979999999999</v>
      </c>
      <c r="B873" s="52">
        <v>111.6497</v>
      </c>
      <c r="C873" s="52">
        <v>105.29300000000001</v>
      </c>
      <c r="D873" s="52">
        <v>111.4183</v>
      </c>
      <c r="E873" s="52">
        <v>48962960</v>
      </c>
      <c r="F873" s="52" t="s">
        <v>1393</v>
      </c>
      <c r="G873" s="25">
        <f t="shared" si="11"/>
        <v>-2.7181351716908386E-2</v>
      </c>
    </row>
    <row r="874" spans="1:7">
      <c r="A874" s="52">
        <v>109.8588</v>
      </c>
      <c r="B874" s="52">
        <v>112.4723</v>
      </c>
      <c r="C874" s="52">
        <v>109.4766</v>
      </c>
      <c r="D874" s="52">
        <v>110.90130000000001</v>
      </c>
      <c r="E874" s="52">
        <v>34144400</v>
      </c>
      <c r="F874" s="52" t="s">
        <v>1392</v>
      </c>
      <c r="G874" s="25">
        <f t="shared" si="11"/>
        <v>-9.4002504930059683E-3</v>
      </c>
    </row>
    <row r="875" spans="1:7">
      <c r="A875" s="52">
        <v>111.36709999999999</v>
      </c>
      <c r="B875" s="52">
        <v>114.8509</v>
      </c>
      <c r="C875" s="52">
        <v>111.0247</v>
      </c>
      <c r="D875" s="52">
        <v>114.4528</v>
      </c>
      <c r="E875" s="52">
        <v>35125980</v>
      </c>
      <c r="F875" s="52" t="s">
        <v>1391</v>
      </c>
      <c r="G875" s="25">
        <f t="shared" si="11"/>
        <v>-2.6960458809220933E-2</v>
      </c>
    </row>
    <row r="876" spans="1:7">
      <c r="A876" s="52">
        <v>115.9188</v>
      </c>
      <c r="B876" s="52">
        <v>116.3438</v>
      </c>
      <c r="C876" s="52">
        <v>114.3232</v>
      </c>
      <c r="D876" s="52">
        <v>116.28449999999999</v>
      </c>
      <c r="E876" s="52">
        <v>23053160</v>
      </c>
      <c r="F876" s="52" t="s">
        <v>1390</v>
      </c>
      <c r="G876" s="25">
        <f t="shared" si="11"/>
        <v>-3.1448731344245751E-3</v>
      </c>
    </row>
    <row r="877" spans="1:7">
      <c r="A877" s="52">
        <v>113.9004</v>
      </c>
      <c r="B877" s="52">
        <v>115.6172</v>
      </c>
      <c r="C877" s="52">
        <v>113.3476</v>
      </c>
      <c r="D877" s="52">
        <v>114.4085</v>
      </c>
      <c r="E877" s="52">
        <v>25990440</v>
      </c>
      <c r="F877" s="52" t="s">
        <v>1389</v>
      </c>
      <c r="G877" s="25">
        <f t="shared" si="11"/>
        <v>-4.4411035893312523E-3</v>
      </c>
    </row>
    <row r="878" spans="1:7">
      <c r="A878" s="52">
        <v>115.4983</v>
      </c>
      <c r="B878" s="52">
        <v>117.3141</v>
      </c>
      <c r="C878" s="52">
        <v>113.06440000000001</v>
      </c>
      <c r="D878" s="52">
        <v>113.988</v>
      </c>
      <c r="E878" s="52">
        <v>35038480</v>
      </c>
      <c r="F878" s="52" t="s">
        <v>1388</v>
      </c>
      <c r="G878" s="25">
        <f t="shared" si="11"/>
        <v>1.3249640313015343E-2</v>
      </c>
    </row>
    <row r="879" spans="1:7">
      <c r="A879" s="52">
        <v>112.30710000000001</v>
      </c>
      <c r="B879" s="52">
        <v>113.7512</v>
      </c>
      <c r="C879" s="52">
        <v>109.3019</v>
      </c>
      <c r="D879" s="52">
        <v>110.8475</v>
      </c>
      <c r="E879" s="52">
        <v>53836180</v>
      </c>
      <c r="F879" s="52" t="s">
        <v>1387</v>
      </c>
      <c r="G879" s="25">
        <f t="shared" si="11"/>
        <v>1.3167640226437349E-2</v>
      </c>
    </row>
    <row r="880" spans="1:7">
      <c r="A880" s="52">
        <v>113.062</v>
      </c>
      <c r="B880" s="52">
        <v>115.8107</v>
      </c>
      <c r="C880" s="52">
        <v>112.6977</v>
      </c>
      <c r="D880" s="52">
        <v>112.6977</v>
      </c>
      <c r="E880" s="52">
        <v>37534740</v>
      </c>
      <c r="F880" s="52" t="s">
        <v>1386</v>
      </c>
      <c r="G880" s="25">
        <f t="shared" si="11"/>
        <v>3.2325415691714099E-3</v>
      </c>
    </row>
    <row r="881" spans="1:7">
      <c r="A881" s="52">
        <v>113.8507</v>
      </c>
      <c r="B881" s="52">
        <v>115.6969</v>
      </c>
      <c r="C881" s="52">
        <v>112.3633</v>
      </c>
      <c r="D881" s="52">
        <v>114.9579</v>
      </c>
      <c r="E881" s="52">
        <v>39900380</v>
      </c>
      <c r="F881" s="52" t="s">
        <v>1385</v>
      </c>
      <c r="G881" s="25">
        <f t="shared" si="11"/>
        <v>-9.6313519992970997E-3</v>
      </c>
    </row>
    <row r="882" spans="1:7">
      <c r="A882" s="52">
        <v>111.9756</v>
      </c>
      <c r="B882" s="52">
        <v>114.5295</v>
      </c>
      <c r="C882" s="52">
        <v>111.4676</v>
      </c>
      <c r="D882" s="52">
        <v>112.7111</v>
      </c>
      <c r="E882" s="52">
        <v>40802860</v>
      </c>
      <c r="F882" s="52" t="s">
        <v>1384</v>
      </c>
      <c r="G882" s="25">
        <f t="shared" si="11"/>
        <v>-6.525532977674775E-3</v>
      </c>
    </row>
    <row r="883" spans="1:7">
      <c r="A883" s="52">
        <v>115.19580000000001</v>
      </c>
      <c r="B883" s="52">
        <v>117.0121</v>
      </c>
      <c r="C883" s="52">
        <v>113.473</v>
      </c>
      <c r="D883" s="52">
        <v>114.63639999999999</v>
      </c>
      <c r="E883" s="52">
        <v>39709580</v>
      </c>
      <c r="F883" s="52" t="s">
        <v>1383</v>
      </c>
      <c r="G883" s="25">
        <f t="shared" si="11"/>
        <v>4.8797764060979354E-3</v>
      </c>
    </row>
    <row r="884" spans="1:7">
      <c r="A884" s="52">
        <v>115.9511</v>
      </c>
      <c r="B884" s="52">
        <v>120.4631</v>
      </c>
      <c r="C884" s="52">
        <v>114.4585</v>
      </c>
      <c r="D884" s="52">
        <v>119.63200000000001</v>
      </c>
      <c r="E884" s="52">
        <v>45840580</v>
      </c>
      <c r="F884" s="52" t="s">
        <v>1382</v>
      </c>
      <c r="G884" s="25">
        <f t="shared" si="11"/>
        <v>-3.076852347198078E-2</v>
      </c>
    </row>
    <row r="885" spans="1:7">
      <c r="A885" s="52">
        <v>121.6793</v>
      </c>
      <c r="B885" s="52">
        <v>122.26990000000001</v>
      </c>
      <c r="C885" s="52">
        <v>114.56829999999999</v>
      </c>
      <c r="D885" s="52">
        <v>116.4746</v>
      </c>
      <c r="E885" s="52">
        <v>49915280</v>
      </c>
      <c r="F885" s="52" t="s">
        <v>1381</v>
      </c>
      <c r="G885" s="25">
        <f t="shared" si="11"/>
        <v>4.4685279022207425E-2</v>
      </c>
    </row>
    <row r="886" spans="1:7">
      <c r="A886" s="52">
        <v>116.7757</v>
      </c>
      <c r="B886" s="52">
        <v>117.87820000000001</v>
      </c>
      <c r="C886" s="52">
        <v>115.4824</v>
      </c>
      <c r="D886" s="52">
        <v>115.87649999999999</v>
      </c>
      <c r="E886" s="52">
        <v>24967360</v>
      </c>
      <c r="F886" s="52" t="s">
        <v>1380</v>
      </c>
      <c r="G886" s="25">
        <f t="shared" si="11"/>
        <v>7.7599858470009941E-3</v>
      </c>
    </row>
    <row r="887" spans="1:7">
      <c r="A887" s="52">
        <v>116.0283</v>
      </c>
      <c r="B887" s="52">
        <v>116.19</v>
      </c>
      <c r="C887" s="52">
        <v>112.0642</v>
      </c>
      <c r="D887" s="52">
        <v>112.86539999999999</v>
      </c>
      <c r="E887" s="52">
        <v>35533020</v>
      </c>
      <c r="F887" s="52" t="s">
        <v>1379</v>
      </c>
      <c r="G887" s="25">
        <f t="shared" si="11"/>
        <v>2.8023645864897473E-2</v>
      </c>
    </row>
    <row r="888" spans="1:7">
      <c r="A888" s="52">
        <v>113.5665</v>
      </c>
      <c r="B888" s="52">
        <v>117.3587</v>
      </c>
      <c r="C888" s="52">
        <v>113.27290000000001</v>
      </c>
      <c r="D888" s="52">
        <v>116.17910000000001</v>
      </c>
      <c r="E888" s="52">
        <v>42676000</v>
      </c>
      <c r="F888" s="52" t="s">
        <v>1378</v>
      </c>
      <c r="G888" s="25">
        <f t="shared" si="11"/>
        <v>-2.248769356966962E-2</v>
      </c>
    </row>
    <row r="889" spans="1:7">
      <c r="A889" s="52">
        <v>117.9585</v>
      </c>
      <c r="B889" s="52">
        <v>119.0802</v>
      </c>
      <c r="C889" s="52">
        <v>113.572</v>
      </c>
      <c r="D889" s="52">
        <v>115.86109999999999</v>
      </c>
      <c r="E889" s="52">
        <v>48884640</v>
      </c>
      <c r="F889" s="52" t="s">
        <v>1377</v>
      </c>
      <c r="G889" s="25">
        <f t="shared" si="11"/>
        <v>1.8102710918505016E-2</v>
      </c>
    </row>
    <row r="890" spans="1:7">
      <c r="A890" s="52">
        <v>113.75069999999999</v>
      </c>
      <c r="B890" s="52">
        <v>116.6841</v>
      </c>
      <c r="C890" s="52">
        <v>112.20010000000001</v>
      </c>
      <c r="D890" s="52">
        <v>113.9246</v>
      </c>
      <c r="E890" s="52">
        <v>91820580</v>
      </c>
      <c r="F890" s="52" t="s">
        <v>1376</v>
      </c>
      <c r="G890" s="25">
        <f t="shared" si="11"/>
        <v>-1.5264481946831721E-3</v>
      </c>
    </row>
    <row r="891" spans="1:7">
      <c r="A891" s="52">
        <v>118.08540000000001</v>
      </c>
      <c r="B891" s="52">
        <v>121.9271</v>
      </c>
      <c r="C891" s="52">
        <v>117.94710000000001</v>
      </c>
      <c r="D891" s="52">
        <v>121.71259999999999</v>
      </c>
      <c r="E891" s="52">
        <v>73054880</v>
      </c>
      <c r="F891" s="52" t="s">
        <v>1375</v>
      </c>
      <c r="G891" s="25">
        <f t="shared" ref="G891:G954" si="12">A891/D891-1</f>
        <v>-2.9801351708861556E-2</v>
      </c>
    </row>
    <row r="892" spans="1:7">
      <c r="A892" s="52">
        <v>122.4884</v>
      </c>
      <c r="B892" s="52">
        <v>122.6909</v>
      </c>
      <c r="C892" s="52">
        <v>117.94710000000001</v>
      </c>
      <c r="D892" s="52">
        <v>118.5343</v>
      </c>
      <c r="E892" s="52">
        <v>46128260</v>
      </c>
      <c r="F892" s="52" t="s">
        <v>1374</v>
      </c>
      <c r="G892" s="25">
        <f t="shared" si="12"/>
        <v>3.335827688694315E-2</v>
      </c>
    </row>
    <row r="893" spans="1:7">
      <c r="A893" s="52">
        <v>119.06619999999999</v>
      </c>
      <c r="B893" s="52">
        <v>124.8053</v>
      </c>
      <c r="C893" s="52">
        <v>118.3591</v>
      </c>
      <c r="D893" s="52">
        <v>124.40519999999999</v>
      </c>
      <c r="E893" s="52">
        <v>56883720</v>
      </c>
      <c r="F893" s="52" t="s">
        <v>1373</v>
      </c>
      <c r="G893" s="25">
        <f t="shared" si="12"/>
        <v>-4.2916212505586526E-2</v>
      </c>
    </row>
    <row r="894" spans="1:7">
      <c r="A894" s="52">
        <v>124.2206</v>
      </c>
      <c r="B894" s="52">
        <v>129.4795</v>
      </c>
      <c r="C894" s="52">
        <v>123.934</v>
      </c>
      <c r="D894" s="52">
        <v>128.63499999999999</v>
      </c>
      <c r="E894" s="52">
        <v>36445160</v>
      </c>
      <c r="F894" s="52" t="s">
        <v>1372</v>
      </c>
      <c r="G894" s="25">
        <f t="shared" si="12"/>
        <v>-3.4317254246511331E-2</v>
      </c>
    </row>
    <row r="895" spans="1:7">
      <c r="A895" s="52">
        <v>127.4308</v>
      </c>
      <c r="B895" s="52">
        <v>130.77379999999999</v>
      </c>
      <c r="C895" s="52">
        <v>126.8933</v>
      </c>
      <c r="D895" s="52">
        <v>130.26920000000001</v>
      </c>
      <c r="E895" s="52">
        <v>31695460</v>
      </c>
      <c r="F895" s="52" t="s">
        <v>1371</v>
      </c>
      <c r="G895" s="25">
        <f t="shared" si="12"/>
        <v>-2.1788726728958263E-2</v>
      </c>
    </row>
    <row r="896" spans="1:7">
      <c r="A896" s="52">
        <v>129.3904</v>
      </c>
      <c r="B896" s="52">
        <v>129.71279999999999</v>
      </c>
      <c r="C896" s="52">
        <v>126.3952</v>
      </c>
      <c r="D896" s="52">
        <v>127.0839</v>
      </c>
      <c r="E896" s="52">
        <v>26489760</v>
      </c>
      <c r="F896" s="52" t="s">
        <v>1370</v>
      </c>
      <c r="G896" s="25">
        <f t="shared" si="12"/>
        <v>1.8149427268127516E-2</v>
      </c>
    </row>
    <row r="897" spans="1:7">
      <c r="A897" s="52">
        <v>127.069</v>
      </c>
      <c r="B897" s="52">
        <v>127.6024</v>
      </c>
      <c r="C897" s="52">
        <v>125.58159999999999</v>
      </c>
      <c r="D897" s="52">
        <v>126.39570000000001</v>
      </c>
      <c r="E897" s="52">
        <v>20808660</v>
      </c>
      <c r="F897" s="52" t="s">
        <v>1369</v>
      </c>
      <c r="G897" s="25">
        <f t="shared" si="12"/>
        <v>5.3269217228117949E-3</v>
      </c>
    </row>
    <row r="898" spans="1:7">
      <c r="A898" s="52">
        <v>126.127</v>
      </c>
      <c r="B898" s="52">
        <v>129.8587</v>
      </c>
      <c r="C898" s="52">
        <v>125.9986</v>
      </c>
      <c r="D898" s="52">
        <v>129.8587</v>
      </c>
      <c r="E898" s="52">
        <v>31597980</v>
      </c>
      <c r="F898" s="52" t="s">
        <v>1368</v>
      </c>
      <c r="G898" s="25">
        <f t="shared" si="12"/>
        <v>-2.8736619109847927E-2</v>
      </c>
    </row>
    <row r="899" spans="1:7">
      <c r="A899" s="52">
        <v>129.27590000000001</v>
      </c>
      <c r="B899" s="52">
        <v>129.71379999999999</v>
      </c>
      <c r="C899" s="52">
        <v>127.13339999999999</v>
      </c>
      <c r="D899" s="52">
        <v>127.39100000000001</v>
      </c>
      <c r="E899" s="52">
        <v>27927240</v>
      </c>
      <c r="F899" s="52" t="s">
        <v>1367</v>
      </c>
      <c r="G899" s="25">
        <f t="shared" si="12"/>
        <v>1.4796178693942341E-2</v>
      </c>
    </row>
    <row r="900" spans="1:7">
      <c r="A900" s="52">
        <v>127.10680000000001</v>
      </c>
      <c r="B900" s="52">
        <v>130.97380000000001</v>
      </c>
      <c r="C900" s="52">
        <v>126.1857</v>
      </c>
      <c r="D900" s="52">
        <v>130.97380000000001</v>
      </c>
      <c r="E900" s="52">
        <v>32710700</v>
      </c>
      <c r="F900" s="52" t="s">
        <v>1366</v>
      </c>
      <c r="G900" s="25">
        <f t="shared" si="12"/>
        <v>-2.952498896725908E-2</v>
      </c>
    </row>
    <row r="901" spans="1:7">
      <c r="A901" s="52">
        <v>128.2105</v>
      </c>
      <c r="B901" s="52">
        <v>131.464</v>
      </c>
      <c r="C901" s="52">
        <v>128.05629999999999</v>
      </c>
      <c r="D901" s="52">
        <v>131.19630000000001</v>
      </c>
      <c r="E901" s="52">
        <v>36883060</v>
      </c>
      <c r="F901" s="52" t="s">
        <v>1365</v>
      </c>
      <c r="G901" s="25">
        <f t="shared" si="12"/>
        <v>-2.2758263762011621E-2</v>
      </c>
    </row>
    <row r="902" spans="1:7">
      <c r="A902" s="52">
        <v>132.6533</v>
      </c>
      <c r="B902" s="52">
        <v>135.02449999999999</v>
      </c>
      <c r="C902" s="52">
        <v>132.33279999999999</v>
      </c>
      <c r="D902" s="52">
        <v>134.9384</v>
      </c>
      <c r="E902" s="52">
        <v>25142800</v>
      </c>
      <c r="F902" s="52" t="s">
        <v>1364</v>
      </c>
      <c r="G902" s="25">
        <f t="shared" si="12"/>
        <v>-1.6934393767822908E-2</v>
      </c>
    </row>
    <row r="903" spans="1:7">
      <c r="A903" s="52">
        <v>135.24189999999999</v>
      </c>
      <c r="B903" s="52">
        <v>136.51179999999999</v>
      </c>
      <c r="C903" s="52">
        <v>133.58869999999999</v>
      </c>
      <c r="D903" s="52">
        <v>135.36279999999999</v>
      </c>
      <c r="E903" s="52">
        <v>26233600</v>
      </c>
      <c r="F903" s="52" t="s">
        <v>1363</v>
      </c>
      <c r="G903" s="25">
        <f t="shared" si="12"/>
        <v>-8.9315528343092421E-4</v>
      </c>
    </row>
    <row r="904" spans="1:7">
      <c r="A904" s="52">
        <v>135.89830000000001</v>
      </c>
      <c r="B904" s="52">
        <v>138.69739999999999</v>
      </c>
      <c r="C904" s="52">
        <v>134.87219999999999</v>
      </c>
      <c r="D904" s="52">
        <v>138.0898</v>
      </c>
      <c r="E904" s="52">
        <v>32468480</v>
      </c>
      <c r="F904" s="52" t="s">
        <v>1362</v>
      </c>
      <c r="G904" s="25">
        <f t="shared" si="12"/>
        <v>-1.5870107712517401E-2</v>
      </c>
    </row>
    <row r="905" spans="1:7">
      <c r="A905" s="52">
        <v>139.922</v>
      </c>
      <c r="B905" s="52">
        <v>142.31010000000001</v>
      </c>
      <c r="C905" s="52">
        <v>139.71449999999999</v>
      </c>
      <c r="D905" s="52">
        <v>142.1892</v>
      </c>
      <c r="E905" s="52">
        <v>21418120</v>
      </c>
      <c r="F905" s="52" t="s">
        <v>1361</v>
      </c>
      <c r="G905" s="25">
        <f t="shared" si="12"/>
        <v>-1.5944952218593267E-2</v>
      </c>
    </row>
    <row r="906" spans="1:7">
      <c r="A906" s="52">
        <v>142.2912</v>
      </c>
      <c r="B906" s="52">
        <v>143.0282</v>
      </c>
      <c r="C906" s="52">
        <v>139.6429</v>
      </c>
      <c r="D906" s="52">
        <v>139.69059999999999</v>
      </c>
      <c r="E906" s="52">
        <v>25970840</v>
      </c>
      <c r="F906" s="52" t="s">
        <v>1360</v>
      </c>
      <c r="G906" s="25">
        <f t="shared" si="12"/>
        <v>1.8616857540879828E-2</v>
      </c>
    </row>
    <row r="907" spans="1:7">
      <c r="A907" s="52">
        <v>139.4836</v>
      </c>
      <c r="B907" s="52">
        <v>139.80240000000001</v>
      </c>
      <c r="C907" s="52">
        <v>137.64940000000001</v>
      </c>
      <c r="D907" s="52">
        <v>138.83619999999999</v>
      </c>
      <c r="E907" s="52">
        <v>25941440</v>
      </c>
      <c r="F907" s="52" t="s">
        <v>1359</v>
      </c>
      <c r="G907" s="25">
        <f t="shared" si="12"/>
        <v>4.6630489742589543E-3</v>
      </c>
    </row>
    <row r="908" spans="1:7">
      <c r="A908" s="52">
        <v>138.4058</v>
      </c>
      <c r="B908" s="52">
        <v>141.4316</v>
      </c>
      <c r="C908" s="52">
        <v>138.363</v>
      </c>
      <c r="D908" s="52">
        <v>141.37710000000001</v>
      </c>
      <c r="E908" s="52">
        <v>37524720</v>
      </c>
      <c r="F908" s="52" t="s">
        <v>1358</v>
      </c>
      <c r="G908" s="25">
        <f t="shared" si="12"/>
        <v>-2.1016840775486378E-2</v>
      </c>
    </row>
    <row r="909" spans="1:7">
      <c r="A909" s="52">
        <v>141.26310000000001</v>
      </c>
      <c r="B909" s="52">
        <v>142.0412</v>
      </c>
      <c r="C909" s="52">
        <v>140.92619999999999</v>
      </c>
      <c r="D909" s="52">
        <v>141.78210000000001</v>
      </c>
      <c r="E909" s="52">
        <v>19884760</v>
      </c>
      <c r="F909" s="52" t="s">
        <v>1357</v>
      </c>
      <c r="G909" s="25">
        <f t="shared" si="12"/>
        <v>-3.660546712173196E-3</v>
      </c>
    </row>
    <row r="910" spans="1:7">
      <c r="A910" s="52">
        <v>141.82740000000001</v>
      </c>
      <c r="B910" s="52">
        <v>143.10929999999999</v>
      </c>
      <c r="C910" s="52">
        <v>141.36240000000001</v>
      </c>
      <c r="D910" s="52">
        <v>141.96879999999999</v>
      </c>
      <c r="E910" s="52">
        <v>34317020</v>
      </c>
      <c r="F910" s="52" t="s">
        <v>1356</v>
      </c>
      <c r="G910" s="25">
        <f t="shared" si="12"/>
        <v>-9.9599348589252124E-4</v>
      </c>
    </row>
    <row r="911" spans="1:7">
      <c r="A911" s="52">
        <v>140.7824</v>
      </c>
      <c r="B911" s="52">
        <v>141.32679999999999</v>
      </c>
      <c r="C911" s="52">
        <v>139.14599999999999</v>
      </c>
      <c r="D911" s="52">
        <v>140.23009999999999</v>
      </c>
      <c r="E911" s="52">
        <v>35049260</v>
      </c>
      <c r="F911" s="52" t="s">
        <v>1355</v>
      </c>
      <c r="G911" s="25">
        <f t="shared" si="12"/>
        <v>3.9385267499632004E-3</v>
      </c>
    </row>
    <row r="912" spans="1:7">
      <c r="A912" s="52">
        <v>140.99889999999999</v>
      </c>
      <c r="B912" s="52">
        <v>141.35919999999999</v>
      </c>
      <c r="C912" s="52">
        <v>139.07259999999999</v>
      </c>
      <c r="D912" s="52">
        <v>141.2407</v>
      </c>
      <c r="E912" s="52">
        <v>24143080</v>
      </c>
      <c r="F912" s="52" t="s">
        <v>1354</v>
      </c>
      <c r="G912" s="25">
        <f t="shared" si="12"/>
        <v>-1.7119711244706348E-3</v>
      </c>
    </row>
    <row r="913" spans="1:7">
      <c r="A913" s="52">
        <v>140.89840000000001</v>
      </c>
      <c r="B913" s="52">
        <v>140.94489999999999</v>
      </c>
      <c r="C913" s="52">
        <v>137.0951</v>
      </c>
      <c r="D913" s="52">
        <v>138.5377</v>
      </c>
      <c r="E913" s="52">
        <v>26396560</v>
      </c>
      <c r="F913" s="52" t="s">
        <v>1353</v>
      </c>
      <c r="G913" s="25">
        <f t="shared" si="12"/>
        <v>1.7040126983485449E-2</v>
      </c>
    </row>
    <row r="914" spans="1:7">
      <c r="A914" s="52">
        <v>137.61760000000001</v>
      </c>
      <c r="B914" s="52">
        <v>138.92429999999999</v>
      </c>
      <c r="C914" s="52">
        <v>137.17920000000001</v>
      </c>
      <c r="D914" s="52">
        <v>138.04249999999999</v>
      </c>
      <c r="E914" s="52">
        <v>25153400</v>
      </c>
      <c r="F914" s="52" t="s">
        <v>1352</v>
      </c>
      <c r="G914" s="25">
        <f t="shared" si="12"/>
        <v>-3.0780375608959742E-3</v>
      </c>
    </row>
    <row r="915" spans="1:7">
      <c r="A915" s="52">
        <v>139.20249999999999</v>
      </c>
      <c r="B915" s="52">
        <v>140.37889999999999</v>
      </c>
      <c r="C915" s="52">
        <v>135.4539</v>
      </c>
      <c r="D915" s="52">
        <v>135.4539</v>
      </c>
      <c r="E915" s="52">
        <v>35495540</v>
      </c>
      <c r="F915" s="52" t="s">
        <v>1351</v>
      </c>
      <c r="G915" s="25">
        <f t="shared" si="12"/>
        <v>2.7674360059031011E-2</v>
      </c>
    </row>
    <row r="916" spans="1:7">
      <c r="A916" s="52">
        <v>135.4539</v>
      </c>
      <c r="B916" s="52">
        <v>136.39789999999999</v>
      </c>
      <c r="C916" s="52">
        <v>133.45419999999999</v>
      </c>
      <c r="D916" s="52">
        <v>135.51560000000001</v>
      </c>
      <c r="E916" s="52">
        <v>26831680</v>
      </c>
      <c r="F916" s="52" t="s">
        <v>1350</v>
      </c>
      <c r="G916" s="25">
        <f t="shared" si="12"/>
        <v>-4.5529813541766995E-4</v>
      </c>
    </row>
    <row r="917" spans="1:7">
      <c r="A917" s="52">
        <v>135.4778</v>
      </c>
      <c r="B917" s="52">
        <v>135.59569999999999</v>
      </c>
      <c r="C917" s="52">
        <v>131.62889999999999</v>
      </c>
      <c r="D917" s="52">
        <v>132.78960000000001</v>
      </c>
      <c r="E917" s="52">
        <v>44566900</v>
      </c>
      <c r="F917" s="52" t="s">
        <v>1349</v>
      </c>
      <c r="G917" s="25">
        <f t="shared" si="12"/>
        <v>2.02440552573393E-2</v>
      </c>
    </row>
    <row r="918" spans="1:7">
      <c r="A918" s="52">
        <v>133.2022</v>
      </c>
      <c r="B918" s="52">
        <v>133.44239999999999</v>
      </c>
      <c r="C918" s="52">
        <v>131.55600000000001</v>
      </c>
      <c r="D918" s="52">
        <v>132.5155</v>
      </c>
      <c r="E918" s="52">
        <v>28263920</v>
      </c>
      <c r="F918" s="52" t="s">
        <v>1348</v>
      </c>
      <c r="G918" s="25">
        <f t="shared" si="12"/>
        <v>5.1820353090770155E-3</v>
      </c>
    </row>
    <row r="919" spans="1:7">
      <c r="A919" s="52">
        <v>132.6463</v>
      </c>
      <c r="B919" s="52">
        <v>132.6986</v>
      </c>
      <c r="C919" s="52">
        <v>128.12200000000001</v>
      </c>
      <c r="D919" s="52">
        <v>130.11089999999999</v>
      </c>
      <c r="E919" s="52">
        <v>35576980</v>
      </c>
      <c r="F919" s="52" t="s">
        <v>1347</v>
      </c>
      <c r="G919" s="25">
        <f t="shared" si="12"/>
        <v>1.9486453479301113E-2</v>
      </c>
    </row>
    <row r="920" spans="1:7">
      <c r="A920" s="52">
        <v>128.58320000000001</v>
      </c>
      <c r="B920" s="52">
        <v>129.23660000000001</v>
      </c>
      <c r="C920" s="52">
        <v>125.1223</v>
      </c>
      <c r="D920" s="52">
        <v>126.37179999999999</v>
      </c>
      <c r="E920" s="52">
        <v>30919520</v>
      </c>
      <c r="F920" s="52" t="s">
        <v>1346</v>
      </c>
      <c r="G920" s="25">
        <f t="shared" si="12"/>
        <v>1.749915724869E-2</v>
      </c>
    </row>
    <row r="921" spans="1:7">
      <c r="A921" s="52">
        <v>125.35169999999999</v>
      </c>
      <c r="B921" s="52">
        <v>129.7885</v>
      </c>
      <c r="C921" s="52">
        <v>124.6789</v>
      </c>
      <c r="D921" s="52">
        <v>129.6302</v>
      </c>
      <c r="E921" s="52">
        <v>38811260</v>
      </c>
      <c r="F921" s="52" t="s">
        <v>1345</v>
      </c>
      <c r="G921" s="25">
        <f t="shared" si="12"/>
        <v>-3.3005426204696153E-2</v>
      </c>
    </row>
    <row r="922" spans="1:7">
      <c r="A922" s="52">
        <v>129.2525</v>
      </c>
      <c r="B922" s="52">
        <v>133.15889999999999</v>
      </c>
      <c r="C922" s="52">
        <v>129.0147</v>
      </c>
      <c r="D922" s="52">
        <v>132.85329999999999</v>
      </c>
      <c r="E922" s="52">
        <v>31526440</v>
      </c>
      <c r="F922" s="52" t="s">
        <v>1344</v>
      </c>
      <c r="G922" s="25">
        <f t="shared" si="12"/>
        <v>-2.710357966268051E-2</v>
      </c>
    </row>
    <row r="923" spans="1:7">
      <c r="A923" s="52">
        <v>131.79939999999999</v>
      </c>
      <c r="B923" s="52">
        <v>132.63759999999999</v>
      </c>
      <c r="C923" s="52">
        <v>130.28960000000001</v>
      </c>
      <c r="D923" s="52">
        <v>130.6414</v>
      </c>
      <c r="E923" s="52">
        <v>27101400</v>
      </c>
      <c r="F923" s="52" t="s">
        <v>1343</v>
      </c>
      <c r="G923" s="25">
        <f t="shared" si="12"/>
        <v>8.8639588981747064E-3</v>
      </c>
    </row>
    <row r="924" spans="1:7">
      <c r="A924" s="52">
        <v>132.7852</v>
      </c>
      <c r="B924" s="52">
        <v>133.0992</v>
      </c>
      <c r="C924" s="52">
        <v>129.2824</v>
      </c>
      <c r="D924" s="52">
        <v>130.62549999999999</v>
      </c>
      <c r="E924" s="52">
        <v>37025400</v>
      </c>
      <c r="F924" s="52" t="s">
        <v>1342</v>
      </c>
      <c r="G924" s="25">
        <f t="shared" si="12"/>
        <v>1.6533525230525647E-2</v>
      </c>
    </row>
    <row r="925" spans="1:7">
      <c r="A925" s="52">
        <v>126.4997</v>
      </c>
      <c r="B925" s="52">
        <v>130.62549999999999</v>
      </c>
      <c r="C925" s="52">
        <v>125.0767</v>
      </c>
      <c r="D925" s="52">
        <v>125.6493</v>
      </c>
      <c r="E925" s="52">
        <v>40427100</v>
      </c>
      <c r="F925" s="52" t="s">
        <v>1341</v>
      </c>
      <c r="G925" s="25">
        <f t="shared" si="12"/>
        <v>6.7680440718731472E-3</v>
      </c>
    </row>
    <row r="926" spans="1:7">
      <c r="A926" s="52">
        <v>125.77719999999999</v>
      </c>
      <c r="B926" s="52">
        <v>131.10820000000001</v>
      </c>
      <c r="C926" s="52">
        <v>125.69410000000001</v>
      </c>
      <c r="D926" s="52">
        <v>130.86240000000001</v>
      </c>
      <c r="E926" s="52">
        <v>45112940</v>
      </c>
      <c r="F926" s="52" t="s">
        <v>1340</v>
      </c>
      <c r="G926" s="25">
        <f t="shared" si="12"/>
        <v>-3.8859137536832677E-2</v>
      </c>
    </row>
    <row r="927" spans="1:7">
      <c r="A927" s="52">
        <v>131.27889999999999</v>
      </c>
      <c r="B927" s="52">
        <v>133.21459999999999</v>
      </c>
      <c r="C927" s="52">
        <v>129.71729999999999</v>
      </c>
      <c r="D927" s="52">
        <v>132.29499999999999</v>
      </c>
      <c r="E927" s="52">
        <v>30450640</v>
      </c>
      <c r="F927" s="52" t="s">
        <v>1339</v>
      </c>
      <c r="G927" s="25">
        <f t="shared" si="12"/>
        <v>-7.68056237953052E-3</v>
      </c>
    </row>
    <row r="928" spans="1:7">
      <c r="A928" s="52">
        <v>133.26240000000001</v>
      </c>
      <c r="B928" s="52">
        <v>135.7903</v>
      </c>
      <c r="C928" s="52">
        <v>132.39250000000001</v>
      </c>
      <c r="D928" s="52">
        <v>135.36279999999999</v>
      </c>
      <c r="E928" s="52">
        <v>24603240</v>
      </c>
      <c r="F928" s="52" t="s">
        <v>1338</v>
      </c>
      <c r="G928" s="25">
        <f t="shared" si="12"/>
        <v>-1.5516818505527219E-2</v>
      </c>
    </row>
    <row r="929" spans="1:7">
      <c r="A929" s="52">
        <v>133.93119999999999</v>
      </c>
      <c r="B929" s="52">
        <v>134.6189</v>
      </c>
      <c r="C929" s="52">
        <v>132.4384</v>
      </c>
      <c r="D929" s="52">
        <v>133.98740000000001</v>
      </c>
      <c r="E929" s="52">
        <v>23519800</v>
      </c>
      <c r="F929" s="52" t="s">
        <v>1337</v>
      </c>
      <c r="G929" s="25">
        <f t="shared" si="12"/>
        <v>-4.1944242518343611E-4</v>
      </c>
    </row>
    <row r="930" spans="1:7">
      <c r="A930" s="52">
        <v>133.42359999999999</v>
      </c>
      <c r="B930" s="52">
        <v>135.60720000000001</v>
      </c>
      <c r="C930" s="52">
        <v>132.58459999999999</v>
      </c>
      <c r="D930" s="52">
        <v>134.23670000000001</v>
      </c>
      <c r="E930" s="52">
        <v>26495360</v>
      </c>
      <c r="F930" s="52" t="s">
        <v>1336</v>
      </c>
      <c r="G930" s="25">
        <f t="shared" si="12"/>
        <v>-6.057210881972086E-3</v>
      </c>
    </row>
    <row r="931" spans="1:7">
      <c r="A931" s="52">
        <v>134.4144</v>
      </c>
      <c r="B931" s="52">
        <v>135.10560000000001</v>
      </c>
      <c r="C931" s="52">
        <v>131.96129999999999</v>
      </c>
      <c r="D931" s="52">
        <v>132.4169</v>
      </c>
      <c r="E931" s="52">
        <v>38864420</v>
      </c>
      <c r="F931" s="52" t="s">
        <v>1335</v>
      </c>
      <c r="G931" s="25">
        <f t="shared" si="12"/>
        <v>1.5084932512390736E-2</v>
      </c>
    </row>
    <row r="932" spans="1:7">
      <c r="A932" s="52">
        <v>133.81970000000001</v>
      </c>
      <c r="B932" s="52">
        <v>134.62790000000001</v>
      </c>
      <c r="C932" s="52">
        <v>131.12459999999999</v>
      </c>
      <c r="D932" s="52">
        <v>132.91650000000001</v>
      </c>
      <c r="E932" s="52">
        <v>36405980</v>
      </c>
      <c r="F932" s="52" t="s">
        <v>1334</v>
      </c>
      <c r="G932" s="25">
        <f t="shared" si="12"/>
        <v>6.7952436303995167E-3</v>
      </c>
    </row>
    <row r="933" spans="1:7">
      <c r="A933" s="52">
        <v>132.05959999999999</v>
      </c>
      <c r="B933" s="52">
        <v>132.3672</v>
      </c>
      <c r="C933" s="52">
        <v>124.3587</v>
      </c>
      <c r="D933" s="52">
        <v>124.3587</v>
      </c>
      <c r="E933" s="52">
        <v>54455080</v>
      </c>
      <c r="F933" s="52" t="s">
        <v>1333</v>
      </c>
      <c r="G933" s="25">
        <f t="shared" si="12"/>
        <v>6.1924899504417485E-2</v>
      </c>
    </row>
    <row r="934" spans="1:7">
      <c r="A934" s="52">
        <v>126.98090000000001</v>
      </c>
      <c r="B934" s="52">
        <v>131.42269999999999</v>
      </c>
      <c r="C934" s="52">
        <v>126.9207</v>
      </c>
      <c r="D934" s="52">
        <v>131.02209999999999</v>
      </c>
      <c r="E934" s="52">
        <v>32786020</v>
      </c>
      <c r="F934" s="52" t="s">
        <v>1332</v>
      </c>
      <c r="G934" s="25">
        <f t="shared" si="12"/>
        <v>-3.0843651567178276E-2</v>
      </c>
    </row>
    <row r="935" spans="1:7">
      <c r="A935" s="52">
        <v>129.19579999999999</v>
      </c>
      <c r="B935" s="52">
        <v>131.5513</v>
      </c>
      <c r="C935" s="52">
        <v>127.6131</v>
      </c>
      <c r="D935" s="52">
        <v>129.22030000000001</v>
      </c>
      <c r="E935" s="52">
        <v>44990740</v>
      </c>
      <c r="F935" s="52" t="s">
        <v>1331</v>
      </c>
      <c r="G935" s="25">
        <f t="shared" si="12"/>
        <v>-1.8959869308476929E-4</v>
      </c>
    </row>
    <row r="936" spans="1:7">
      <c r="A936" s="52">
        <v>129.7825</v>
      </c>
      <c r="B936" s="52">
        <v>133.43209999999999</v>
      </c>
      <c r="C936" s="52">
        <v>129.577</v>
      </c>
      <c r="D936" s="52">
        <v>132.83189999999999</v>
      </c>
      <c r="E936" s="52">
        <v>45619440</v>
      </c>
      <c r="F936" s="52" t="s">
        <v>1330</v>
      </c>
      <c r="G936" s="25">
        <f t="shared" si="12"/>
        <v>-2.2956834916913693E-2</v>
      </c>
    </row>
    <row r="937" spans="1:7">
      <c r="A937" s="52">
        <v>131.9084</v>
      </c>
      <c r="B937" s="52">
        <v>136.46109999999999</v>
      </c>
      <c r="C937" s="52">
        <v>131.84809999999999</v>
      </c>
      <c r="D937" s="52">
        <v>135.59469999999999</v>
      </c>
      <c r="E937" s="52">
        <v>38949500</v>
      </c>
      <c r="F937" s="52" t="s">
        <v>1329</v>
      </c>
      <c r="G937" s="25">
        <f t="shared" si="12"/>
        <v>-2.7186165830965336E-2</v>
      </c>
    </row>
    <row r="938" spans="1:7">
      <c r="A938" s="52">
        <v>137.08260000000001</v>
      </c>
      <c r="B938" s="52">
        <v>137.429</v>
      </c>
      <c r="C938" s="52">
        <v>134.2818</v>
      </c>
      <c r="D938" s="52">
        <v>135.99629999999999</v>
      </c>
      <c r="E938" s="52">
        <v>25021300</v>
      </c>
      <c r="F938" s="52" t="s">
        <v>1328</v>
      </c>
      <c r="G938" s="25">
        <f t="shared" si="12"/>
        <v>7.987717312897713E-3</v>
      </c>
    </row>
    <row r="939" spans="1:7">
      <c r="A939" s="52">
        <v>135.95849999999999</v>
      </c>
      <c r="B939" s="52">
        <v>137.45140000000001</v>
      </c>
      <c r="C939" s="52">
        <v>135.17519999999999</v>
      </c>
      <c r="D939" s="52">
        <v>136.91589999999999</v>
      </c>
      <c r="E939" s="52">
        <v>26711260</v>
      </c>
      <c r="F939" s="52" t="s">
        <v>1327</v>
      </c>
      <c r="G939" s="25">
        <f t="shared" si="12"/>
        <v>-6.9926137139660893E-3</v>
      </c>
    </row>
    <row r="940" spans="1:7">
      <c r="A940" s="52">
        <v>134.8811</v>
      </c>
      <c r="B940" s="52">
        <v>135.6515</v>
      </c>
      <c r="C940" s="52">
        <v>132.6224</v>
      </c>
      <c r="D940" s="52">
        <v>132.6224</v>
      </c>
      <c r="E940" s="52">
        <v>34301080</v>
      </c>
      <c r="F940" s="52" t="s">
        <v>1326</v>
      </c>
      <c r="G940" s="25">
        <f t="shared" si="12"/>
        <v>1.7031059609839749E-2</v>
      </c>
    </row>
    <row r="941" spans="1:7">
      <c r="A941" s="52">
        <v>133.64359999999999</v>
      </c>
      <c r="B941" s="52">
        <v>138.4941</v>
      </c>
      <c r="C941" s="52">
        <v>132.7653</v>
      </c>
      <c r="D941" s="52">
        <v>137.94049999999999</v>
      </c>
      <c r="E941" s="52">
        <v>39958340</v>
      </c>
      <c r="F941" s="52" t="s">
        <v>1325</v>
      </c>
      <c r="G941" s="25">
        <f t="shared" si="12"/>
        <v>-3.1150387304671123E-2</v>
      </c>
    </row>
    <row r="942" spans="1:7">
      <c r="A942" s="52">
        <v>137.96039999999999</v>
      </c>
      <c r="B942" s="52">
        <v>140.81129999999999</v>
      </c>
      <c r="C942" s="52">
        <v>137.3006</v>
      </c>
      <c r="D942" s="52">
        <v>139.03880000000001</v>
      </c>
      <c r="E942" s="52">
        <v>39330660</v>
      </c>
      <c r="F942" s="52" t="s">
        <v>1324</v>
      </c>
      <c r="G942" s="25">
        <f t="shared" si="12"/>
        <v>-7.7561083668732378E-3</v>
      </c>
    </row>
    <row r="943" spans="1:7">
      <c r="A943" s="52">
        <v>140.91829999999999</v>
      </c>
      <c r="B943" s="52">
        <v>141.84610000000001</v>
      </c>
      <c r="C943" s="52">
        <v>139.52000000000001</v>
      </c>
      <c r="D943" s="52">
        <v>140.2928</v>
      </c>
      <c r="E943" s="52">
        <v>40143880</v>
      </c>
      <c r="F943" s="52" t="s">
        <v>1323</v>
      </c>
      <c r="G943" s="25">
        <f t="shared" si="12"/>
        <v>4.4585324407238058E-3</v>
      </c>
    </row>
    <row r="944" spans="1:7">
      <c r="A944" s="52">
        <v>138.73570000000001</v>
      </c>
      <c r="B944" s="52">
        <v>139.3339</v>
      </c>
      <c r="C944" s="52">
        <v>136.36189999999999</v>
      </c>
      <c r="D944" s="52">
        <v>138.36500000000001</v>
      </c>
      <c r="E944" s="52">
        <v>54283600</v>
      </c>
      <c r="F944" s="52" t="s">
        <v>1322</v>
      </c>
      <c r="G944" s="25">
        <f t="shared" si="12"/>
        <v>2.6791457377226546E-3</v>
      </c>
    </row>
    <row r="945" spans="1:7">
      <c r="A945" s="52">
        <v>138.53870000000001</v>
      </c>
      <c r="B945" s="52">
        <v>143.56360000000001</v>
      </c>
      <c r="C945" s="52">
        <v>138.23910000000001</v>
      </c>
      <c r="D945" s="52">
        <v>143.56360000000001</v>
      </c>
      <c r="E945" s="52">
        <v>54973300</v>
      </c>
      <c r="F945" s="52" t="s">
        <v>1321</v>
      </c>
      <c r="G945" s="25">
        <f t="shared" si="12"/>
        <v>-3.5001212006386062E-2</v>
      </c>
    </row>
    <row r="946" spans="1:7">
      <c r="A946" s="52">
        <v>142.6112</v>
      </c>
      <c r="B946" s="52">
        <v>144.1857</v>
      </c>
      <c r="C946" s="52">
        <v>139.84639999999999</v>
      </c>
      <c r="D946" s="52">
        <v>142.7621</v>
      </c>
      <c r="E946" s="52">
        <v>57998220</v>
      </c>
      <c r="F946" s="52" t="s">
        <v>1320</v>
      </c>
      <c r="G946" s="25">
        <f t="shared" si="12"/>
        <v>-1.0570032242451788E-3</v>
      </c>
    </row>
    <row r="947" spans="1:7">
      <c r="A947" s="52">
        <v>142.4091</v>
      </c>
      <c r="B947" s="52">
        <v>148.96279999999999</v>
      </c>
      <c r="C947" s="52">
        <v>141.98650000000001</v>
      </c>
      <c r="D947" s="52">
        <v>145.01220000000001</v>
      </c>
      <c r="E947" s="52">
        <v>71517220</v>
      </c>
      <c r="F947" s="52" t="s">
        <v>1319</v>
      </c>
      <c r="G947" s="25">
        <f t="shared" si="12"/>
        <v>-1.7950903441227739E-2</v>
      </c>
    </row>
    <row r="948" spans="1:7">
      <c r="A948" s="52">
        <v>147.29580000000001</v>
      </c>
      <c r="B948" s="52">
        <v>150.82550000000001</v>
      </c>
      <c r="C948" s="52">
        <v>144.83009999999999</v>
      </c>
      <c r="D948" s="52">
        <v>150.53030000000001</v>
      </c>
      <c r="E948" s="52">
        <v>123199220</v>
      </c>
      <c r="F948" s="52" t="s">
        <v>1318</v>
      </c>
      <c r="G948" s="25">
        <f t="shared" si="12"/>
        <v>-2.1487368323852341E-2</v>
      </c>
    </row>
    <row r="949" spans="1:7">
      <c r="A949" s="52">
        <v>136.98910000000001</v>
      </c>
      <c r="B949" s="52">
        <v>137.1371</v>
      </c>
      <c r="C949" s="52">
        <v>133.72909999999999</v>
      </c>
      <c r="D949" s="52">
        <v>136.93979999999999</v>
      </c>
      <c r="E949" s="52">
        <v>68643640</v>
      </c>
      <c r="F949" s="52" t="s">
        <v>1317</v>
      </c>
      <c r="G949" s="25">
        <f t="shared" si="12"/>
        <v>3.6001220974490877E-4</v>
      </c>
    </row>
    <row r="950" spans="1:7">
      <c r="A950" s="52">
        <v>134.65969999999999</v>
      </c>
      <c r="B950" s="52">
        <v>134.82839999999999</v>
      </c>
      <c r="C950" s="52">
        <v>131.5804</v>
      </c>
      <c r="D950" s="52">
        <v>133.52359999999999</v>
      </c>
      <c r="E950" s="52">
        <v>39986000</v>
      </c>
      <c r="F950" s="52" t="s">
        <v>1316</v>
      </c>
      <c r="G950" s="25">
        <f t="shared" si="12"/>
        <v>8.508608216075686E-3</v>
      </c>
    </row>
    <row r="951" spans="1:7">
      <c r="A951" s="52">
        <v>132.7165</v>
      </c>
      <c r="B951" s="52">
        <v>132.72200000000001</v>
      </c>
      <c r="C951" s="52">
        <v>127.8736</v>
      </c>
      <c r="D951" s="52">
        <v>129.0421</v>
      </c>
      <c r="E951" s="52">
        <v>34361480</v>
      </c>
      <c r="F951" s="52" t="s">
        <v>1315</v>
      </c>
      <c r="G951" s="25">
        <f t="shared" si="12"/>
        <v>2.8474428112995609E-2</v>
      </c>
    </row>
    <row r="952" spans="1:7">
      <c r="A952" s="52">
        <v>128.3912</v>
      </c>
      <c r="B952" s="52">
        <v>132.02109999999999</v>
      </c>
      <c r="C952" s="52">
        <v>128.31880000000001</v>
      </c>
      <c r="D952" s="52">
        <v>130.67920000000001</v>
      </c>
      <c r="E952" s="52">
        <v>32018780</v>
      </c>
      <c r="F952" s="52" t="s">
        <v>1314</v>
      </c>
      <c r="G952" s="25">
        <f t="shared" si="12"/>
        <v>-1.7508524692529615E-2</v>
      </c>
    </row>
    <row r="953" spans="1:7">
      <c r="A953" s="52">
        <v>128.6181</v>
      </c>
      <c r="B953" s="52">
        <v>132.3672</v>
      </c>
      <c r="C953" s="52">
        <v>126.53700000000001</v>
      </c>
      <c r="D953" s="52">
        <v>130.49510000000001</v>
      </c>
      <c r="E953" s="52">
        <v>49129500</v>
      </c>
      <c r="F953" s="52" t="s">
        <v>1313</v>
      </c>
      <c r="G953" s="25">
        <f t="shared" si="12"/>
        <v>-1.4383681839394757E-2</v>
      </c>
    </row>
    <row r="954" spans="1:7">
      <c r="A954" s="52">
        <v>126.331</v>
      </c>
      <c r="B954" s="52">
        <v>128.7833</v>
      </c>
      <c r="C954" s="52">
        <v>125.8986</v>
      </c>
      <c r="D954" s="52">
        <v>128.12739999999999</v>
      </c>
      <c r="E954" s="52">
        <v>46960560</v>
      </c>
      <c r="F954" s="52" t="s">
        <v>1312</v>
      </c>
      <c r="G954" s="25">
        <f t="shared" si="12"/>
        <v>-1.4020420300419723E-2</v>
      </c>
    </row>
    <row r="955" spans="1:7">
      <c r="A955" s="52">
        <v>130.1816</v>
      </c>
      <c r="B955" s="52">
        <v>130.5787</v>
      </c>
      <c r="C955" s="52">
        <v>123.9076</v>
      </c>
      <c r="D955" s="52">
        <v>125.37860000000001</v>
      </c>
      <c r="E955" s="52">
        <v>76694240</v>
      </c>
      <c r="F955" s="52" t="s">
        <v>1311</v>
      </c>
      <c r="G955" s="25">
        <f t="shared" ref="G955:G1018" si="13">A955/D955-1</f>
        <v>3.8307972811947089E-2</v>
      </c>
    </row>
    <row r="956" spans="1:7">
      <c r="A956" s="52">
        <v>129.7313</v>
      </c>
      <c r="B956" s="52">
        <v>134.22380000000001</v>
      </c>
      <c r="C956" s="52">
        <v>129.4675</v>
      </c>
      <c r="D956" s="52">
        <v>131.96260000000001</v>
      </c>
      <c r="E956" s="52">
        <v>55651420</v>
      </c>
      <c r="F956" s="52" t="s">
        <v>1310</v>
      </c>
      <c r="G956" s="25">
        <f t="shared" si="13"/>
        <v>-1.6908578642736649E-2</v>
      </c>
    </row>
    <row r="957" spans="1:7">
      <c r="A957" s="52">
        <v>132.67320000000001</v>
      </c>
      <c r="B957" s="52">
        <v>136.97110000000001</v>
      </c>
      <c r="C957" s="52">
        <v>132.33199999999999</v>
      </c>
      <c r="D957" s="52">
        <v>135.60169999999999</v>
      </c>
      <c r="E957" s="52">
        <v>29907140</v>
      </c>
      <c r="F957" s="52" t="s">
        <v>1309</v>
      </c>
      <c r="G957" s="25">
        <f t="shared" si="13"/>
        <v>-2.1596336919079806E-2</v>
      </c>
    </row>
    <row r="958" spans="1:7">
      <c r="A958" s="52">
        <v>134.4736</v>
      </c>
      <c r="B958" s="52">
        <v>137.3031</v>
      </c>
      <c r="C958" s="52">
        <v>134.37309999999999</v>
      </c>
      <c r="D958" s="52">
        <v>135.87389999999999</v>
      </c>
      <c r="E958" s="52">
        <v>28647640</v>
      </c>
      <c r="F958" s="52" t="s">
        <v>1308</v>
      </c>
      <c r="G958" s="25">
        <f t="shared" si="13"/>
        <v>-1.0305879201229828E-2</v>
      </c>
    </row>
    <row r="959" spans="1:7">
      <c r="A959" s="52">
        <v>135.3509</v>
      </c>
      <c r="B959" s="52">
        <v>136.47900000000001</v>
      </c>
      <c r="C959" s="52">
        <v>134.7938</v>
      </c>
      <c r="D959" s="52">
        <v>135.52709999999999</v>
      </c>
      <c r="E959" s="52">
        <v>34888100</v>
      </c>
      <c r="F959" s="52" t="s">
        <v>1307</v>
      </c>
      <c r="G959" s="25">
        <f t="shared" si="13"/>
        <v>-1.3001089818935885E-3</v>
      </c>
    </row>
    <row r="960" spans="1:7">
      <c r="A960" s="52">
        <v>138.8168</v>
      </c>
      <c r="B960" s="52">
        <v>140.07230000000001</v>
      </c>
      <c r="C960" s="52">
        <v>136.3466</v>
      </c>
      <c r="D960" s="52">
        <v>136.42679999999999</v>
      </c>
      <c r="E960" s="52">
        <v>29661280</v>
      </c>
      <c r="F960" s="52" t="s">
        <v>1306</v>
      </c>
      <c r="G960" s="25">
        <f t="shared" si="13"/>
        <v>1.7518552073346294E-2</v>
      </c>
    </row>
    <row r="961" spans="1:7">
      <c r="A961" s="52">
        <v>137.92760000000001</v>
      </c>
      <c r="B961" s="52">
        <v>142.1703</v>
      </c>
      <c r="C961" s="52">
        <v>137.75040000000001</v>
      </c>
      <c r="D961" s="52">
        <v>140.8665</v>
      </c>
      <c r="E961" s="52">
        <v>31436600</v>
      </c>
      <c r="F961" s="52" t="s">
        <v>1305</v>
      </c>
      <c r="G961" s="25">
        <f t="shared" si="13"/>
        <v>-2.0863015692162312E-2</v>
      </c>
    </row>
    <row r="962" spans="1:7">
      <c r="A962" s="52">
        <v>140.75749999999999</v>
      </c>
      <c r="B962" s="52">
        <v>141.92920000000001</v>
      </c>
      <c r="C962" s="52">
        <v>140.02500000000001</v>
      </c>
      <c r="D962" s="52">
        <v>140.47839999999999</v>
      </c>
      <c r="E962" s="52">
        <v>26112040</v>
      </c>
      <c r="F962" s="52" t="s">
        <v>1304</v>
      </c>
      <c r="G962" s="25">
        <f t="shared" si="13"/>
        <v>1.9867823095935933E-3</v>
      </c>
    </row>
    <row r="963" spans="1:7">
      <c r="A963" s="52">
        <v>139.0711</v>
      </c>
      <c r="B963" s="52">
        <v>139.5488</v>
      </c>
      <c r="C963" s="52">
        <v>136.04179999999999</v>
      </c>
      <c r="D963" s="52">
        <v>137.3503</v>
      </c>
      <c r="E963" s="52">
        <v>28729700</v>
      </c>
      <c r="F963" s="52" t="s">
        <v>1303</v>
      </c>
      <c r="G963" s="25">
        <f t="shared" si="13"/>
        <v>1.2528549264180677E-2</v>
      </c>
    </row>
    <row r="964" spans="1:7">
      <c r="A964" s="52">
        <v>138.00970000000001</v>
      </c>
      <c r="B964" s="52">
        <v>138.15899999999999</v>
      </c>
      <c r="C964" s="52">
        <v>132.5309</v>
      </c>
      <c r="D964" s="52">
        <v>134.43530000000001</v>
      </c>
      <c r="E964" s="52">
        <v>44408120</v>
      </c>
      <c r="F964" s="52" t="s">
        <v>1302</v>
      </c>
      <c r="G964" s="25">
        <f t="shared" si="13"/>
        <v>2.6588254721788163E-2</v>
      </c>
    </row>
    <row r="965" spans="1:7">
      <c r="A965" s="52">
        <v>136.36500000000001</v>
      </c>
      <c r="B965" s="52">
        <v>137.78970000000001</v>
      </c>
      <c r="C965" s="52">
        <v>135.12049999999999</v>
      </c>
      <c r="D965" s="52">
        <v>137.48820000000001</v>
      </c>
      <c r="E965" s="52">
        <v>29760560</v>
      </c>
      <c r="F965" s="52" t="s">
        <v>1301</v>
      </c>
      <c r="G965" s="25">
        <f t="shared" si="13"/>
        <v>-8.1694283582154359E-3</v>
      </c>
    </row>
    <row r="966" spans="1:7">
      <c r="A966" s="52">
        <v>137.09209999999999</v>
      </c>
      <c r="B966" s="52">
        <v>139.2741</v>
      </c>
      <c r="C966" s="52">
        <v>135.90870000000001</v>
      </c>
      <c r="D966" s="52">
        <v>136.3466</v>
      </c>
      <c r="E966" s="52">
        <v>37347420</v>
      </c>
      <c r="F966" s="52" t="s">
        <v>1300</v>
      </c>
      <c r="G966" s="25">
        <f t="shared" si="13"/>
        <v>5.4676830958746425E-3</v>
      </c>
    </row>
    <row r="967" spans="1:7">
      <c r="A967" s="52">
        <v>137.11940000000001</v>
      </c>
      <c r="B967" s="52">
        <v>143.81180000000001</v>
      </c>
      <c r="C967" s="52">
        <v>137.03290000000001</v>
      </c>
      <c r="D967" s="52">
        <v>143.7328</v>
      </c>
      <c r="E967" s="52">
        <v>54618280</v>
      </c>
      <c r="F967" s="52" t="s">
        <v>1299</v>
      </c>
      <c r="G967" s="25">
        <f t="shared" si="13"/>
        <v>-4.6011766277425759E-2</v>
      </c>
    </row>
    <row r="968" spans="1:7">
      <c r="A968" s="52">
        <v>143.7124</v>
      </c>
      <c r="B968" s="52">
        <v>145.78790000000001</v>
      </c>
      <c r="C968" s="52">
        <v>143.0324</v>
      </c>
      <c r="D968" s="52">
        <v>144.70419999999999</v>
      </c>
      <c r="E968" s="52">
        <v>28399440</v>
      </c>
      <c r="F968" s="52" t="s">
        <v>1298</v>
      </c>
      <c r="G968" s="25">
        <f t="shared" si="13"/>
        <v>-6.8539821235319431E-3</v>
      </c>
    </row>
    <row r="969" spans="1:7">
      <c r="A969" s="52">
        <v>144.30160000000001</v>
      </c>
      <c r="B969" s="52">
        <v>145.15700000000001</v>
      </c>
      <c r="C969" s="52">
        <v>143.02889999999999</v>
      </c>
      <c r="D969" s="52">
        <v>144.3648</v>
      </c>
      <c r="E969" s="52">
        <v>28678940</v>
      </c>
      <c r="F969" s="52" t="s">
        <v>1297</v>
      </c>
      <c r="G969" s="25">
        <f t="shared" si="13"/>
        <v>-4.3777984661075298E-4</v>
      </c>
    </row>
    <row r="970" spans="1:7">
      <c r="A970" s="52">
        <v>144.1628</v>
      </c>
      <c r="B970" s="52">
        <v>146.00049999999999</v>
      </c>
      <c r="C970" s="52">
        <v>144.1628</v>
      </c>
      <c r="D970" s="52">
        <v>145.35509999999999</v>
      </c>
      <c r="E970" s="52">
        <v>18135180</v>
      </c>
      <c r="F970" s="52" t="s">
        <v>1296</v>
      </c>
      <c r="G970" s="25">
        <f t="shared" si="13"/>
        <v>-8.2026705633306829E-3</v>
      </c>
    </row>
    <row r="971" spans="1:7">
      <c r="A971" s="52">
        <v>145.50479999999999</v>
      </c>
      <c r="B971" s="52">
        <v>146.59909999999999</v>
      </c>
      <c r="C971" s="52">
        <v>145.2998</v>
      </c>
      <c r="D971" s="52">
        <v>145.99600000000001</v>
      </c>
      <c r="E971" s="52">
        <v>15687720</v>
      </c>
      <c r="F971" s="52" t="s">
        <v>1295</v>
      </c>
      <c r="G971" s="25">
        <f t="shared" si="13"/>
        <v>-3.3644757390615121E-3</v>
      </c>
    </row>
    <row r="972" spans="1:7">
      <c r="A972" s="52">
        <v>145.9572</v>
      </c>
      <c r="B972" s="52">
        <v>146.71559999999999</v>
      </c>
      <c r="C972" s="52">
        <v>144.9545</v>
      </c>
      <c r="D972" s="52">
        <v>145.94649999999999</v>
      </c>
      <c r="E972" s="52">
        <v>17787460</v>
      </c>
      <c r="F972" s="52" t="s">
        <v>1294</v>
      </c>
      <c r="G972" s="25">
        <f t="shared" si="13"/>
        <v>7.331453649128683E-5</v>
      </c>
    </row>
    <row r="973" spans="1:7">
      <c r="A973" s="52">
        <v>145.989</v>
      </c>
      <c r="B973" s="52">
        <v>147.5934</v>
      </c>
      <c r="C973" s="52">
        <v>145.35929999999999</v>
      </c>
      <c r="D973" s="52">
        <v>147.5307</v>
      </c>
      <c r="E973" s="52">
        <v>18254300</v>
      </c>
      <c r="F973" s="52" t="s">
        <v>1293</v>
      </c>
      <c r="G973" s="25">
        <f t="shared" si="13"/>
        <v>-1.0450028366977171E-2</v>
      </c>
    </row>
    <row r="974" spans="1:7">
      <c r="A974" s="52">
        <v>147.20269999999999</v>
      </c>
      <c r="B974" s="52">
        <v>147.63810000000001</v>
      </c>
      <c r="C974" s="52">
        <v>146.46899999999999</v>
      </c>
      <c r="D974" s="52">
        <v>146.55529999999999</v>
      </c>
      <c r="E974" s="52">
        <v>15984460</v>
      </c>
      <c r="F974" s="52" t="s">
        <v>1292</v>
      </c>
      <c r="G974" s="25">
        <f t="shared" si="13"/>
        <v>4.4174451555147876E-3</v>
      </c>
    </row>
    <row r="975" spans="1:7">
      <c r="A975" s="52">
        <v>146.2174</v>
      </c>
      <c r="B975" s="52">
        <v>147.53809999999999</v>
      </c>
      <c r="C975" s="52">
        <v>145.7552</v>
      </c>
      <c r="D975" s="52">
        <v>145.80289999999999</v>
      </c>
      <c r="E975" s="52">
        <v>26383440</v>
      </c>
      <c r="F975" s="52" t="s">
        <v>1291</v>
      </c>
      <c r="G975" s="25">
        <f t="shared" si="13"/>
        <v>2.8428789825167833E-3</v>
      </c>
    </row>
    <row r="976" spans="1:7">
      <c r="A976" s="52">
        <v>145.7183</v>
      </c>
      <c r="B976" s="52">
        <v>145.80289999999999</v>
      </c>
      <c r="C976" s="52">
        <v>142.38679999999999</v>
      </c>
      <c r="D976" s="52">
        <v>142.38679999999999</v>
      </c>
      <c r="E976" s="52">
        <v>26322380</v>
      </c>
      <c r="F976" s="52" t="s">
        <v>1290</v>
      </c>
      <c r="G976" s="25">
        <f t="shared" si="13"/>
        <v>2.3397534041076806E-2</v>
      </c>
    </row>
    <row r="977" spans="1:7">
      <c r="A977" s="52">
        <v>142.78980000000001</v>
      </c>
      <c r="B977" s="52">
        <v>143.18440000000001</v>
      </c>
      <c r="C977" s="52">
        <v>139.834</v>
      </c>
      <c r="D977" s="52">
        <v>141.3776</v>
      </c>
      <c r="E977" s="52">
        <v>28755360</v>
      </c>
      <c r="F977" s="52" t="s">
        <v>1289</v>
      </c>
      <c r="G977" s="25">
        <f t="shared" si="13"/>
        <v>9.9888525480700263E-3</v>
      </c>
    </row>
    <row r="978" spans="1:7">
      <c r="A978" s="52">
        <v>140.9332</v>
      </c>
      <c r="B978" s="52">
        <v>141.09989999999999</v>
      </c>
      <c r="C978" s="52">
        <v>138.65809999999999</v>
      </c>
      <c r="D978" s="52">
        <v>139.3339</v>
      </c>
      <c r="E978" s="52">
        <v>27192360</v>
      </c>
      <c r="F978" s="52" t="s">
        <v>1288</v>
      </c>
      <c r="G978" s="25">
        <f t="shared" si="13"/>
        <v>1.1478182983466256E-2</v>
      </c>
    </row>
    <row r="979" spans="1:7">
      <c r="A979" s="52">
        <v>141.0506</v>
      </c>
      <c r="B979" s="52">
        <v>143.15010000000001</v>
      </c>
      <c r="C979" s="52">
        <v>140.6277</v>
      </c>
      <c r="D979" s="52">
        <v>141.822</v>
      </c>
      <c r="E979" s="52">
        <v>51017880</v>
      </c>
      <c r="F979" s="52" t="s">
        <v>1287</v>
      </c>
      <c r="G979" s="25">
        <f t="shared" si="13"/>
        <v>-5.4392125340214648E-3</v>
      </c>
    </row>
    <row r="980" spans="1:7">
      <c r="A980" s="52">
        <v>143.7577</v>
      </c>
      <c r="B980" s="52">
        <v>146.97409999999999</v>
      </c>
      <c r="C980" s="52">
        <v>142.9237</v>
      </c>
      <c r="D980" s="52">
        <v>146.47020000000001</v>
      </c>
      <c r="E980" s="52">
        <v>33650380</v>
      </c>
      <c r="F980" s="52" t="s">
        <v>1286</v>
      </c>
      <c r="G980" s="25">
        <f t="shared" si="13"/>
        <v>-1.8519125392059355E-2</v>
      </c>
    </row>
    <row r="981" spans="1:7">
      <c r="A981" s="52">
        <v>145.74420000000001</v>
      </c>
      <c r="B981" s="52">
        <v>146.02289999999999</v>
      </c>
      <c r="C981" s="52">
        <v>141.00380000000001</v>
      </c>
      <c r="D981" s="52">
        <v>142.72659999999999</v>
      </c>
      <c r="E981" s="52">
        <v>36370460</v>
      </c>
      <c r="F981" s="52" t="s">
        <v>1285</v>
      </c>
      <c r="G981" s="25">
        <f t="shared" si="13"/>
        <v>2.1142520034807877E-2</v>
      </c>
    </row>
    <row r="982" spans="1:7">
      <c r="A982" s="52">
        <v>143.22229999999999</v>
      </c>
      <c r="B982" s="52">
        <v>143.79249999999999</v>
      </c>
      <c r="C982" s="52">
        <v>140.5428</v>
      </c>
      <c r="D982" s="52">
        <v>143.28299999999999</v>
      </c>
      <c r="E982" s="52">
        <v>38446240</v>
      </c>
      <c r="F982" s="52" t="s">
        <v>1284</v>
      </c>
      <c r="G982" s="25">
        <f t="shared" si="13"/>
        <v>-4.2363713769255629E-4</v>
      </c>
    </row>
    <row r="983" spans="1:7">
      <c r="A983" s="52">
        <v>145.1326</v>
      </c>
      <c r="B983" s="52">
        <v>147.26589999999999</v>
      </c>
      <c r="C983" s="52">
        <v>144.82509999999999</v>
      </c>
      <c r="D983" s="52">
        <v>147.07830000000001</v>
      </c>
      <c r="E983" s="52">
        <v>27069400</v>
      </c>
      <c r="F983" s="52" t="s">
        <v>1283</v>
      </c>
      <c r="G983" s="25">
        <f t="shared" si="13"/>
        <v>-1.3229007950187222E-2</v>
      </c>
    </row>
    <row r="984" spans="1:7">
      <c r="A984" s="52">
        <v>147.29730000000001</v>
      </c>
      <c r="B984" s="52">
        <v>148.26859999999999</v>
      </c>
      <c r="C984" s="52">
        <v>146.00569999999999</v>
      </c>
      <c r="D984" s="52">
        <v>147.99250000000001</v>
      </c>
      <c r="E984" s="52">
        <v>24462760</v>
      </c>
      <c r="F984" s="52" t="s">
        <v>1282</v>
      </c>
      <c r="G984" s="25">
        <f t="shared" si="13"/>
        <v>-4.6975353480750437E-3</v>
      </c>
    </row>
    <row r="985" spans="1:7">
      <c r="A985" s="52">
        <v>146.93600000000001</v>
      </c>
      <c r="B985" s="52">
        <v>148.39060000000001</v>
      </c>
      <c r="C985" s="52">
        <v>146.41499999999999</v>
      </c>
      <c r="D985" s="52">
        <v>146.8887</v>
      </c>
      <c r="E985" s="52">
        <v>23269720</v>
      </c>
      <c r="F985" s="52" t="s">
        <v>1281</v>
      </c>
      <c r="G985" s="25">
        <f t="shared" si="13"/>
        <v>3.220125169600685E-4</v>
      </c>
    </row>
    <row r="986" spans="1:7">
      <c r="A986" s="52">
        <v>147.48140000000001</v>
      </c>
      <c r="B986" s="52">
        <v>147.68690000000001</v>
      </c>
      <c r="C986" s="52">
        <v>145.70939999999999</v>
      </c>
      <c r="D986" s="52">
        <v>146.89420000000001</v>
      </c>
      <c r="E986" s="52">
        <v>24270320</v>
      </c>
      <c r="F986" s="52" t="s">
        <v>1280</v>
      </c>
      <c r="G986" s="25">
        <f t="shared" si="13"/>
        <v>3.9974348885116751E-3</v>
      </c>
    </row>
    <row r="987" spans="1:7">
      <c r="A987" s="52">
        <v>146.56880000000001</v>
      </c>
      <c r="B987" s="52">
        <v>146.82919999999999</v>
      </c>
      <c r="C987" s="52">
        <v>144.53649999999999</v>
      </c>
      <c r="D987" s="52">
        <v>144.90369999999999</v>
      </c>
      <c r="E987" s="52">
        <v>32240300</v>
      </c>
      <c r="F987" s="52" t="s">
        <v>1279</v>
      </c>
      <c r="G987" s="25">
        <f t="shared" si="13"/>
        <v>1.1491079937917537E-2</v>
      </c>
    </row>
    <row r="988" spans="1:7">
      <c r="A988" s="52">
        <v>142.47380000000001</v>
      </c>
      <c r="B988" s="52">
        <v>143.16800000000001</v>
      </c>
      <c r="C988" s="52">
        <v>139.48310000000001</v>
      </c>
      <c r="D988" s="52">
        <v>142.35990000000001</v>
      </c>
      <c r="E988" s="52">
        <v>30618100</v>
      </c>
      <c r="F988" s="52" t="s">
        <v>1278</v>
      </c>
      <c r="G988" s="25">
        <f t="shared" si="13"/>
        <v>8.0008485535598695E-4</v>
      </c>
    </row>
    <row r="989" spans="1:7">
      <c r="A989" s="52">
        <v>141.32579999999999</v>
      </c>
      <c r="B989" s="52">
        <v>143.71289999999999</v>
      </c>
      <c r="C989" s="52">
        <v>139.63339999999999</v>
      </c>
      <c r="D989" s="52">
        <v>142.9973</v>
      </c>
      <c r="E989" s="52">
        <v>41230160</v>
      </c>
      <c r="F989" s="52" t="s">
        <v>1277</v>
      </c>
      <c r="G989" s="25">
        <f t="shared" si="13"/>
        <v>-1.1689031890811941E-2</v>
      </c>
    </row>
    <row r="990" spans="1:7">
      <c r="A990" s="52">
        <v>142.28569999999999</v>
      </c>
      <c r="B990" s="52">
        <v>143.18</v>
      </c>
      <c r="C990" s="52">
        <v>139.54730000000001</v>
      </c>
      <c r="D990" s="52">
        <v>140.5779</v>
      </c>
      <c r="E990" s="52">
        <v>29194840</v>
      </c>
      <c r="F990" s="52" t="s">
        <v>1276</v>
      </c>
      <c r="G990" s="25">
        <f t="shared" si="13"/>
        <v>1.2148424467857355E-2</v>
      </c>
    </row>
    <row r="991" spans="1:7">
      <c r="A991" s="52">
        <v>140.38030000000001</v>
      </c>
      <c r="B991" s="52">
        <v>145.25579999999999</v>
      </c>
      <c r="C991" s="52">
        <v>140.2415</v>
      </c>
      <c r="D991" s="52">
        <v>143.31479999999999</v>
      </c>
      <c r="E991" s="52">
        <v>34055240</v>
      </c>
      <c r="F991" s="52" t="s">
        <v>1275</v>
      </c>
      <c r="G991" s="25">
        <f t="shared" si="13"/>
        <v>-2.0475903395880901E-2</v>
      </c>
    </row>
    <row r="992" spans="1:7">
      <c r="A992" s="52">
        <v>141.22229999999999</v>
      </c>
      <c r="B992" s="52">
        <v>145.30529999999999</v>
      </c>
      <c r="C992" s="52">
        <v>140.92769999999999</v>
      </c>
      <c r="D992" s="52">
        <v>144.3185</v>
      </c>
      <c r="E992" s="52">
        <v>42067220</v>
      </c>
      <c r="F992" s="52" t="s">
        <v>1274</v>
      </c>
      <c r="G992" s="25">
        <f t="shared" si="13"/>
        <v>-2.1453936951950081E-2</v>
      </c>
    </row>
    <row r="993" spans="1:7">
      <c r="A993" s="52">
        <v>144.83799999999999</v>
      </c>
      <c r="B993" s="52">
        <v>145.60140000000001</v>
      </c>
      <c r="C993" s="52">
        <v>143.2088</v>
      </c>
      <c r="D993" s="52">
        <v>143.31479999999999</v>
      </c>
      <c r="E993" s="52">
        <v>32595040</v>
      </c>
      <c r="F993" s="52" t="s">
        <v>1273</v>
      </c>
      <c r="G993" s="25">
        <f t="shared" si="13"/>
        <v>1.0628351014689397E-2</v>
      </c>
    </row>
    <row r="994" spans="1:7">
      <c r="A994" s="52">
        <v>141.50649999999999</v>
      </c>
      <c r="B994" s="52">
        <v>143.86969999999999</v>
      </c>
      <c r="C994" s="52">
        <v>141.16759999999999</v>
      </c>
      <c r="D994" s="52">
        <v>143.6617</v>
      </c>
      <c r="E994" s="52">
        <v>30469240</v>
      </c>
      <c r="F994" s="52" t="s">
        <v>1272</v>
      </c>
      <c r="G994" s="25">
        <f t="shared" si="13"/>
        <v>-1.5001910738909552E-2</v>
      </c>
    </row>
    <row r="995" spans="1:7">
      <c r="A995" s="52">
        <v>145.4247</v>
      </c>
      <c r="B995" s="52">
        <v>145.55340000000001</v>
      </c>
      <c r="C995" s="52">
        <v>143.68600000000001</v>
      </c>
      <c r="D995" s="52">
        <v>144.78129999999999</v>
      </c>
      <c r="E995" s="52">
        <v>18040140</v>
      </c>
      <c r="F995" s="52" t="s">
        <v>1271</v>
      </c>
      <c r="G995" s="25">
        <f t="shared" si="13"/>
        <v>4.4439440728880619E-3</v>
      </c>
    </row>
    <row r="996" spans="1:7">
      <c r="A996" s="52">
        <v>145.0883</v>
      </c>
      <c r="B996" s="52">
        <v>145.9622</v>
      </c>
      <c r="C996" s="52">
        <v>143.42930000000001</v>
      </c>
      <c r="D996" s="52">
        <v>145.45760000000001</v>
      </c>
      <c r="E996" s="52">
        <v>27231160</v>
      </c>
      <c r="F996" s="52" t="s">
        <v>1270</v>
      </c>
      <c r="G996" s="25">
        <f t="shared" si="13"/>
        <v>-2.5388841834321774E-3</v>
      </c>
    </row>
    <row r="997" spans="1:7">
      <c r="A997" s="52">
        <v>145.60589999999999</v>
      </c>
      <c r="B997" s="52">
        <v>149.11660000000001</v>
      </c>
      <c r="C997" s="52">
        <v>145.4521</v>
      </c>
      <c r="D997" s="52">
        <v>148.62190000000001</v>
      </c>
      <c r="E997" s="52">
        <v>30629200</v>
      </c>
      <c r="F997" s="52" t="s">
        <v>1269</v>
      </c>
      <c r="G997" s="25">
        <f t="shared" si="13"/>
        <v>-2.0293106197673549E-2</v>
      </c>
    </row>
    <row r="998" spans="1:7">
      <c r="A998" s="52">
        <v>148.21789999999999</v>
      </c>
      <c r="B998" s="52">
        <v>150.2482</v>
      </c>
      <c r="C998" s="52">
        <v>148.19049999999999</v>
      </c>
      <c r="D998" s="52">
        <v>149.26179999999999</v>
      </c>
      <c r="E998" s="52">
        <v>33699380</v>
      </c>
      <c r="F998" s="52" t="s">
        <v>1268</v>
      </c>
      <c r="G998" s="25">
        <f t="shared" si="13"/>
        <v>-6.9937519177714069E-3</v>
      </c>
    </row>
    <row r="999" spans="1:7">
      <c r="A999" s="52">
        <v>149.12549999999999</v>
      </c>
      <c r="B999" s="52">
        <v>149.864</v>
      </c>
      <c r="C999" s="52">
        <v>147.1808</v>
      </c>
      <c r="D999" s="52">
        <v>147.5361</v>
      </c>
      <c r="E999" s="52">
        <v>35628220</v>
      </c>
      <c r="F999" s="52" t="s">
        <v>1267</v>
      </c>
      <c r="G999" s="25">
        <f t="shared" si="13"/>
        <v>1.0772956584862881E-2</v>
      </c>
    </row>
    <row r="1000" spans="1:7">
      <c r="A1000" s="52">
        <v>147.3426</v>
      </c>
      <c r="B1000" s="52">
        <v>147.8526</v>
      </c>
      <c r="C1000" s="52">
        <v>146.5394</v>
      </c>
      <c r="D1000" s="52">
        <v>147.32320000000001</v>
      </c>
      <c r="E1000" s="52">
        <v>19599500</v>
      </c>
      <c r="F1000" s="52" t="s">
        <v>1266</v>
      </c>
      <c r="G1000" s="25">
        <f t="shared" si="13"/>
        <v>1.3168326509327422E-4</v>
      </c>
    </row>
    <row r="1001" spans="1:7">
      <c r="A1001" s="52">
        <v>147.17240000000001</v>
      </c>
      <c r="B1001" s="52">
        <v>148.0547</v>
      </c>
      <c r="C1001" s="52">
        <v>146.61160000000001</v>
      </c>
      <c r="D1001" s="52">
        <v>147.44460000000001</v>
      </c>
      <c r="E1001" s="52">
        <v>18904000</v>
      </c>
      <c r="F1001" s="52" t="s">
        <v>1265</v>
      </c>
      <c r="G1001" s="25">
        <f t="shared" si="13"/>
        <v>-1.8461171178869584E-3</v>
      </c>
    </row>
    <row r="1002" spans="1:7">
      <c r="A1002" s="52">
        <v>147.7456</v>
      </c>
      <c r="B1002" s="52">
        <v>148.83789999999999</v>
      </c>
      <c r="C1002" s="52">
        <v>146.87280000000001</v>
      </c>
      <c r="D1002" s="52">
        <v>148.19200000000001</v>
      </c>
      <c r="E1002" s="52">
        <v>23507040</v>
      </c>
      <c r="F1002" s="52" t="s">
        <v>1264</v>
      </c>
      <c r="G1002" s="25">
        <f t="shared" si="13"/>
        <v>-3.0123083567265008E-3</v>
      </c>
    </row>
    <row r="1003" spans="1:7">
      <c r="A1003" s="52">
        <v>147.97059999999999</v>
      </c>
      <c r="B1003" s="52">
        <v>148.14169999999999</v>
      </c>
      <c r="C1003" s="52">
        <v>144.7191</v>
      </c>
      <c r="D1003" s="52">
        <v>145.9179</v>
      </c>
      <c r="E1003" s="52">
        <v>22360000</v>
      </c>
      <c r="F1003" s="52" t="s">
        <v>1263</v>
      </c>
      <c r="G1003" s="25">
        <f t="shared" si="13"/>
        <v>1.406749960080278E-2</v>
      </c>
    </row>
    <row r="1004" spans="1:7">
      <c r="A1004" s="52">
        <v>145.0729</v>
      </c>
      <c r="B1004" s="52">
        <v>146.83349999999999</v>
      </c>
      <c r="C1004" s="52">
        <v>144.90770000000001</v>
      </c>
      <c r="D1004" s="52">
        <v>145.79249999999999</v>
      </c>
      <c r="E1004" s="52">
        <v>16517480</v>
      </c>
      <c r="F1004" s="52" t="s">
        <v>1262</v>
      </c>
      <c r="G1004" s="25">
        <f t="shared" si="13"/>
        <v>-4.9357820189651624E-3</v>
      </c>
    </row>
    <row r="1005" spans="1:7">
      <c r="A1005" s="52">
        <v>145.19929999999999</v>
      </c>
      <c r="B1005" s="52">
        <v>147.3655</v>
      </c>
      <c r="C1005" s="52">
        <v>143.84979999999999</v>
      </c>
      <c r="D1005" s="52">
        <v>146.79820000000001</v>
      </c>
      <c r="E1005" s="52">
        <v>29969800</v>
      </c>
      <c r="F1005" s="52" t="s">
        <v>1261</v>
      </c>
      <c r="G1005" s="25">
        <f t="shared" si="13"/>
        <v>-1.0891822924259387E-2</v>
      </c>
    </row>
    <row r="1006" spans="1:7">
      <c r="A1006" s="52">
        <v>148.2099</v>
      </c>
      <c r="B1006" s="52">
        <v>149.1216</v>
      </c>
      <c r="C1006" s="52">
        <v>146.54409999999999</v>
      </c>
      <c r="D1006" s="52">
        <v>148.52289999999999</v>
      </c>
      <c r="E1006" s="52">
        <v>19529740</v>
      </c>
      <c r="F1006" s="52" t="s">
        <v>1260</v>
      </c>
      <c r="G1006" s="25">
        <f t="shared" si="13"/>
        <v>-2.1074191252661301E-3</v>
      </c>
    </row>
    <row r="1007" spans="1:7">
      <c r="A1007" s="52">
        <v>148.3219</v>
      </c>
      <c r="B1007" s="52">
        <v>149.8981</v>
      </c>
      <c r="C1007" s="52">
        <v>147.7242</v>
      </c>
      <c r="D1007" s="52">
        <v>149.1121</v>
      </c>
      <c r="E1007" s="52">
        <v>23052500</v>
      </c>
      <c r="F1007" s="52" t="s">
        <v>1259</v>
      </c>
      <c r="G1007" s="25">
        <f t="shared" si="13"/>
        <v>-5.2993687299689451E-3</v>
      </c>
    </row>
    <row r="1008" spans="1:7">
      <c r="A1008" s="52">
        <v>148.1437</v>
      </c>
      <c r="B1008" s="52">
        <v>149.6122</v>
      </c>
      <c r="C1008" s="52">
        <v>147.49180000000001</v>
      </c>
      <c r="D1008" s="52">
        <v>148.4597</v>
      </c>
      <c r="E1008" s="52">
        <v>38354740</v>
      </c>
      <c r="F1008" s="52" t="s">
        <v>1258</v>
      </c>
      <c r="G1008" s="25">
        <f t="shared" si="13"/>
        <v>-2.1285237677295399E-3</v>
      </c>
    </row>
    <row r="1009" spans="1:7">
      <c r="A1009" s="52">
        <v>147.56200000000001</v>
      </c>
      <c r="B1009" s="52">
        <v>149.02099999999999</v>
      </c>
      <c r="C1009" s="52">
        <v>145.61179999999999</v>
      </c>
      <c r="D1009" s="52">
        <v>146.42449999999999</v>
      </c>
      <c r="E1009" s="52">
        <v>38411260</v>
      </c>
      <c r="F1009" s="52" t="s">
        <v>1257</v>
      </c>
      <c r="G1009" s="25">
        <f t="shared" si="13"/>
        <v>7.7685086853636065E-3</v>
      </c>
    </row>
    <row r="1010" spans="1:7">
      <c r="A1010" s="52">
        <v>145.90049999999999</v>
      </c>
      <c r="B1010" s="52">
        <v>145.97110000000001</v>
      </c>
      <c r="C1010" s="52">
        <v>143.90299999999999</v>
      </c>
      <c r="D1010" s="52">
        <v>145.2063</v>
      </c>
      <c r="E1010" s="52">
        <v>27493240</v>
      </c>
      <c r="F1010" s="52" t="s">
        <v>1256</v>
      </c>
      <c r="G1010" s="25">
        <f t="shared" si="13"/>
        <v>4.7807843048131016E-3</v>
      </c>
    </row>
    <row r="1011" spans="1:7">
      <c r="A1011" s="52">
        <v>144.7405</v>
      </c>
      <c r="B1011" s="52">
        <v>145.91139999999999</v>
      </c>
      <c r="C1011" s="52">
        <v>143.64869999999999</v>
      </c>
      <c r="D1011" s="52">
        <v>143.89160000000001</v>
      </c>
      <c r="E1011" s="52">
        <v>33482240</v>
      </c>
      <c r="F1011" s="52" t="s">
        <v>1255</v>
      </c>
      <c r="G1011" s="25">
        <f t="shared" si="13"/>
        <v>5.8995799615821909E-3</v>
      </c>
    </row>
    <row r="1012" spans="1:7">
      <c r="A1012" s="52">
        <v>142.8142</v>
      </c>
      <c r="B1012" s="52">
        <v>147.3416</v>
      </c>
      <c r="C1012" s="52">
        <v>142.54400000000001</v>
      </c>
      <c r="D1012" s="52">
        <v>147.3416</v>
      </c>
      <c r="E1012" s="52">
        <v>46923240</v>
      </c>
      <c r="F1012" s="52" t="s">
        <v>1254</v>
      </c>
      <c r="G1012" s="25">
        <f t="shared" si="13"/>
        <v>-3.072723521395182E-2</v>
      </c>
    </row>
    <row r="1013" spans="1:7">
      <c r="A1013" s="52">
        <v>147.3416</v>
      </c>
      <c r="B1013" s="52">
        <v>147.53659999999999</v>
      </c>
      <c r="C1013" s="52">
        <v>143.96119999999999</v>
      </c>
      <c r="D1013" s="52">
        <v>144.3877</v>
      </c>
      <c r="E1013" s="52">
        <v>43320300</v>
      </c>
      <c r="F1013" s="52" t="s">
        <v>1253</v>
      </c>
      <c r="G1013" s="25">
        <f t="shared" si="13"/>
        <v>2.0458113814403989E-2</v>
      </c>
    </row>
    <row r="1014" spans="1:7">
      <c r="A1014" s="52">
        <v>145.155</v>
      </c>
      <c r="B1014" s="52">
        <v>146.45779999999999</v>
      </c>
      <c r="C1014" s="52">
        <v>143.93860000000001</v>
      </c>
      <c r="D1014" s="52">
        <v>146.43440000000001</v>
      </c>
      <c r="E1014" s="52">
        <v>36206380</v>
      </c>
      <c r="F1014" s="52" t="s">
        <v>1252</v>
      </c>
      <c r="G1014" s="25">
        <f t="shared" si="13"/>
        <v>-8.7370180777195383E-3</v>
      </c>
    </row>
    <row r="1015" spans="1:7">
      <c r="A1015" s="52">
        <v>145.52180000000001</v>
      </c>
      <c r="B1015" s="52">
        <v>147.9427</v>
      </c>
      <c r="C1015" s="52">
        <v>138.74170000000001</v>
      </c>
      <c r="D1015" s="52">
        <v>138.74170000000001</v>
      </c>
      <c r="E1015" s="52">
        <v>85781400</v>
      </c>
      <c r="F1015" s="52" t="s">
        <v>1251</v>
      </c>
      <c r="G1015" s="25">
        <f t="shared" si="13"/>
        <v>4.8868508890982376E-2</v>
      </c>
    </row>
    <row r="1016" spans="1:7">
      <c r="A1016" s="52">
        <v>138.6456</v>
      </c>
      <c r="B1016" s="52">
        <v>139.41640000000001</v>
      </c>
      <c r="C1016" s="52">
        <v>137.6464</v>
      </c>
      <c r="D1016" s="52">
        <v>138.6009</v>
      </c>
      <c r="E1016" s="52">
        <v>49235020</v>
      </c>
      <c r="F1016" s="52" t="s">
        <v>1250</v>
      </c>
      <c r="G1016" s="25">
        <f t="shared" si="13"/>
        <v>3.2250872829830968E-4</v>
      </c>
    </row>
    <row r="1017" spans="1:7">
      <c r="A1017" s="52">
        <v>136.79300000000001</v>
      </c>
      <c r="B1017" s="52">
        <v>137.3434</v>
      </c>
      <c r="C1017" s="52">
        <v>134.77959999999999</v>
      </c>
      <c r="D1017" s="52">
        <v>136.8955</v>
      </c>
      <c r="E1017" s="52">
        <v>34412260</v>
      </c>
      <c r="F1017" s="52" t="s">
        <v>1249</v>
      </c>
      <c r="G1017" s="25">
        <f t="shared" si="13"/>
        <v>-7.4874630648924523E-4</v>
      </c>
    </row>
    <row r="1018" spans="1:7">
      <c r="A1018" s="52">
        <v>136.9119</v>
      </c>
      <c r="B1018" s="52">
        <v>139.91380000000001</v>
      </c>
      <c r="C1018" s="52">
        <v>135.40860000000001</v>
      </c>
      <c r="D1018" s="52">
        <v>138.4879</v>
      </c>
      <c r="E1018" s="52">
        <v>50588960</v>
      </c>
      <c r="F1018" s="52" t="s">
        <v>1248</v>
      </c>
      <c r="G1018" s="25">
        <f t="shared" si="13"/>
        <v>-1.1380055586083682E-2</v>
      </c>
    </row>
    <row r="1019" spans="1:7">
      <c r="A1019" s="52">
        <v>141.21090000000001</v>
      </c>
      <c r="B1019" s="52">
        <v>141.4796</v>
      </c>
      <c r="C1019" s="52">
        <v>139.83150000000001</v>
      </c>
      <c r="D1019" s="52">
        <v>141.09440000000001</v>
      </c>
      <c r="E1019" s="52">
        <v>26292260</v>
      </c>
      <c r="F1019" s="52" t="s">
        <v>1247</v>
      </c>
      <c r="G1019" s="25">
        <f t="shared" ref="G1019:G1082" si="14">A1019/D1019-1</f>
        <v>8.2568833348450887E-4</v>
      </c>
    </row>
    <row r="1020" spans="1:7">
      <c r="A1020" s="52">
        <v>141.09440000000001</v>
      </c>
      <c r="B1020" s="52">
        <v>142.8631</v>
      </c>
      <c r="C1020" s="52">
        <v>140.7038</v>
      </c>
      <c r="D1020" s="52">
        <v>142.65600000000001</v>
      </c>
      <c r="E1020" s="52">
        <v>23288060</v>
      </c>
      <c r="F1020" s="52" t="s">
        <v>1246</v>
      </c>
      <c r="G1020" s="25">
        <f t="shared" si="14"/>
        <v>-1.0946612830865843E-2</v>
      </c>
    </row>
    <row r="1021" spans="1:7">
      <c r="A1021" s="52">
        <v>142.55539999999999</v>
      </c>
      <c r="B1021" s="52">
        <v>142.97890000000001</v>
      </c>
      <c r="C1021" s="52">
        <v>141.92150000000001</v>
      </c>
      <c r="D1021" s="52">
        <v>142.70519999999999</v>
      </c>
      <c r="E1021" s="52">
        <v>20163000</v>
      </c>
      <c r="F1021" s="52" t="s">
        <v>1245</v>
      </c>
      <c r="G1021" s="25">
        <f t="shared" si="14"/>
        <v>-1.0497164784464275E-3</v>
      </c>
    </row>
    <row r="1022" spans="1:7">
      <c r="A1022" s="52">
        <v>142.0986</v>
      </c>
      <c r="B1022" s="52">
        <v>142.1165</v>
      </c>
      <c r="C1022" s="52">
        <v>140.3982</v>
      </c>
      <c r="D1022" s="52">
        <v>140.40520000000001</v>
      </c>
      <c r="E1022" s="52">
        <v>20396160</v>
      </c>
      <c r="F1022" s="52" t="s">
        <v>1244</v>
      </c>
      <c r="G1022" s="25">
        <f t="shared" si="14"/>
        <v>1.2060806864703011E-2</v>
      </c>
    </row>
    <row r="1023" spans="1:7">
      <c r="A1023" s="52">
        <v>140.6953</v>
      </c>
      <c r="B1023" s="52">
        <v>141.0437</v>
      </c>
      <c r="C1023" s="52">
        <v>140.08529999999999</v>
      </c>
      <c r="D1023" s="52">
        <v>140.94069999999999</v>
      </c>
      <c r="E1023" s="52">
        <v>30274440</v>
      </c>
      <c r="F1023" s="52" t="s">
        <v>1243</v>
      </c>
      <c r="G1023" s="25">
        <f t="shared" si="14"/>
        <v>-1.7411578060843036E-3</v>
      </c>
    </row>
    <row r="1024" spans="1:7">
      <c r="A1024" s="52">
        <v>140.4794</v>
      </c>
      <c r="B1024" s="52">
        <v>140.66470000000001</v>
      </c>
      <c r="C1024" s="52">
        <v>138.1644</v>
      </c>
      <c r="D1024" s="52">
        <v>138.81020000000001</v>
      </c>
      <c r="E1024" s="52">
        <v>31927940</v>
      </c>
      <c r="F1024" s="52" t="s">
        <v>1242</v>
      </c>
      <c r="G1024" s="25">
        <f t="shared" si="14"/>
        <v>1.2025052913978929E-2</v>
      </c>
    </row>
    <row r="1025" spans="1:7">
      <c r="A1025" s="52">
        <v>136.92740000000001</v>
      </c>
      <c r="B1025" s="52">
        <v>137.3434</v>
      </c>
      <c r="C1025" s="52">
        <v>135.86920000000001</v>
      </c>
      <c r="D1025" s="52">
        <v>136.74870000000001</v>
      </c>
      <c r="E1025" s="52">
        <v>19662320</v>
      </c>
      <c r="F1025" s="52" t="s">
        <v>1241</v>
      </c>
      <c r="G1025" s="25">
        <f t="shared" si="14"/>
        <v>1.3067765909291484E-3</v>
      </c>
    </row>
    <row r="1026" spans="1:7">
      <c r="A1026" s="52">
        <v>135.7997</v>
      </c>
      <c r="B1026" s="52">
        <v>138.8432</v>
      </c>
      <c r="C1026" s="52">
        <v>135.114</v>
      </c>
      <c r="D1026" s="52">
        <v>138.81630000000001</v>
      </c>
      <c r="E1026" s="52">
        <v>36332240</v>
      </c>
      <c r="F1026" s="52" t="s">
        <v>1240</v>
      </c>
      <c r="G1026" s="25">
        <f t="shared" si="14"/>
        <v>-2.1730877425777839E-2</v>
      </c>
    </row>
    <row r="1027" spans="1:7">
      <c r="A1027" s="52">
        <v>138.25299999999999</v>
      </c>
      <c r="B1027" s="52">
        <v>140.04249999999999</v>
      </c>
      <c r="C1027" s="52">
        <v>138.19829999999999</v>
      </c>
      <c r="D1027" s="52">
        <v>138.6292</v>
      </c>
      <c r="E1027" s="52">
        <v>17953620</v>
      </c>
      <c r="F1027" s="52" t="s">
        <v>1239</v>
      </c>
      <c r="G1027" s="25">
        <f t="shared" si="14"/>
        <v>-2.7137139938773203E-3</v>
      </c>
    </row>
    <row r="1028" spans="1:7">
      <c r="A1028" s="52">
        <v>139.12039999999999</v>
      </c>
      <c r="B1028" s="52">
        <v>139.66329999999999</v>
      </c>
      <c r="C1028" s="52">
        <v>138.55510000000001</v>
      </c>
      <c r="D1028" s="52">
        <v>138.91290000000001</v>
      </c>
      <c r="E1028" s="52">
        <v>26525840</v>
      </c>
      <c r="F1028" s="52" t="s">
        <v>1238</v>
      </c>
      <c r="G1028" s="25">
        <f t="shared" si="14"/>
        <v>1.4937417619240723E-3</v>
      </c>
    </row>
    <row r="1029" spans="1:7">
      <c r="A1029" s="52">
        <v>138.5625</v>
      </c>
      <c r="B1029" s="52">
        <v>139.37569999999999</v>
      </c>
      <c r="C1029" s="52">
        <v>137.9915</v>
      </c>
      <c r="D1029" s="52">
        <v>138.2311</v>
      </c>
      <c r="E1029" s="52">
        <v>25110140</v>
      </c>
      <c r="F1029" s="52" t="s">
        <v>1237</v>
      </c>
      <c r="G1029" s="25">
        <f t="shared" si="14"/>
        <v>2.3974344413089099E-3</v>
      </c>
    </row>
    <row r="1030" spans="1:7">
      <c r="A1030" s="52">
        <v>136.91040000000001</v>
      </c>
      <c r="B1030" s="52">
        <v>137.09460000000001</v>
      </c>
      <c r="C1030" s="52">
        <v>133.90979999999999</v>
      </c>
      <c r="D1030" s="52">
        <v>134.1088</v>
      </c>
      <c r="E1030" s="52">
        <v>24364280</v>
      </c>
      <c r="F1030" s="52" t="s">
        <v>1236</v>
      </c>
      <c r="G1030" s="25">
        <f t="shared" si="14"/>
        <v>2.0890500847073445E-2</v>
      </c>
    </row>
    <row r="1031" spans="1:7">
      <c r="A1031" s="52">
        <v>135.3758</v>
      </c>
      <c r="B1031" s="52">
        <v>136.57159999999999</v>
      </c>
      <c r="C1031" s="52">
        <v>133.4032</v>
      </c>
      <c r="D1031" s="52">
        <v>133.4032</v>
      </c>
      <c r="E1031" s="52">
        <v>32403260</v>
      </c>
      <c r="F1031" s="52" t="s">
        <v>1235</v>
      </c>
      <c r="G1031" s="25">
        <f t="shared" si="14"/>
        <v>1.4786751742087212E-2</v>
      </c>
    </row>
    <row r="1032" spans="1:7">
      <c r="A1032" s="52">
        <v>133.02350000000001</v>
      </c>
      <c r="B1032" s="52">
        <v>135.31360000000001</v>
      </c>
      <c r="C1032" s="52">
        <v>130.4264</v>
      </c>
      <c r="D1032" s="52">
        <v>135.31360000000001</v>
      </c>
      <c r="E1032" s="52">
        <v>51201940</v>
      </c>
      <c r="F1032" s="52" t="s">
        <v>1234</v>
      </c>
      <c r="G1032" s="25">
        <f t="shared" si="14"/>
        <v>-1.6924388974944082E-2</v>
      </c>
    </row>
    <row r="1033" spans="1:7">
      <c r="A1033" s="52">
        <v>135.89330000000001</v>
      </c>
      <c r="B1033" s="52">
        <v>136.25909999999999</v>
      </c>
      <c r="C1033" s="52">
        <v>133.43510000000001</v>
      </c>
      <c r="D1033" s="52">
        <v>133.80779999999999</v>
      </c>
      <c r="E1033" s="52">
        <v>35360180</v>
      </c>
      <c r="F1033" s="52" t="s">
        <v>1233</v>
      </c>
      <c r="G1033" s="25">
        <f t="shared" si="14"/>
        <v>1.5585787973496412E-2</v>
      </c>
    </row>
    <row r="1034" spans="1:7">
      <c r="A1034" s="52">
        <v>133.03989999999999</v>
      </c>
      <c r="B1034" s="52">
        <v>134.89760000000001</v>
      </c>
      <c r="C1034" s="52">
        <v>132.9205</v>
      </c>
      <c r="D1034" s="52">
        <v>133.62270000000001</v>
      </c>
      <c r="E1034" s="52">
        <v>38028800</v>
      </c>
      <c r="F1034" s="52" t="s">
        <v>1232</v>
      </c>
      <c r="G1034" s="25">
        <f t="shared" si="14"/>
        <v>-4.3615343800119666E-3</v>
      </c>
    </row>
    <row r="1035" spans="1:7">
      <c r="A1035" s="52">
        <v>133.71420000000001</v>
      </c>
      <c r="B1035" s="52">
        <v>136.4984</v>
      </c>
      <c r="C1035" s="52">
        <v>133.22800000000001</v>
      </c>
      <c r="D1035" s="52">
        <v>136.32820000000001</v>
      </c>
      <c r="E1035" s="52">
        <v>30848700</v>
      </c>
      <c r="F1035" s="52" t="s">
        <v>1231</v>
      </c>
      <c r="G1035" s="25">
        <f t="shared" si="14"/>
        <v>-1.91743160989436E-2</v>
      </c>
    </row>
    <row r="1036" spans="1:7">
      <c r="A1036" s="52">
        <v>135.18369999999999</v>
      </c>
      <c r="B1036" s="52">
        <v>138.43469999999999</v>
      </c>
      <c r="C1036" s="52">
        <v>134.7159</v>
      </c>
      <c r="D1036" s="52">
        <v>137.99529999999999</v>
      </c>
      <c r="E1036" s="52">
        <v>45772200</v>
      </c>
      <c r="F1036" s="52" t="s">
        <v>1230</v>
      </c>
      <c r="G1036" s="25">
        <f t="shared" si="14"/>
        <v>-2.0374606961251596E-2</v>
      </c>
    </row>
    <row r="1037" spans="1:7">
      <c r="A1037" s="52">
        <v>140.4008</v>
      </c>
      <c r="B1037" s="52">
        <v>141.26310000000001</v>
      </c>
      <c r="C1037" s="52">
        <v>139.40100000000001</v>
      </c>
      <c r="D1037" s="52">
        <v>140.1343</v>
      </c>
      <c r="E1037" s="52">
        <v>21881960</v>
      </c>
      <c r="F1037" s="52" t="s">
        <v>1229</v>
      </c>
      <c r="G1037" s="25">
        <f t="shared" si="14"/>
        <v>1.9017471097368954E-3</v>
      </c>
    </row>
    <row r="1038" spans="1:7">
      <c r="A1038" s="52">
        <v>141.53829999999999</v>
      </c>
      <c r="B1038" s="52">
        <v>141.65299999999999</v>
      </c>
      <c r="C1038" s="52">
        <v>139.5737</v>
      </c>
      <c r="D1038" s="52">
        <v>139.8698</v>
      </c>
      <c r="E1038" s="52">
        <v>22983900</v>
      </c>
      <c r="F1038" s="52" t="s">
        <v>1228</v>
      </c>
      <c r="G1038" s="25">
        <f t="shared" si="14"/>
        <v>1.1928951067349702E-2</v>
      </c>
    </row>
    <row r="1039" spans="1:7">
      <c r="A1039" s="52">
        <v>140.54409999999999</v>
      </c>
      <c r="B1039" s="52">
        <v>141.0223</v>
      </c>
      <c r="C1039" s="52">
        <v>139.73339999999999</v>
      </c>
      <c r="D1039" s="52">
        <v>140.3167</v>
      </c>
      <c r="E1039" s="52">
        <v>20951000</v>
      </c>
      <c r="F1039" s="52" t="s">
        <v>1227</v>
      </c>
      <c r="G1039" s="25">
        <f t="shared" si="14"/>
        <v>1.6206196411403528E-3</v>
      </c>
    </row>
    <row r="1040" spans="1:7">
      <c r="A1040" s="52">
        <v>139.61600000000001</v>
      </c>
      <c r="B1040" s="52">
        <v>140.2166</v>
      </c>
      <c r="C1040" s="52">
        <v>137.8922</v>
      </c>
      <c r="D1040" s="52">
        <v>138.6412</v>
      </c>
      <c r="E1040" s="52">
        <v>25055560</v>
      </c>
      <c r="F1040" s="52" t="s">
        <v>1226</v>
      </c>
      <c r="G1040" s="25">
        <f t="shared" si="14"/>
        <v>7.0310989806783297E-3</v>
      </c>
    </row>
    <row r="1041" spans="1:7">
      <c r="A1041" s="52">
        <v>138.3715</v>
      </c>
      <c r="B1041" s="52">
        <v>139.34530000000001</v>
      </c>
      <c r="C1041" s="52">
        <v>137.62</v>
      </c>
      <c r="D1041" s="52">
        <v>139.08449999999999</v>
      </c>
      <c r="E1041" s="52">
        <v>25331900</v>
      </c>
      <c r="F1041" s="52" t="s">
        <v>1225</v>
      </c>
      <c r="G1041" s="25">
        <f t="shared" si="14"/>
        <v>-5.1263800063989784E-3</v>
      </c>
    </row>
    <row r="1042" spans="1:7">
      <c r="A1042" s="52">
        <v>138.05940000000001</v>
      </c>
      <c r="B1042" s="52">
        <v>138.33860000000001</v>
      </c>
      <c r="C1042" s="52">
        <v>135.67310000000001</v>
      </c>
      <c r="D1042" s="52">
        <v>137.50409999999999</v>
      </c>
      <c r="E1042" s="52">
        <v>46518040</v>
      </c>
      <c r="F1042" s="52" t="s">
        <v>1224</v>
      </c>
      <c r="G1042" s="25">
        <f t="shared" si="14"/>
        <v>4.0384250360536722E-3</v>
      </c>
    </row>
    <row r="1043" spans="1:7">
      <c r="A1043" s="52">
        <v>140.13</v>
      </c>
      <c r="B1043" s="52">
        <v>142.76740000000001</v>
      </c>
      <c r="C1043" s="52">
        <v>139.8014</v>
      </c>
      <c r="D1043" s="52">
        <v>142.34989999999999</v>
      </c>
      <c r="E1043" s="52">
        <v>53384460</v>
      </c>
      <c r="F1043" s="52" t="s">
        <v>1223</v>
      </c>
      <c r="G1043" s="25">
        <f t="shared" si="14"/>
        <v>-1.559467200187703E-2</v>
      </c>
    </row>
    <row r="1044" spans="1:7">
      <c r="A1044" s="52">
        <v>142.92670000000001</v>
      </c>
      <c r="B1044" s="52">
        <v>143.61340000000001</v>
      </c>
      <c r="C1044" s="52">
        <v>141.72389999999999</v>
      </c>
      <c r="D1044" s="52">
        <v>143.26560000000001</v>
      </c>
      <c r="E1044" s="52">
        <v>26195420</v>
      </c>
      <c r="F1044" s="52" t="s">
        <v>1222</v>
      </c>
      <c r="G1044" s="25">
        <f t="shared" si="14"/>
        <v>-2.3655364581588456E-3</v>
      </c>
    </row>
    <row r="1045" spans="1:7">
      <c r="A1045" s="52">
        <v>143.7423</v>
      </c>
      <c r="B1045" s="52">
        <v>143.76320000000001</v>
      </c>
      <c r="C1045" s="52">
        <v>140.67490000000001</v>
      </c>
      <c r="D1045" s="52">
        <v>142.09219999999999</v>
      </c>
      <c r="E1045" s="52">
        <v>27407580</v>
      </c>
      <c r="F1045" s="52" t="s">
        <v>1221</v>
      </c>
      <c r="G1045" s="25">
        <f t="shared" si="14"/>
        <v>1.1612882339776531E-2</v>
      </c>
    </row>
    <row r="1046" spans="1:7">
      <c r="A1046" s="52">
        <v>141.86619999999999</v>
      </c>
      <c r="B1046" s="52">
        <v>142.6808</v>
      </c>
      <c r="C1046" s="52">
        <v>141.07550000000001</v>
      </c>
      <c r="D1046" s="52">
        <v>142.31479999999999</v>
      </c>
      <c r="E1046" s="52">
        <v>19673860</v>
      </c>
      <c r="F1046" s="52" t="s">
        <v>1220</v>
      </c>
      <c r="G1046" s="25">
        <f t="shared" si="14"/>
        <v>-3.1521668863674357E-3</v>
      </c>
    </row>
    <row r="1047" spans="1:7">
      <c r="A1047" s="52">
        <v>141.65530000000001</v>
      </c>
      <c r="B1047" s="52">
        <v>142.2698</v>
      </c>
      <c r="C1047" s="52">
        <v>140.5779</v>
      </c>
      <c r="D1047" s="52">
        <v>141.2741</v>
      </c>
      <c r="E1047" s="52">
        <v>22093840</v>
      </c>
      <c r="F1047" s="52" t="s">
        <v>1219</v>
      </c>
      <c r="G1047" s="25">
        <f t="shared" si="14"/>
        <v>2.6983006793177555E-3</v>
      </c>
    </row>
    <row r="1048" spans="1:7">
      <c r="A1048" s="52">
        <v>140.20570000000001</v>
      </c>
      <c r="B1048" s="52">
        <v>144.0299</v>
      </c>
      <c r="C1048" s="52">
        <v>140.06809999999999</v>
      </c>
      <c r="D1048" s="52">
        <v>143.52629999999999</v>
      </c>
      <c r="E1048" s="52">
        <v>36839340</v>
      </c>
      <c r="F1048" s="52" t="s">
        <v>1218</v>
      </c>
      <c r="G1048" s="25">
        <f t="shared" si="14"/>
        <v>-2.3135829461220614E-2</v>
      </c>
    </row>
    <row r="1049" spans="1:7">
      <c r="A1049" s="52">
        <v>142.858</v>
      </c>
      <c r="B1049" s="52">
        <v>143.62379999999999</v>
      </c>
      <c r="C1049" s="52">
        <v>142.49619999999999</v>
      </c>
      <c r="D1049" s="52">
        <v>143.15610000000001</v>
      </c>
      <c r="E1049" s="52">
        <v>15317100</v>
      </c>
      <c r="F1049" s="52" t="s">
        <v>1217</v>
      </c>
      <c r="G1049" s="25">
        <f t="shared" si="14"/>
        <v>-2.0823422823058602E-3</v>
      </c>
    </row>
    <row r="1050" spans="1:7">
      <c r="A1050" s="52">
        <v>143.00729999999999</v>
      </c>
      <c r="B1050" s="52">
        <v>143.71289999999999</v>
      </c>
      <c r="C1050" s="52">
        <v>142.31960000000001</v>
      </c>
      <c r="D1050" s="52">
        <v>143.4143</v>
      </c>
      <c r="E1050" s="52">
        <v>18350220</v>
      </c>
      <c r="F1050" s="52" t="s">
        <v>1216</v>
      </c>
      <c r="G1050" s="25">
        <f t="shared" si="14"/>
        <v>-2.837931782256109E-3</v>
      </c>
    </row>
    <row r="1051" spans="1:7">
      <c r="A1051" s="52">
        <v>143.59399999999999</v>
      </c>
      <c r="B1051" s="52">
        <v>143.87710000000001</v>
      </c>
      <c r="C1051" s="52">
        <v>142.93559999999999</v>
      </c>
      <c r="D1051" s="52">
        <v>143.15010000000001</v>
      </c>
      <c r="E1051" s="52">
        <v>20131900</v>
      </c>
      <c r="F1051" s="52" t="s">
        <v>1215</v>
      </c>
      <c r="G1051" s="25">
        <f t="shared" si="14"/>
        <v>3.1009409004951749E-3</v>
      </c>
    </row>
    <row r="1052" spans="1:7">
      <c r="A1052" s="52">
        <v>143.0556</v>
      </c>
      <c r="B1052" s="52">
        <v>143.4691</v>
      </c>
      <c r="C1052" s="52">
        <v>141.72290000000001</v>
      </c>
      <c r="D1052" s="52">
        <v>142.3997</v>
      </c>
      <c r="E1052" s="52">
        <v>19854360</v>
      </c>
      <c r="F1052" s="52" t="s">
        <v>1214</v>
      </c>
      <c r="G1052" s="25">
        <f t="shared" si="14"/>
        <v>4.6060490295976031E-3</v>
      </c>
    </row>
    <row r="1053" spans="1:7">
      <c r="A1053" s="52">
        <v>142.6052</v>
      </c>
      <c r="B1053" s="52">
        <v>144.82679999999999</v>
      </c>
      <c r="C1053" s="52">
        <v>142.5034</v>
      </c>
      <c r="D1053" s="52">
        <v>144.52500000000001</v>
      </c>
      <c r="E1053" s="52">
        <v>32358140</v>
      </c>
      <c r="F1053" s="52" t="s">
        <v>1213</v>
      </c>
      <c r="G1053" s="25">
        <f t="shared" si="14"/>
        <v>-1.3283514962809218E-2</v>
      </c>
    </row>
    <row r="1054" spans="1:7">
      <c r="A1054" s="52">
        <v>144.52449999999999</v>
      </c>
      <c r="B1054" s="52">
        <v>145.55779999999999</v>
      </c>
      <c r="C1054" s="52">
        <v>144.19409999999999</v>
      </c>
      <c r="D1054" s="52">
        <v>144.31010000000001</v>
      </c>
      <c r="E1054" s="52">
        <v>21936100</v>
      </c>
      <c r="F1054" s="52" t="s">
        <v>1212</v>
      </c>
      <c r="G1054" s="25">
        <f t="shared" si="14"/>
        <v>1.4856894978243496E-3</v>
      </c>
    </row>
    <row r="1055" spans="1:7">
      <c r="A1055" s="52">
        <v>144.00899999999999</v>
      </c>
      <c r="B1055" s="52">
        <v>144.48050000000001</v>
      </c>
      <c r="C1055" s="52">
        <v>143.59450000000001</v>
      </c>
      <c r="D1055" s="52">
        <v>144.4564</v>
      </c>
      <c r="E1055" s="52">
        <v>22448760</v>
      </c>
      <c r="F1055" s="52" t="s">
        <v>1211</v>
      </c>
      <c r="G1055" s="25">
        <f t="shared" si="14"/>
        <v>-3.0971282684603141E-3</v>
      </c>
    </row>
    <row r="1056" spans="1:7">
      <c r="A1056" s="52">
        <v>143.9025</v>
      </c>
      <c r="B1056" s="52">
        <v>145.27590000000001</v>
      </c>
      <c r="C1056" s="52">
        <v>143.477</v>
      </c>
      <c r="D1056" s="52">
        <v>143.71289999999999</v>
      </c>
      <c r="E1056" s="52">
        <v>24434200</v>
      </c>
      <c r="F1056" s="52" t="s">
        <v>1210</v>
      </c>
      <c r="G1056" s="25">
        <f t="shared" si="14"/>
        <v>1.3192970150905925E-3</v>
      </c>
    </row>
    <row r="1057" spans="1:7">
      <c r="A1057" s="52">
        <v>143.31880000000001</v>
      </c>
      <c r="B1057" s="52">
        <v>143.82490000000001</v>
      </c>
      <c r="C1057" s="52">
        <v>140.8237</v>
      </c>
      <c r="D1057" s="52">
        <v>140.9785</v>
      </c>
      <c r="E1057" s="52">
        <v>28780200</v>
      </c>
      <c r="F1057" s="52" t="s">
        <v>1209</v>
      </c>
      <c r="G1057" s="25">
        <f t="shared" si="14"/>
        <v>1.6600403607642367E-2</v>
      </c>
    </row>
    <row r="1058" spans="1:7">
      <c r="A1058" s="52">
        <v>140.76750000000001</v>
      </c>
      <c r="B1058" s="52">
        <v>141.7398</v>
      </c>
      <c r="C1058" s="52">
        <v>140.68440000000001</v>
      </c>
      <c r="D1058" s="52">
        <v>141.07550000000001</v>
      </c>
      <c r="E1058" s="52">
        <v>20609320</v>
      </c>
      <c r="F1058" s="52" t="s">
        <v>1208</v>
      </c>
      <c r="G1058" s="25">
        <f t="shared" si="14"/>
        <v>-2.1832281296184641E-3</v>
      </c>
    </row>
    <row r="1059" spans="1:7">
      <c r="A1059" s="52">
        <v>141.40299999999999</v>
      </c>
      <c r="B1059" s="52">
        <v>141.5129</v>
      </c>
      <c r="C1059" s="52">
        <v>140.70330000000001</v>
      </c>
      <c r="D1059" s="52">
        <v>140.9511</v>
      </c>
      <c r="E1059" s="52">
        <v>15851480</v>
      </c>
      <c r="F1059" s="52" t="s">
        <v>1207</v>
      </c>
      <c r="G1059" s="25">
        <f t="shared" si="14"/>
        <v>3.2060764335999359E-3</v>
      </c>
    </row>
    <row r="1060" spans="1:7">
      <c r="A1060" s="52">
        <v>140.58930000000001</v>
      </c>
      <c r="B1060" s="52">
        <v>141.404</v>
      </c>
      <c r="C1060" s="52">
        <v>139.67070000000001</v>
      </c>
      <c r="D1060" s="52">
        <v>139.94239999999999</v>
      </c>
      <c r="E1060" s="52">
        <v>19267220</v>
      </c>
      <c r="F1060" s="52" t="s">
        <v>1206</v>
      </c>
      <c r="G1060" s="25">
        <f t="shared" si="14"/>
        <v>4.6226161620781525E-3</v>
      </c>
    </row>
    <row r="1061" spans="1:7">
      <c r="A1061" s="52">
        <v>139.37520000000001</v>
      </c>
      <c r="B1061" s="52">
        <v>140.20419999999999</v>
      </c>
      <c r="C1061" s="52">
        <v>136.95269999999999</v>
      </c>
      <c r="D1061" s="52">
        <v>137.31299999999999</v>
      </c>
      <c r="E1061" s="52">
        <v>28453400</v>
      </c>
      <c r="F1061" s="52" t="s">
        <v>1205</v>
      </c>
      <c r="G1061" s="25">
        <f t="shared" si="14"/>
        <v>1.5018242992287822E-2</v>
      </c>
    </row>
    <row r="1062" spans="1:7">
      <c r="A1062" s="52">
        <v>136.7756</v>
      </c>
      <c r="B1062" s="52">
        <v>136.89949999999999</v>
      </c>
      <c r="C1062" s="52">
        <v>134.60650000000001</v>
      </c>
      <c r="D1062" s="52">
        <v>135.35290000000001</v>
      </c>
      <c r="E1062" s="52">
        <v>31193160</v>
      </c>
      <c r="F1062" s="52" t="s">
        <v>1204</v>
      </c>
      <c r="G1062" s="25">
        <f t="shared" si="14"/>
        <v>1.0511041876457794E-2</v>
      </c>
    </row>
    <row r="1063" spans="1:7">
      <c r="A1063" s="52">
        <v>135.03440000000001</v>
      </c>
      <c r="B1063" s="52">
        <v>135.7037</v>
      </c>
      <c r="C1063" s="52">
        <v>133.6112</v>
      </c>
      <c r="D1063" s="52">
        <v>133.79580000000001</v>
      </c>
      <c r="E1063" s="52">
        <v>21782540</v>
      </c>
      <c r="F1063" s="52" t="s">
        <v>1203</v>
      </c>
      <c r="G1063" s="25">
        <f t="shared" si="14"/>
        <v>9.2573907402175859E-3</v>
      </c>
    </row>
    <row r="1064" spans="1:7">
      <c r="A1064" s="52">
        <v>134.80449999999999</v>
      </c>
      <c r="B1064" s="52">
        <v>136.45189999999999</v>
      </c>
      <c r="C1064" s="52">
        <v>134.67760000000001</v>
      </c>
      <c r="D1064" s="52">
        <v>135.85050000000001</v>
      </c>
      <c r="E1064" s="52">
        <v>19258940</v>
      </c>
      <c r="F1064" s="52" t="s">
        <v>1202</v>
      </c>
      <c r="G1064" s="25">
        <f t="shared" si="14"/>
        <v>-7.6996404135429852E-3</v>
      </c>
    </row>
    <row r="1065" spans="1:7">
      <c r="A1065" s="52">
        <v>136.0112</v>
      </c>
      <c r="B1065" s="52">
        <v>137.60759999999999</v>
      </c>
      <c r="C1065" s="52">
        <v>135.43450000000001</v>
      </c>
      <c r="D1065" s="52">
        <v>137.09460000000001</v>
      </c>
      <c r="E1065" s="52">
        <v>21715200</v>
      </c>
      <c r="F1065" s="52" t="s">
        <v>1201</v>
      </c>
      <c r="G1065" s="25">
        <f t="shared" si="14"/>
        <v>-7.9025723843244577E-3</v>
      </c>
    </row>
    <row r="1066" spans="1:7">
      <c r="A1066" s="52">
        <v>137.6514</v>
      </c>
      <c r="B1066" s="52">
        <v>137.70410000000001</v>
      </c>
      <c r="C1066" s="52">
        <v>134.655</v>
      </c>
      <c r="D1066" s="52">
        <v>136.87049999999999</v>
      </c>
      <c r="E1066" s="52">
        <v>22398360</v>
      </c>
      <c r="F1066" s="52" t="s">
        <v>1200</v>
      </c>
      <c r="G1066" s="25">
        <f t="shared" si="14"/>
        <v>5.7053930540182929E-3</v>
      </c>
    </row>
    <row r="1067" spans="1:7">
      <c r="A1067" s="52">
        <v>137.07220000000001</v>
      </c>
      <c r="B1067" s="52">
        <v>137.20060000000001</v>
      </c>
      <c r="C1067" s="52">
        <v>136.381</v>
      </c>
      <c r="D1067" s="52">
        <v>136.59690000000001</v>
      </c>
      <c r="E1067" s="52">
        <v>15947440</v>
      </c>
      <c r="F1067" s="52" t="s">
        <v>1199</v>
      </c>
      <c r="G1067" s="25">
        <f t="shared" si="14"/>
        <v>3.4795811617980288E-3</v>
      </c>
    </row>
    <row r="1068" spans="1:7">
      <c r="A1068" s="52">
        <v>136.5412</v>
      </c>
      <c r="B1068" s="52">
        <v>136.64670000000001</v>
      </c>
      <c r="C1068" s="52">
        <v>134.78110000000001</v>
      </c>
      <c r="D1068" s="52">
        <v>135.32849999999999</v>
      </c>
      <c r="E1068" s="52">
        <v>16518860</v>
      </c>
      <c r="F1068" s="52" t="s">
        <v>1198</v>
      </c>
      <c r="G1068" s="25">
        <f t="shared" si="14"/>
        <v>8.9611574797623383E-3</v>
      </c>
    </row>
    <row r="1069" spans="1:7">
      <c r="A1069" s="52">
        <v>135.63059999999999</v>
      </c>
      <c r="B1069" s="52">
        <v>137.02709999999999</v>
      </c>
      <c r="C1069" s="52">
        <v>135.62309999999999</v>
      </c>
      <c r="D1069" s="52">
        <v>136.52879999999999</v>
      </c>
      <c r="E1069" s="52">
        <v>15352000</v>
      </c>
      <c r="F1069" s="52" t="s">
        <v>1197</v>
      </c>
      <c r="G1069" s="25">
        <f t="shared" si="14"/>
        <v>-6.5788317190219603E-3</v>
      </c>
    </row>
    <row r="1070" spans="1:7">
      <c r="A1070" s="52">
        <v>136.15600000000001</v>
      </c>
      <c r="B1070" s="52">
        <v>137.11680000000001</v>
      </c>
      <c r="C1070" s="52">
        <v>135.7157</v>
      </c>
      <c r="D1070" s="52">
        <v>136.6885</v>
      </c>
      <c r="E1070" s="52">
        <v>19414080</v>
      </c>
      <c r="F1070" s="52" t="s">
        <v>1196</v>
      </c>
      <c r="G1070" s="25">
        <f t="shared" si="14"/>
        <v>-3.895719098534256E-3</v>
      </c>
    </row>
    <row r="1071" spans="1:7">
      <c r="A1071" s="52">
        <v>136.26150000000001</v>
      </c>
      <c r="B1071" s="52">
        <v>136.53129999999999</v>
      </c>
      <c r="C1071" s="52">
        <v>134.6953</v>
      </c>
      <c r="D1071" s="52">
        <v>135.29570000000001</v>
      </c>
      <c r="E1071" s="52">
        <v>17766000</v>
      </c>
      <c r="F1071" s="52" t="s">
        <v>1195</v>
      </c>
      <c r="G1071" s="25">
        <f t="shared" si="14"/>
        <v>7.1384382504395827E-3</v>
      </c>
    </row>
    <row r="1072" spans="1:7">
      <c r="A1072" s="52">
        <v>135.0926</v>
      </c>
      <c r="B1072" s="52">
        <v>135.82310000000001</v>
      </c>
      <c r="C1072" s="52">
        <v>134.56659999999999</v>
      </c>
      <c r="D1072" s="52">
        <v>135.3947</v>
      </c>
      <c r="E1072" s="52">
        <v>20488120</v>
      </c>
      <c r="F1072" s="52" t="s">
        <v>1194</v>
      </c>
      <c r="G1072" s="25">
        <f t="shared" si="14"/>
        <v>-2.2312542514588696E-3</v>
      </c>
    </row>
    <row r="1073" spans="1:7">
      <c r="A1073" s="52">
        <v>135.60319999999999</v>
      </c>
      <c r="B1073" s="52">
        <v>135.7012</v>
      </c>
      <c r="C1073" s="52">
        <v>134.20439999999999</v>
      </c>
      <c r="D1073" s="52">
        <v>135.03489999999999</v>
      </c>
      <c r="E1073" s="52">
        <v>17869000</v>
      </c>
      <c r="F1073" s="52" t="s">
        <v>1193</v>
      </c>
      <c r="G1073" s="25">
        <f t="shared" si="14"/>
        <v>4.208541643678787E-3</v>
      </c>
    </row>
    <row r="1074" spans="1:7">
      <c r="A1074" s="52">
        <v>134.48249999999999</v>
      </c>
      <c r="B1074" s="52">
        <v>135.00409999999999</v>
      </c>
      <c r="C1074" s="52">
        <v>133.84710000000001</v>
      </c>
      <c r="D1074" s="52">
        <v>134.7055</v>
      </c>
      <c r="E1074" s="52">
        <v>19676020</v>
      </c>
      <c r="F1074" s="52" t="s">
        <v>1192</v>
      </c>
      <c r="G1074" s="25">
        <f t="shared" si="14"/>
        <v>-1.6554632141969616E-3</v>
      </c>
    </row>
    <row r="1075" spans="1:7">
      <c r="A1075" s="52">
        <v>134.9846</v>
      </c>
      <c r="B1075" s="52">
        <v>135.08619999999999</v>
      </c>
      <c r="C1075" s="52">
        <v>132.68510000000001</v>
      </c>
      <c r="D1075" s="52">
        <v>134.49199999999999</v>
      </c>
      <c r="E1075" s="52">
        <v>20761880</v>
      </c>
      <c r="F1075" s="52" t="s">
        <v>1191</v>
      </c>
      <c r="G1075" s="25">
        <f t="shared" si="14"/>
        <v>3.6626713856586779E-3</v>
      </c>
    </row>
    <row r="1076" spans="1:7">
      <c r="A1076" s="52">
        <v>134.21279999999999</v>
      </c>
      <c r="B1076" s="52">
        <v>134.6925</v>
      </c>
      <c r="C1076" s="52">
        <v>133.1575</v>
      </c>
      <c r="D1076" s="52">
        <v>134.47409999999999</v>
      </c>
      <c r="E1076" s="52">
        <v>21634200</v>
      </c>
      <c r="F1076" s="52" t="s">
        <v>1190</v>
      </c>
      <c r="G1076" s="25">
        <f t="shared" si="14"/>
        <v>-1.9431251073627198E-3</v>
      </c>
    </row>
    <row r="1077" spans="1:7">
      <c r="A1077" s="52">
        <v>134.08539999999999</v>
      </c>
      <c r="B1077" s="52">
        <v>134.66069999999999</v>
      </c>
      <c r="C1077" s="52">
        <v>133.61619999999999</v>
      </c>
      <c r="D1077" s="52">
        <v>134.39250000000001</v>
      </c>
      <c r="E1077" s="52">
        <v>25575780</v>
      </c>
      <c r="F1077" s="52" t="s">
        <v>1189</v>
      </c>
      <c r="G1077" s="25">
        <f t="shared" si="14"/>
        <v>-2.2850977547111961E-3</v>
      </c>
    </row>
    <row r="1078" spans="1:7">
      <c r="A1078" s="52">
        <v>135.13140000000001</v>
      </c>
      <c r="B1078" s="52">
        <v>136.01079999999999</v>
      </c>
      <c r="C1078" s="52">
        <v>134.8981</v>
      </c>
      <c r="D1078" s="52">
        <v>135.50219999999999</v>
      </c>
      <c r="E1078" s="52">
        <v>31715720</v>
      </c>
      <c r="F1078" s="52" t="s">
        <v>1188</v>
      </c>
      <c r="G1078" s="25">
        <f t="shared" si="14"/>
        <v>-2.7364869352672905E-3</v>
      </c>
    </row>
    <row r="1079" spans="1:7">
      <c r="A1079" s="52">
        <v>135.44640000000001</v>
      </c>
      <c r="B1079" s="52">
        <v>137.63900000000001</v>
      </c>
      <c r="C1079" s="52">
        <v>134.63380000000001</v>
      </c>
      <c r="D1079" s="52">
        <v>135.6634</v>
      </c>
      <c r="E1079" s="52">
        <v>95130600</v>
      </c>
      <c r="F1079" s="52" t="s">
        <v>1187</v>
      </c>
      <c r="G1079" s="25">
        <f t="shared" si="14"/>
        <v>-1.5995471144021334E-3</v>
      </c>
    </row>
    <row r="1080" spans="1:7">
      <c r="A1080" s="52">
        <v>131.2724</v>
      </c>
      <c r="B1080" s="52">
        <v>133.7595</v>
      </c>
      <c r="C1080" s="52">
        <v>129.48490000000001</v>
      </c>
      <c r="D1080" s="52">
        <v>133.61170000000001</v>
      </c>
      <c r="E1080" s="52">
        <v>54709480</v>
      </c>
      <c r="F1080" s="52" t="s">
        <v>1186</v>
      </c>
      <c r="G1080" s="25">
        <f t="shared" si="14"/>
        <v>-1.7508197261168035E-2</v>
      </c>
    </row>
    <row r="1081" spans="1:7">
      <c r="A1081" s="52">
        <v>133.3972</v>
      </c>
      <c r="B1081" s="52">
        <v>133.59829999999999</v>
      </c>
      <c r="C1081" s="52">
        <v>131.672</v>
      </c>
      <c r="D1081" s="52">
        <v>132.69380000000001</v>
      </c>
      <c r="E1081" s="52">
        <v>30571480</v>
      </c>
      <c r="F1081" s="52" t="s">
        <v>1185</v>
      </c>
      <c r="G1081" s="25">
        <f t="shared" si="14"/>
        <v>5.3009258910363677E-3</v>
      </c>
    </row>
    <row r="1082" spans="1:7">
      <c r="A1082" s="52">
        <v>132.38210000000001</v>
      </c>
      <c r="B1082" s="52">
        <v>132.76429999999999</v>
      </c>
      <c r="C1082" s="52">
        <v>129.18289999999999</v>
      </c>
      <c r="D1082" s="52">
        <v>129.8099</v>
      </c>
      <c r="E1082" s="52">
        <v>41506420</v>
      </c>
      <c r="F1082" s="52" t="s">
        <v>1184</v>
      </c>
      <c r="G1082" s="25">
        <f t="shared" si="14"/>
        <v>1.9815129662683839E-2</v>
      </c>
    </row>
    <row r="1083" spans="1:7">
      <c r="A1083" s="52">
        <v>127.8104</v>
      </c>
      <c r="B1083" s="52">
        <v>127.8717</v>
      </c>
      <c r="C1083" s="52">
        <v>126.8922</v>
      </c>
      <c r="D1083" s="52">
        <v>127.23569999999999</v>
      </c>
      <c r="E1083" s="52">
        <v>14301880</v>
      </c>
      <c r="F1083" s="52" t="s">
        <v>1183</v>
      </c>
      <c r="G1083" s="25">
        <f t="shared" ref="G1083:G1146" si="15">A1083/D1083-1</f>
        <v>4.5168140702649406E-3</v>
      </c>
    </row>
    <row r="1084" spans="1:7">
      <c r="A1084" s="52">
        <v>126.9421</v>
      </c>
      <c r="B1084" s="52">
        <v>126.9889</v>
      </c>
      <c r="C1084" s="52">
        <v>125.4239</v>
      </c>
      <c r="D1084" s="52">
        <v>125.5333</v>
      </c>
      <c r="E1084" s="52">
        <v>20746180</v>
      </c>
      <c r="F1084" s="52" t="s">
        <v>1182</v>
      </c>
      <c r="G1084" s="25">
        <f t="shared" si="15"/>
        <v>1.1222520239649647E-2</v>
      </c>
    </row>
    <row r="1085" spans="1:7">
      <c r="A1085" s="52">
        <v>125.60899999999999</v>
      </c>
      <c r="B1085" s="52">
        <v>126.4387</v>
      </c>
      <c r="C1085" s="52">
        <v>123.75879999999999</v>
      </c>
      <c r="D1085" s="52">
        <v>124.9302</v>
      </c>
      <c r="E1085" s="52">
        <v>26316440</v>
      </c>
      <c r="F1085" s="52" t="s">
        <v>1181</v>
      </c>
      <c r="G1085" s="25">
        <f t="shared" si="15"/>
        <v>5.4334340295620898E-3</v>
      </c>
    </row>
    <row r="1086" spans="1:7">
      <c r="A1086" s="52">
        <v>123.98520000000001</v>
      </c>
      <c r="B1086" s="52">
        <v>125.6045</v>
      </c>
      <c r="C1086" s="52">
        <v>122.9173</v>
      </c>
      <c r="D1086" s="52">
        <v>125.48950000000001</v>
      </c>
      <c r="E1086" s="52">
        <v>27967580</v>
      </c>
      <c r="F1086" s="52" t="s">
        <v>1180</v>
      </c>
      <c r="G1086" s="25">
        <f t="shared" si="15"/>
        <v>-1.1987457117926259E-2</v>
      </c>
    </row>
    <row r="1087" spans="1:7">
      <c r="A1087" s="52">
        <v>126.3659</v>
      </c>
      <c r="B1087" s="52">
        <v>127.2033</v>
      </c>
      <c r="C1087" s="52">
        <v>125.5532</v>
      </c>
      <c r="D1087" s="52">
        <v>127.0556</v>
      </c>
      <c r="E1087" s="52">
        <v>20424540</v>
      </c>
      <c r="F1087" s="52" t="s">
        <v>1179</v>
      </c>
      <c r="G1087" s="25">
        <f t="shared" si="15"/>
        <v>-5.4283321632419002E-3</v>
      </c>
    </row>
    <row r="1088" spans="1:7">
      <c r="A1088" s="52">
        <v>126.4007</v>
      </c>
      <c r="B1088" s="52">
        <v>128.08760000000001</v>
      </c>
      <c r="C1088" s="52">
        <v>125.92789999999999</v>
      </c>
      <c r="D1088" s="52">
        <v>128.0369</v>
      </c>
      <c r="E1088" s="52">
        <v>24218800</v>
      </c>
      <c r="F1088" s="52" t="s">
        <v>1178</v>
      </c>
      <c r="G1088" s="25">
        <f t="shared" si="15"/>
        <v>-1.2779128516857252E-2</v>
      </c>
    </row>
    <row r="1089" spans="1:7">
      <c r="A1089" s="52">
        <v>127.6268</v>
      </c>
      <c r="B1089" s="52">
        <v>128.71100000000001</v>
      </c>
      <c r="C1089" s="52">
        <v>127.3058</v>
      </c>
      <c r="D1089" s="52">
        <v>127.34910000000001</v>
      </c>
      <c r="E1089" s="52">
        <v>23745660</v>
      </c>
      <c r="F1089" s="52" t="s">
        <v>1177</v>
      </c>
      <c r="G1089" s="25">
        <f t="shared" si="15"/>
        <v>2.1806200436438328E-3</v>
      </c>
    </row>
    <row r="1090" spans="1:7">
      <c r="A1090" s="52">
        <v>126.73560000000001</v>
      </c>
      <c r="B1090" s="52">
        <v>127.4482</v>
      </c>
      <c r="C1090" s="52">
        <v>126.0718</v>
      </c>
      <c r="D1090" s="52">
        <v>126.434</v>
      </c>
      <c r="E1090" s="52">
        <v>19246940</v>
      </c>
      <c r="F1090" s="52" t="s">
        <v>1176</v>
      </c>
      <c r="G1090" s="25">
        <f t="shared" si="15"/>
        <v>2.3854342977365217E-3</v>
      </c>
    </row>
    <row r="1091" spans="1:7">
      <c r="A1091" s="52">
        <v>126.37130000000001</v>
      </c>
      <c r="B1091" s="52">
        <v>126.4648</v>
      </c>
      <c r="C1091" s="52">
        <v>125.01309999999999</v>
      </c>
      <c r="D1091" s="52">
        <v>125.5776</v>
      </c>
      <c r="E1091" s="52">
        <v>17667780</v>
      </c>
      <c r="F1091" s="52" t="s">
        <v>1175</v>
      </c>
      <c r="G1091" s="25">
        <f t="shared" si="15"/>
        <v>6.3203947200773936E-3</v>
      </c>
    </row>
    <row r="1092" spans="1:7">
      <c r="A1092" s="52">
        <v>124.9213</v>
      </c>
      <c r="B1092" s="52">
        <v>125.1362</v>
      </c>
      <c r="C1092" s="52">
        <v>123.9586</v>
      </c>
      <c r="D1092" s="52">
        <v>124.4301</v>
      </c>
      <c r="E1092" s="52">
        <v>18631680</v>
      </c>
      <c r="F1092" s="52" t="s">
        <v>1174</v>
      </c>
      <c r="G1092" s="25">
        <f t="shared" si="15"/>
        <v>3.9475978882923535E-3</v>
      </c>
    </row>
    <row r="1093" spans="1:7">
      <c r="A1093" s="52">
        <v>124.449</v>
      </c>
      <c r="B1093" s="52">
        <v>124.9979</v>
      </c>
      <c r="C1093" s="52">
        <v>123.4319</v>
      </c>
      <c r="D1093" s="52">
        <v>123.4359</v>
      </c>
      <c r="E1093" s="52">
        <v>23789340</v>
      </c>
      <c r="F1093" s="52" t="s">
        <v>1173</v>
      </c>
      <c r="G1093" s="25">
        <f t="shared" si="15"/>
        <v>8.20749879087046E-3</v>
      </c>
    </row>
    <row r="1094" spans="1:7">
      <c r="A1094" s="52">
        <v>125.87220000000001</v>
      </c>
      <c r="B1094" s="52">
        <v>126.6784</v>
      </c>
      <c r="C1094" s="52">
        <v>125.5527</v>
      </c>
      <c r="D1094" s="52">
        <v>126.5569</v>
      </c>
      <c r="E1094" s="52">
        <v>24059020</v>
      </c>
      <c r="F1094" s="52" t="s">
        <v>1172</v>
      </c>
      <c r="G1094" s="25">
        <f t="shared" si="15"/>
        <v>-5.4102146939439821E-3</v>
      </c>
    </row>
    <row r="1095" spans="1:7">
      <c r="A1095" s="52">
        <v>125.5896</v>
      </c>
      <c r="B1095" s="52">
        <v>125.82640000000001</v>
      </c>
      <c r="C1095" s="52">
        <v>123.9897</v>
      </c>
      <c r="D1095" s="52">
        <v>125.0506</v>
      </c>
      <c r="E1095" s="52">
        <v>26403580</v>
      </c>
      <c r="F1095" s="52" t="s">
        <v>1171</v>
      </c>
      <c r="G1095" s="25">
        <f t="shared" si="15"/>
        <v>4.3102552086915491E-3</v>
      </c>
    </row>
    <row r="1096" spans="1:7">
      <c r="A1096" s="52">
        <v>124.6615</v>
      </c>
      <c r="B1096" s="52">
        <v>124.8073</v>
      </c>
      <c r="C1096" s="52">
        <v>122.474</v>
      </c>
      <c r="D1096" s="52">
        <v>122.56399999999999</v>
      </c>
      <c r="E1096" s="52">
        <v>26002180</v>
      </c>
      <c r="F1096" s="52" t="s">
        <v>1170</v>
      </c>
      <c r="G1096" s="25">
        <f t="shared" si="15"/>
        <v>1.7113508044776626E-2</v>
      </c>
    </row>
    <row r="1097" spans="1:7">
      <c r="A1097" s="52">
        <v>121.86190000000001</v>
      </c>
      <c r="B1097" s="52">
        <v>122.00369999999999</v>
      </c>
      <c r="C1097" s="52">
        <v>120.9532</v>
      </c>
      <c r="D1097" s="52">
        <v>121.14579999999999</v>
      </c>
      <c r="E1097" s="52">
        <v>18112820</v>
      </c>
      <c r="F1097" s="52" t="s">
        <v>1169</v>
      </c>
      <c r="G1097" s="25">
        <f t="shared" si="15"/>
        <v>5.9110592360611669E-3</v>
      </c>
    </row>
    <row r="1098" spans="1:7">
      <c r="A1098" s="52">
        <v>121.5086</v>
      </c>
      <c r="B1098" s="52">
        <v>121.67529999999999</v>
      </c>
      <c r="C1098" s="52">
        <v>120.7771</v>
      </c>
      <c r="D1098" s="52">
        <v>121.414</v>
      </c>
      <c r="E1098" s="52">
        <v>24473980</v>
      </c>
      <c r="F1098" s="52" t="s">
        <v>1168</v>
      </c>
      <c r="G1098" s="25">
        <f t="shared" si="15"/>
        <v>7.7915232180791882E-4</v>
      </c>
    </row>
    <row r="1099" spans="1:7">
      <c r="A1099" s="52">
        <v>121.69070000000001</v>
      </c>
      <c r="B1099" s="52">
        <v>122.4354</v>
      </c>
      <c r="C1099" s="52">
        <v>121.1117</v>
      </c>
      <c r="D1099" s="52">
        <v>122.08669999999999</v>
      </c>
      <c r="E1099" s="52">
        <v>23108720</v>
      </c>
      <c r="F1099" s="52" t="s">
        <v>1167</v>
      </c>
      <c r="G1099" s="25">
        <f t="shared" si="15"/>
        <v>-3.2435965588387683E-3</v>
      </c>
    </row>
    <row r="1100" spans="1:7">
      <c r="A1100" s="52">
        <v>121.9529</v>
      </c>
      <c r="B1100" s="52">
        <v>122.20050000000001</v>
      </c>
      <c r="C1100" s="52">
        <v>120.8278</v>
      </c>
      <c r="D1100" s="52">
        <v>122.09480000000001</v>
      </c>
      <c r="E1100" s="52">
        <v>28525420</v>
      </c>
      <c r="F1100" s="52" t="s">
        <v>1166</v>
      </c>
      <c r="G1100" s="25">
        <f t="shared" si="15"/>
        <v>-1.1622116584818487E-3</v>
      </c>
    </row>
    <row r="1101" spans="1:7">
      <c r="A1101" s="52">
        <v>121.9256</v>
      </c>
      <c r="B1101" s="52">
        <v>122.04949999999999</v>
      </c>
      <c r="C1101" s="52">
        <v>120.9868</v>
      </c>
      <c r="D1101" s="52">
        <v>121.4195</v>
      </c>
      <c r="E1101" s="52">
        <v>34596380</v>
      </c>
      <c r="F1101" s="52" t="s">
        <v>1165</v>
      </c>
      <c r="G1101" s="25">
        <f t="shared" si="15"/>
        <v>4.1681937415325443E-3</v>
      </c>
    </row>
    <row r="1102" spans="1:7">
      <c r="A1102" s="52">
        <v>121.9171</v>
      </c>
      <c r="B1102" s="52">
        <v>122.47</v>
      </c>
      <c r="C1102" s="52">
        <v>121.71810000000001</v>
      </c>
      <c r="D1102" s="52">
        <v>122.11620000000001</v>
      </c>
      <c r="E1102" s="52">
        <v>21365140</v>
      </c>
      <c r="F1102" s="52" t="s">
        <v>1164</v>
      </c>
      <c r="G1102" s="25">
        <f t="shared" si="15"/>
        <v>-1.6304143103044177E-3</v>
      </c>
    </row>
    <row r="1103" spans="1:7">
      <c r="A1103" s="52">
        <v>121.5459</v>
      </c>
      <c r="B1103" s="52">
        <v>122.5098</v>
      </c>
      <c r="C1103" s="52">
        <v>121.2548</v>
      </c>
      <c r="D1103" s="52">
        <v>121.51260000000001</v>
      </c>
      <c r="E1103" s="52">
        <v>19154160</v>
      </c>
      <c r="F1103" s="52" t="s">
        <v>1163</v>
      </c>
      <c r="G1103" s="25">
        <f t="shared" si="15"/>
        <v>2.7404565452471275E-4</v>
      </c>
    </row>
    <row r="1104" spans="1:7">
      <c r="A1104" s="52">
        <v>121.7484</v>
      </c>
      <c r="B1104" s="52">
        <v>121.8176</v>
      </c>
      <c r="C1104" s="52">
        <v>120.488</v>
      </c>
      <c r="D1104" s="52">
        <v>121.1707</v>
      </c>
      <c r="E1104" s="52">
        <v>22390200</v>
      </c>
      <c r="F1104" s="52" t="s">
        <v>1162</v>
      </c>
      <c r="G1104" s="25">
        <f t="shared" si="15"/>
        <v>4.7676542266406052E-3</v>
      </c>
    </row>
    <row r="1105" spans="1:7">
      <c r="A1105" s="52">
        <v>121.2329</v>
      </c>
      <c r="B1105" s="52">
        <v>121.4195</v>
      </c>
      <c r="C1105" s="52">
        <v>119.328</v>
      </c>
      <c r="D1105" s="52">
        <v>119.9271</v>
      </c>
      <c r="E1105" s="52">
        <v>27413660</v>
      </c>
      <c r="F1105" s="52" t="s">
        <v>1161</v>
      </c>
      <c r="G1105" s="25">
        <f t="shared" si="15"/>
        <v>1.0888281297555036E-2</v>
      </c>
    </row>
    <row r="1106" spans="1:7">
      <c r="A1106" s="52">
        <v>119.5395</v>
      </c>
      <c r="B1106" s="52">
        <v>121.0244</v>
      </c>
      <c r="C1106" s="52">
        <v>119.4439</v>
      </c>
      <c r="D1106" s="52">
        <v>120.7895</v>
      </c>
      <c r="E1106" s="52">
        <v>46115200</v>
      </c>
      <c r="F1106" s="52" t="s">
        <v>1160</v>
      </c>
      <c r="G1106" s="25">
        <f t="shared" si="15"/>
        <v>-1.0348581623402686E-2</v>
      </c>
    </row>
    <row r="1107" spans="1:7">
      <c r="A1107" s="52">
        <v>121.16419999999999</v>
      </c>
      <c r="B1107" s="52">
        <v>121.9395</v>
      </c>
      <c r="C1107" s="52">
        <v>119.92659999999999</v>
      </c>
      <c r="D1107" s="52">
        <v>120.1232</v>
      </c>
      <c r="E1107" s="52">
        <v>25848880</v>
      </c>
      <c r="F1107" s="52" t="s">
        <v>1159</v>
      </c>
      <c r="G1107" s="25">
        <f t="shared" si="15"/>
        <v>8.6661028011241203E-3</v>
      </c>
    </row>
    <row r="1108" spans="1:7">
      <c r="A1108" s="52">
        <v>120.1978</v>
      </c>
      <c r="B1108" s="52">
        <v>121.306</v>
      </c>
      <c r="C1108" s="52">
        <v>118.9015</v>
      </c>
      <c r="D1108" s="52">
        <v>120.9935</v>
      </c>
      <c r="E1108" s="52">
        <v>26471860</v>
      </c>
      <c r="F1108" s="52" t="s">
        <v>1158</v>
      </c>
      <c r="G1108" s="25">
        <f t="shared" si="15"/>
        <v>-6.5763863348030638E-3</v>
      </c>
    </row>
    <row r="1109" spans="1:7">
      <c r="A1109" s="52">
        <v>120.84180000000001</v>
      </c>
      <c r="B1109" s="52">
        <v>122.1913</v>
      </c>
      <c r="C1109" s="52">
        <v>120.48</v>
      </c>
      <c r="D1109" s="52">
        <v>121.8674</v>
      </c>
      <c r="E1109" s="52">
        <v>21562140</v>
      </c>
      <c r="F1109" s="52" t="s">
        <v>1157</v>
      </c>
      <c r="G1109" s="25">
        <f t="shared" si="15"/>
        <v>-8.415704281866998E-3</v>
      </c>
    </row>
    <row r="1110" spans="1:7">
      <c r="A1110" s="52">
        <v>121.8629</v>
      </c>
      <c r="B1110" s="52">
        <v>121.8634</v>
      </c>
      <c r="C1110" s="52">
        <v>120.32470000000001</v>
      </c>
      <c r="D1110" s="52">
        <v>121.0343</v>
      </c>
      <c r="E1110" s="52">
        <v>22097560</v>
      </c>
      <c r="F1110" s="52" t="s">
        <v>1156</v>
      </c>
      <c r="G1110" s="25">
        <f t="shared" si="15"/>
        <v>6.8459932432376469E-3</v>
      </c>
    </row>
    <row r="1111" spans="1:7">
      <c r="A1111" s="52">
        <v>120.9318</v>
      </c>
      <c r="B1111" s="52">
        <v>121.5051</v>
      </c>
      <c r="C1111" s="52">
        <v>120.3725</v>
      </c>
      <c r="D1111" s="52">
        <v>121.4195</v>
      </c>
      <c r="E1111" s="52">
        <v>21958140</v>
      </c>
      <c r="F1111" s="52" t="s">
        <v>1155</v>
      </c>
      <c r="G1111" s="25">
        <f t="shared" si="15"/>
        <v>-4.0166530087836216E-3</v>
      </c>
    </row>
    <row r="1112" spans="1:7">
      <c r="A1112" s="52">
        <v>121.1772</v>
      </c>
      <c r="B1112" s="52">
        <v>121.2205</v>
      </c>
      <c r="C1112" s="52">
        <v>119.61709999999999</v>
      </c>
      <c r="D1112" s="52">
        <v>119.7734</v>
      </c>
      <c r="E1112" s="52">
        <v>25907500</v>
      </c>
      <c r="F1112" s="52" t="s">
        <v>1154</v>
      </c>
      <c r="G1112" s="25">
        <f t="shared" si="15"/>
        <v>1.1720465478979536E-2</v>
      </c>
    </row>
    <row r="1113" spans="1:7">
      <c r="A1113" s="52">
        <v>119.8241</v>
      </c>
      <c r="B1113" s="52">
        <v>120.07</v>
      </c>
      <c r="C1113" s="52">
        <v>119.2748</v>
      </c>
      <c r="D1113" s="52">
        <v>119.9978</v>
      </c>
      <c r="E1113" s="52">
        <v>17941040</v>
      </c>
      <c r="F1113" s="52" t="s">
        <v>1153</v>
      </c>
      <c r="G1113" s="25">
        <f t="shared" si="15"/>
        <v>-1.447526537986521E-3</v>
      </c>
    </row>
    <row r="1114" spans="1:7">
      <c r="A1114" s="52">
        <v>119.3514</v>
      </c>
      <c r="B1114" s="52">
        <v>120.4004</v>
      </c>
      <c r="C1114" s="52">
        <v>119.16930000000001</v>
      </c>
      <c r="D1114" s="52">
        <v>120.02670000000001</v>
      </c>
      <c r="E1114" s="52">
        <v>24239840</v>
      </c>
      <c r="F1114" s="52" t="s">
        <v>1152</v>
      </c>
      <c r="G1114" s="25">
        <f t="shared" si="15"/>
        <v>-5.6262481597845193E-3</v>
      </c>
    </row>
    <row r="1115" spans="1:7">
      <c r="A1115" s="52">
        <v>119.54349999999999</v>
      </c>
      <c r="B1115" s="52">
        <v>119.6534</v>
      </c>
      <c r="C1115" s="52">
        <v>118.48350000000001</v>
      </c>
      <c r="D1115" s="52">
        <v>118.9033</v>
      </c>
      <c r="E1115" s="52">
        <v>24119320</v>
      </c>
      <c r="F1115" s="52" t="s">
        <v>1151</v>
      </c>
      <c r="G1115" s="25">
        <f t="shared" si="15"/>
        <v>5.3842071666638791E-3</v>
      </c>
    </row>
    <row r="1116" spans="1:7">
      <c r="A1116" s="52">
        <v>119.10899999999999</v>
      </c>
      <c r="B1116" s="52">
        <v>119.3807</v>
      </c>
      <c r="C1116" s="52">
        <v>117.5585</v>
      </c>
      <c r="D1116" s="52">
        <v>117.8998</v>
      </c>
      <c r="E1116" s="52">
        <v>24458200</v>
      </c>
      <c r="F1116" s="52" t="s">
        <v>1150</v>
      </c>
      <c r="G1116" s="25">
        <f t="shared" si="15"/>
        <v>1.0256166677127476E-2</v>
      </c>
    </row>
    <row r="1117" spans="1:7">
      <c r="A1117" s="52">
        <v>116.8205</v>
      </c>
      <c r="B1117" s="52">
        <v>117.29</v>
      </c>
      <c r="C1117" s="52">
        <v>115.9218</v>
      </c>
      <c r="D1117" s="52">
        <v>116.72839999999999</v>
      </c>
      <c r="E1117" s="52">
        <v>18695920</v>
      </c>
      <c r="F1117" s="52" t="s">
        <v>1149</v>
      </c>
      <c r="G1117" s="25">
        <f t="shared" si="15"/>
        <v>7.8901107185580521E-4</v>
      </c>
    </row>
    <row r="1118" spans="1:7">
      <c r="A1118" s="52">
        <v>117.96550000000001</v>
      </c>
      <c r="B1118" s="52">
        <v>119.1125</v>
      </c>
      <c r="C1118" s="52">
        <v>117.0581</v>
      </c>
      <c r="D1118" s="52">
        <v>118.8891</v>
      </c>
      <c r="E1118" s="52">
        <v>21162920</v>
      </c>
      <c r="F1118" s="52" t="s">
        <v>1148</v>
      </c>
      <c r="G1118" s="25">
        <f t="shared" si="15"/>
        <v>-7.7685843361585682E-3</v>
      </c>
    </row>
    <row r="1119" spans="1:7">
      <c r="A1119" s="52">
        <v>118.49250000000001</v>
      </c>
      <c r="B1119" s="52">
        <v>118.7179</v>
      </c>
      <c r="C1119" s="52">
        <v>117.15389999999999</v>
      </c>
      <c r="D1119" s="52">
        <v>118.1571</v>
      </c>
      <c r="E1119" s="52">
        <v>23358020</v>
      </c>
      <c r="F1119" s="52" t="s">
        <v>1147</v>
      </c>
      <c r="G1119" s="25">
        <f t="shared" si="15"/>
        <v>2.8385937027906039E-3</v>
      </c>
    </row>
    <row r="1120" spans="1:7">
      <c r="A1120" s="52">
        <v>117.2818</v>
      </c>
      <c r="B1120" s="52">
        <v>118.23820000000001</v>
      </c>
      <c r="C1120" s="52">
        <v>117.0827</v>
      </c>
      <c r="D1120" s="52">
        <v>118.1561</v>
      </c>
      <c r="E1120" s="52">
        <v>21490800</v>
      </c>
      <c r="F1120" s="52" t="s">
        <v>1146</v>
      </c>
      <c r="G1120" s="25">
        <f t="shared" si="15"/>
        <v>-7.3995333292143917E-3</v>
      </c>
    </row>
    <row r="1121" spans="1:7">
      <c r="A1121" s="52">
        <v>117.5719</v>
      </c>
      <c r="B1121" s="52">
        <v>118.8841</v>
      </c>
      <c r="C1121" s="52">
        <v>117.25239999999999</v>
      </c>
      <c r="D1121" s="52">
        <v>118.8841</v>
      </c>
      <c r="E1121" s="52">
        <v>35224020</v>
      </c>
      <c r="F1121" s="52" t="s">
        <v>1145</v>
      </c>
      <c r="G1121" s="25">
        <f t="shared" si="15"/>
        <v>-1.1037640861982445E-2</v>
      </c>
    </row>
    <row r="1122" spans="1:7">
      <c r="A1122" s="52">
        <v>118.4492</v>
      </c>
      <c r="B1122" s="52">
        <v>118.8811</v>
      </c>
      <c r="C1122" s="52">
        <v>117.76009999999999</v>
      </c>
      <c r="D1122" s="52">
        <v>117.76300000000001</v>
      </c>
      <c r="E1122" s="52">
        <v>21571960</v>
      </c>
      <c r="F1122" s="52" t="s">
        <v>1144</v>
      </c>
      <c r="G1122" s="25">
        <f t="shared" si="15"/>
        <v>5.8269575333509405E-3</v>
      </c>
    </row>
    <row r="1123" spans="1:7">
      <c r="A1123" s="52">
        <v>117.5813</v>
      </c>
      <c r="B1123" s="52">
        <v>118.6328</v>
      </c>
      <c r="C1123" s="52">
        <v>117.1897</v>
      </c>
      <c r="D1123" s="52">
        <v>118.03570000000001</v>
      </c>
      <c r="E1123" s="52">
        <v>22439640</v>
      </c>
      <c r="F1123" s="52" t="s">
        <v>1143</v>
      </c>
      <c r="G1123" s="25">
        <f t="shared" si="15"/>
        <v>-3.8496827654684873E-3</v>
      </c>
    </row>
    <row r="1124" spans="1:7">
      <c r="A1124" s="52">
        <v>117.4903</v>
      </c>
      <c r="B1124" s="52">
        <v>117.71469999999999</v>
      </c>
      <c r="C1124" s="52">
        <v>115.04770000000001</v>
      </c>
      <c r="D1124" s="52">
        <v>115.1938</v>
      </c>
      <c r="E1124" s="52">
        <v>31832200</v>
      </c>
      <c r="F1124" s="52" t="s">
        <v>1142</v>
      </c>
      <c r="G1124" s="25">
        <f t="shared" si="15"/>
        <v>1.9935968776097379E-2</v>
      </c>
    </row>
    <row r="1125" spans="1:7">
      <c r="A1125" s="52">
        <v>114.16070000000001</v>
      </c>
      <c r="B1125" s="52">
        <v>115.39279999999999</v>
      </c>
      <c r="C1125" s="52">
        <v>113.9204</v>
      </c>
      <c r="D1125" s="52">
        <v>115.3192</v>
      </c>
      <c r="E1125" s="52">
        <v>40631800</v>
      </c>
      <c r="F1125" s="52" t="s">
        <v>1141</v>
      </c>
      <c r="G1125" s="25">
        <f t="shared" si="15"/>
        <v>-1.0046028761905967E-2</v>
      </c>
    </row>
    <row r="1126" spans="1:7">
      <c r="A1126" s="52">
        <v>114.7987</v>
      </c>
      <c r="B1126" s="52">
        <v>115.05</v>
      </c>
      <c r="C1126" s="52">
        <v>113.6327</v>
      </c>
      <c r="D1126" s="52">
        <v>114.00490000000001</v>
      </c>
      <c r="E1126" s="52">
        <v>32351000</v>
      </c>
      <c r="F1126" s="52" t="s">
        <v>1140</v>
      </c>
      <c r="G1126" s="25">
        <f t="shared" si="15"/>
        <v>6.962858613971834E-3</v>
      </c>
    </row>
    <row r="1127" spans="1:7">
      <c r="A1127" s="52">
        <v>113.0346</v>
      </c>
      <c r="B1127" s="52">
        <v>113.20829999999999</v>
      </c>
      <c r="C1127" s="52">
        <v>110.74250000000001</v>
      </c>
      <c r="D1127" s="52">
        <v>110.8913</v>
      </c>
      <c r="E1127" s="52">
        <v>23684100</v>
      </c>
      <c r="F1127" s="52" t="s">
        <v>1139</v>
      </c>
      <c r="G1127" s="25">
        <f t="shared" si="15"/>
        <v>1.9327936456692285E-2</v>
      </c>
    </row>
    <row r="1128" spans="1:7">
      <c r="A1128" s="52">
        <v>112.5852</v>
      </c>
      <c r="B1128" s="52">
        <v>114.8351</v>
      </c>
      <c r="C1128" s="52">
        <v>112.57129999999999</v>
      </c>
      <c r="D1128" s="52">
        <v>114.5697</v>
      </c>
      <c r="E1128" s="52">
        <v>22203700</v>
      </c>
      <c r="F1128" s="52" t="s">
        <v>1138</v>
      </c>
      <c r="G1128" s="25">
        <f t="shared" si="15"/>
        <v>-1.7321333651043824E-2</v>
      </c>
    </row>
    <row r="1129" spans="1:7">
      <c r="A1129" s="52">
        <v>113.9014</v>
      </c>
      <c r="B1129" s="52">
        <v>113.9442</v>
      </c>
      <c r="C1129" s="52">
        <v>112.2389</v>
      </c>
      <c r="D1129" s="52">
        <v>112.64</v>
      </c>
      <c r="E1129" s="52">
        <v>21597380</v>
      </c>
      <c r="F1129" s="52" t="s">
        <v>1137</v>
      </c>
      <c r="G1129" s="25">
        <f t="shared" si="15"/>
        <v>1.1198508522727302E-2</v>
      </c>
    </row>
    <row r="1130" spans="1:7">
      <c r="A1130" s="52">
        <v>113.377</v>
      </c>
      <c r="B1130" s="52">
        <v>113.69240000000001</v>
      </c>
      <c r="C1130" s="52">
        <v>111.96469999999999</v>
      </c>
      <c r="D1130" s="52">
        <v>112.3897</v>
      </c>
      <c r="E1130" s="52">
        <v>31996580</v>
      </c>
      <c r="F1130" s="52" t="s">
        <v>1136</v>
      </c>
      <c r="G1130" s="25">
        <f t="shared" si="15"/>
        <v>8.7846128248405542E-3</v>
      </c>
    </row>
    <row r="1131" spans="1:7">
      <c r="A1131" s="52">
        <v>110.9217</v>
      </c>
      <c r="B1131" s="52">
        <v>111.4391</v>
      </c>
      <c r="C1131" s="52">
        <v>109.81100000000001</v>
      </c>
      <c r="D1131" s="52">
        <v>110.7764</v>
      </c>
      <c r="E1131" s="52">
        <v>33220400</v>
      </c>
      <c r="F1131" s="52" t="s">
        <v>1135</v>
      </c>
      <c r="G1131" s="25">
        <f t="shared" si="15"/>
        <v>1.3116512181294837E-3</v>
      </c>
    </row>
    <row r="1132" spans="1:7">
      <c r="A1132" s="52">
        <v>109.489</v>
      </c>
      <c r="B1132" s="52">
        <v>111.8642</v>
      </c>
      <c r="C1132" s="52">
        <v>109.1591</v>
      </c>
      <c r="D1132" s="52">
        <v>110.7799</v>
      </c>
      <c r="E1132" s="52">
        <v>46375480</v>
      </c>
      <c r="F1132" s="52" t="s">
        <v>1134</v>
      </c>
      <c r="G1132" s="25">
        <f t="shared" si="15"/>
        <v>-1.1652835938649408E-2</v>
      </c>
    </row>
    <row r="1133" spans="1:7">
      <c r="A1133" s="52">
        <v>112.9629</v>
      </c>
      <c r="B1133" s="52">
        <v>113.47150000000001</v>
      </c>
      <c r="C1133" s="52">
        <v>111.1645</v>
      </c>
      <c r="D1133" s="52">
        <v>111.6199</v>
      </c>
      <c r="E1133" s="52">
        <v>34185840</v>
      </c>
      <c r="F1133" s="52" t="s">
        <v>1133</v>
      </c>
      <c r="G1133" s="25">
        <f t="shared" si="15"/>
        <v>1.2031904705164687E-2</v>
      </c>
    </row>
    <row r="1134" spans="1:7">
      <c r="A1134" s="52">
        <v>114.0423</v>
      </c>
      <c r="B1134" s="52">
        <v>115.9954</v>
      </c>
      <c r="C1134" s="52">
        <v>113.6835</v>
      </c>
      <c r="D1134" s="52">
        <v>115.8531</v>
      </c>
      <c r="E1134" s="52">
        <v>30914580</v>
      </c>
      <c r="F1134" s="52" t="s">
        <v>1132</v>
      </c>
      <c r="G1134" s="25">
        <f t="shared" si="15"/>
        <v>-1.5630138511615099E-2</v>
      </c>
    </row>
    <row r="1135" spans="1:7">
      <c r="A1135" s="52">
        <v>117.03700000000001</v>
      </c>
      <c r="B1135" s="52">
        <v>117.9984</v>
      </c>
      <c r="C1135" s="52">
        <v>116.7496</v>
      </c>
      <c r="D1135" s="52">
        <v>117.63209999999999</v>
      </c>
      <c r="E1135" s="52">
        <v>28897240</v>
      </c>
      <c r="F1135" s="52" t="s">
        <v>1131</v>
      </c>
      <c r="G1135" s="25">
        <f t="shared" si="15"/>
        <v>-5.0589932509917945E-3</v>
      </c>
    </row>
    <row r="1136" spans="1:7">
      <c r="A1136" s="52">
        <v>116.31140000000001</v>
      </c>
      <c r="B1136" s="52">
        <v>116.31140000000001</v>
      </c>
      <c r="C1136" s="52">
        <v>114.1066</v>
      </c>
      <c r="D1136" s="52">
        <v>114.76779999999999</v>
      </c>
      <c r="E1136" s="52">
        <v>25190460</v>
      </c>
      <c r="F1136" s="52" t="s">
        <v>1130</v>
      </c>
      <c r="G1136" s="25">
        <f t="shared" si="15"/>
        <v>1.3449765526567736E-2</v>
      </c>
    </row>
    <row r="1137" spans="1:7">
      <c r="A1137" s="52">
        <v>115.1878</v>
      </c>
      <c r="B1137" s="52">
        <v>116.19450000000001</v>
      </c>
      <c r="C1137" s="52">
        <v>114.8648</v>
      </c>
      <c r="D1137" s="52">
        <v>115.8775</v>
      </c>
      <c r="E1137" s="52">
        <v>26636180</v>
      </c>
      <c r="F1137" s="52" t="s">
        <v>1129</v>
      </c>
      <c r="G1137" s="25">
        <f t="shared" si="15"/>
        <v>-5.9519751461672987E-3</v>
      </c>
    </row>
    <row r="1138" spans="1:7">
      <c r="A1138" s="52">
        <v>114.7927</v>
      </c>
      <c r="B1138" s="52">
        <v>115.6964</v>
      </c>
      <c r="C1138" s="52">
        <v>112.2971</v>
      </c>
      <c r="D1138" s="52">
        <v>115.1271</v>
      </c>
      <c r="E1138" s="52">
        <v>44818640</v>
      </c>
      <c r="F1138" s="52" t="s">
        <v>1128</v>
      </c>
      <c r="G1138" s="25">
        <f t="shared" si="15"/>
        <v>-2.9046158549985712E-3</v>
      </c>
    </row>
    <row r="1139" spans="1:7">
      <c r="A1139" s="52">
        <v>116.5966</v>
      </c>
      <c r="B1139" s="52">
        <v>118.51090000000001</v>
      </c>
      <c r="C1139" s="52">
        <v>116.21939999999999</v>
      </c>
      <c r="D1139" s="52">
        <v>117.6829</v>
      </c>
      <c r="E1139" s="52">
        <v>28242780</v>
      </c>
      <c r="F1139" s="52" t="s">
        <v>1127</v>
      </c>
      <c r="G1139" s="25">
        <f t="shared" si="15"/>
        <v>-9.2307378557123787E-3</v>
      </c>
    </row>
    <row r="1140" spans="1:7">
      <c r="A1140" s="52">
        <v>117.1151</v>
      </c>
      <c r="B1140" s="52">
        <v>118.5258</v>
      </c>
      <c r="C1140" s="52">
        <v>116.7697</v>
      </c>
      <c r="D1140" s="52">
        <v>117.83759999999999</v>
      </c>
      <c r="E1140" s="52">
        <v>44856760</v>
      </c>
      <c r="F1140" s="52" t="s">
        <v>1126</v>
      </c>
      <c r="G1140" s="25">
        <f t="shared" si="15"/>
        <v>-6.1313197145902443E-3</v>
      </c>
    </row>
    <row r="1141" spans="1:7">
      <c r="A1141" s="52">
        <v>119.06870000000001</v>
      </c>
      <c r="B1141" s="52">
        <v>119.636</v>
      </c>
      <c r="C1141" s="52">
        <v>118.1277</v>
      </c>
      <c r="D1141" s="52">
        <v>118.8931</v>
      </c>
      <c r="E1141" s="52">
        <v>41233080</v>
      </c>
      <c r="F1141" s="52" t="s">
        <v>1125</v>
      </c>
      <c r="G1141" s="25">
        <f t="shared" si="15"/>
        <v>1.4769570311481406E-3</v>
      </c>
    </row>
    <row r="1142" spans="1:7">
      <c r="A1142" s="52">
        <v>117.3908</v>
      </c>
      <c r="B1142" s="52">
        <v>120.9906</v>
      </c>
      <c r="C1142" s="52">
        <v>117.1011</v>
      </c>
      <c r="D1142" s="52">
        <v>119.0556</v>
      </c>
      <c r="E1142" s="52">
        <v>81106800</v>
      </c>
      <c r="F1142" s="52" t="s">
        <v>1124</v>
      </c>
      <c r="G1142" s="25">
        <f t="shared" si="15"/>
        <v>-1.398338255403353E-2</v>
      </c>
    </row>
    <row r="1143" spans="1:7">
      <c r="A1143" s="52">
        <v>114.004</v>
      </c>
      <c r="B1143" s="52">
        <v>115.37090000000001</v>
      </c>
      <c r="C1143" s="52">
        <v>113.7641</v>
      </c>
      <c r="D1143" s="52">
        <v>115.3302</v>
      </c>
      <c r="E1143" s="52">
        <v>44385600</v>
      </c>
      <c r="F1143" s="52" t="s">
        <v>1123</v>
      </c>
      <c r="G1143" s="25">
        <f t="shared" si="15"/>
        <v>-1.1499156335461169E-2</v>
      </c>
    </row>
    <row r="1144" spans="1:7">
      <c r="A1144" s="52">
        <v>114.9469</v>
      </c>
      <c r="B1144" s="52">
        <v>115.6735</v>
      </c>
      <c r="C1144" s="52">
        <v>114.3192</v>
      </c>
      <c r="D1144" s="52">
        <v>114.6777</v>
      </c>
      <c r="E1144" s="52">
        <v>32037840</v>
      </c>
      <c r="F1144" s="52" t="s">
        <v>1122</v>
      </c>
      <c r="G1144" s="25">
        <f t="shared" si="15"/>
        <v>2.3474485449219706E-3</v>
      </c>
    </row>
    <row r="1145" spans="1:7">
      <c r="A1145" s="52">
        <v>114.44929999999999</v>
      </c>
      <c r="B1145" s="52">
        <v>114.7572</v>
      </c>
      <c r="C1145" s="52">
        <v>112.5245</v>
      </c>
      <c r="D1145" s="52">
        <v>112.8107</v>
      </c>
      <c r="E1145" s="52">
        <v>29111080</v>
      </c>
      <c r="F1145" s="52" t="s">
        <v>1121</v>
      </c>
      <c r="G1145" s="25">
        <f t="shared" si="15"/>
        <v>1.4525217909294064E-2</v>
      </c>
    </row>
    <row r="1146" spans="1:7">
      <c r="A1146" s="52">
        <v>112.09010000000001</v>
      </c>
      <c r="B1146" s="52">
        <v>113.8995</v>
      </c>
      <c r="C1146" s="52">
        <v>111.483</v>
      </c>
      <c r="D1146" s="52">
        <v>113.2287</v>
      </c>
      <c r="E1146" s="52">
        <v>24145520</v>
      </c>
      <c r="F1146" s="52" t="s">
        <v>1120</v>
      </c>
      <c r="G1146" s="25">
        <f t="shared" si="15"/>
        <v>-1.0055754415620788E-2</v>
      </c>
    </row>
    <row r="1147" spans="1:7">
      <c r="A1147" s="52">
        <v>113.3755</v>
      </c>
      <c r="B1147" s="52">
        <v>113.4576</v>
      </c>
      <c r="C1147" s="52">
        <v>111.7069</v>
      </c>
      <c r="D1147" s="52">
        <v>113.062</v>
      </c>
      <c r="E1147" s="52">
        <v>23204180</v>
      </c>
      <c r="F1147" s="52" t="s">
        <v>1119</v>
      </c>
      <c r="G1147" s="25">
        <f t="shared" ref="G1147:G1210" si="16">A1147/D1147-1</f>
        <v>2.7728149157100201E-3</v>
      </c>
    </row>
    <row r="1148" spans="1:7">
      <c r="A1148" s="52">
        <v>113.4083</v>
      </c>
      <c r="B1148" s="52">
        <v>114.40300000000001</v>
      </c>
      <c r="C1148" s="52">
        <v>112.319</v>
      </c>
      <c r="D1148" s="52">
        <v>114.3279</v>
      </c>
      <c r="E1148" s="52">
        <v>22288320</v>
      </c>
      <c r="F1148" s="52" t="s">
        <v>1118</v>
      </c>
      <c r="G1148" s="25">
        <f t="shared" si="16"/>
        <v>-8.0435309316448933E-3</v>
      </c>
    </row>
    <row r="1149" spans="1:7">
      <c r="A1149" s="52">
        <v>113.9432</v>
      </c>
      <c r="B1149" s="52">
        <v>114.6563</v>
      </c>
      <c r="C1149" s="52">
        <v>112.9689</v>
      </c>
      <c r="D1149" s="52">
        <v>112.9689</v>
      </c>
      <c r="E1149" s="52">
        <v>30289400</v>
      </c>
      <c r="F1149" s="52" t="s">
        <v>1117</v>
      </c>
      <c r="G1149" s="25">
        <f t="shared" si="16"/>
        <v>8.6244975387030909E-3</v>
      </c>
    </row>
    <row r="1150" spans="1:7">
      <c r="A1150" s="52">
        <v>113.59439999999999</v>
      </c>
      <c r="B1150" s="52">
        <v>114.1662</v>
      </c>
      <c r="C1150" s="52">
        <v>113.0057</v>
      </c>
      <c r="D1150" s="52">
        <v>113.9174</v>
      </c>
      <c r="E1150" s="52">
        <v>26282780</v>
      </c>
      <c r="F1150" s="52" t="s">
        <v>1116</v>
      </c>
      <c r="G1150" s="25">
        <f t="shared" si="16"/>
        <v>-2.835387745858009E-3</v>
      </c>
    </row>
    <row r="1151" spans="1:7">
      <c r="A1151" s="52">
        <v>113.7188</v>
      </c>
      <c r="B1151" s="52">
        <v>114.2538</v>
      </c>
      <c r="C1151" s="52">
        <v>112.02290000000001</v>
      </c>
      <c r="D1151" s="52">
        <v>112.5594</v>
      </c>
      <c r="E1151" s="52">
        <v>29174980</v>
      </c>
      <c r="F1151" s="52" t="s">
        <v>1115</v>
      </c>
      <c r="G1151" s="25">
        <f t="shared" si="16"/>
        <v>1.0300339198680897E-2</v>
      </c>
    </row>
    <row r="1152" spans="1:7">
      <c r="A1152" s="52">
        <v>111.5621</v>
      </c>
      <c r="B1152" s="52">
        <v>112.8321</v>
      </c>
      <c r="C1152" s="52">
        <v>111.2688</v>
      </c>
      <c r="D1152" s="52">
        <v>112.8321</v>
      </c>
      <c r="E1152" s="52">
        <v>21002860</v>
      </c>
      <c r="F1152" s="52" t="s">
        <v>1114</v>
      </c>
      <c r="G1152" s="25">
        <f t="shared" si="16"/>
        <v>-1.1255662174150749E-2</v>
      </c>
    </row>
    <row r="1153" spans="1:7">
      <c r="A1153" s="52">
        <v>112.18510000000001</v>
      </c>
      <c r="B1153" s="52">
        <v>112.63500000000001</v>
      </c>
      <c r="C1153" s="52">
        <v>111.6189</v>
      </c>
      <c r="D1153" s="52">
        <v>112.014</v>
      </c>
      <c r="E1153" s="52">
        <v>25681560</v>
      </c>
      <c r="F1153" s="52" t="s">
        <v>1113</v>
      </c>
      <c r="G1153" s="25">
        <f t="shared" si="16"/>
        <v>1.5274876354742783E-3</v>
      </c>
    </row>
    <row r="1154" spans="1:7">
      <c r="A1154" s="52">
        <v>111.697</v>
      </c>
      <c r="B1154" s="52">
        <v>112.3073</v>
      </c>
      <c r="C1154" s="52">
        <v>110.861</v>
      </c>
      <c r="D1154" s="52">
        <v>112.16970000000001</v>
      </c>
      <c r="E1154" s="52">
        <v>25023660</v>
      </c>
      <c r="F1154" s="52" t="s">
        <v>1112</v>
      </c>
      <c r="G1154" s="25">
        <f t="shared" si="16"/>
        <v>-4.214150523715432E-3</v>
      </c>
    </row>
    <row r="1155" spans="1:7">
      <c r="A1155" s="52">
        <v>112.9933</v>
      </c>
      <c r="B1155" s="52">
        <v>113.1575</v>
      </c>
      <c r="C1155" s="52">
        <v>111.3305</v>
      </c>
      <c r="D1155" s="52">
        <v>111.73779999999999</v>
      </c>
      <c r="E1155" s="52">
        <v>26145300</v>
      </c>
      <c r="F1155" s="52" t="s">
        <v>1111</v>
      </c>
      <c r="G1155" s="25">
        <f t="shared" si="16"/>
        <v>1.1236126002122981E-2</v>
      </c>
    </row>
    <row r="1156" spans="1:7">
      <c r="A1156" s="52">
        <v>111.98609999999999</v>
      </c>
      <c r="B1156" s="52">
        <v>113.04900000000001</v>
      </c>
      <c r="C1156" s="52">
        <v>111.6169</v>
      </c>
      <c r="D1156" s="52">
        <v>112.6614</v>
      </c>
      <c r="E1156" s="52">
        <v>28664280</v>
      </c>
      <c r="F1156" s="52" t="s">
        <v>1110</v>
      </c>
      <c r="G1156" s="25">
        <f t="shared" si="16"/>
        <v>-5.9940671782883204E-3</v>
      </c>
    </row>
    <row r="1157" spans="1:7">
      <c r="A1157" s="52">
        <v>111.4188</v>
      </c>
      <c r="B1157" s="52">
        <v>111.691</v>
      </c>
      <c r="C1157" s="52">
        <v>110.1285</v>
      </c>
      <c r="D1157" s="52">
        <v>110.1285</v>
      </c>
      <c r="E1157" s="52">
        <v>24133920</v>
      </c>
      <c r="F1157" s="52" t="s">
        <v>1109</v>
      </c>
      <c r="G1157" s="25">
        <f t="shared" si="16"/>
        <v>1.1716313215925034E-2</v>
      </c>
    </row>
    <row r="1158" spans="1:7">
      <c r="A1158" s="52">
        <v>109.9374</v>
      </c>
      <c r="B1158" s="52">
        <v>110.8699</v>
      </c>
      <c r="C1158" s="52">
        <v>109.56570000000001</v>
      </c>
      <c r="D1158" s="52">
        <v>110.02</v>
      </c>
      <c r="E1158" s="52">
        <v>35240780</v>
      </c>
      <c r="F1158" s="52" t="s">
        <v>1108</v>
      </c>
      <c r="G1158" s="25">
        <f t="shared" si="16"/>
        <v>-7.507725868023396E-4</v>
      </c>
    </row>
    <row r="1159" spans="1:7">
      <c r="A1159" s="52">
        <v>110.42010000000001</v>
      </c>
      <c r="B1159" s="52">
        <v>110.9192</v>
      </c>
      <c r="C1159" s="52">
        <v>106.7499</v>
      </c>
      <c r="D1159" s="52">
        <v>106.8467</v>
      </c>
      <c r="E1159" s="52">
        <v>48509600</v>
      </c>
      <c r="F1159" s="52" t="s">
        <v>1107</v>
      </c>
      <c r="G1159" s="25">
        <f t="shared" si="16"/>
        <v>3.3444177499164729E-2</v>
      </c>
    </row>
    <row r="1160" spans="1:7">
      <c r="A1160" s="52">
        <v>105.9823</v>
      </c>
      <c r="B1160" s="52">
        <v>106.2794</v>
      </c>
      <c r="C1160" s="52">
        <v>104.07389999999999</v>
      </c>
      <c r="D1160" s="52">
        <v>104.1147</v>
      </c>
      <c r="E1160" s="52">
        <v>39880100</v>
      </c>
      <c r="F1160" s="52" t="s">
        <v>1106</v>
      </c>
      <c r="G1160" s="25">
        <f t="shared" si="16"/>
        <v>1.793790886397395E-2</v>
      </c>
    </row>
    <row r="1161" spans="1:7">
      <c r="A1161" s="52">
        <v>102.6353</v>
      </c>
      <c r="B1161" s="52">
        <v>103.8167</v>
      </c>
      <c r="C1161" s="52">
        <v>101.863</v>
      </c>
      <c r="D1161" s="52">
        <v>102.2312</v>
      </c>
      <c r="E1161" s="52">
        <v>42569640</v>
      </c>
      <c r="F1161" s="52" t="s">
        <v>1105</v>
      </c>
      <c r="G1161" s="25">
        <f t="shared" si="16"/>
        <v>3.9528050145161142E-3</v>
      </c>
    </row>
    <row r="1162" spans="1:7">
      <c r="A1162" s="52">
        <v>101.8366</v>
      </c>
      <c r="B1162" s="52">
        <v>102.64279999999999</v>
      </c>
      <c r="C1162" s="52">
        <v>101.3231</v>
      </c>
      <c r="D1162" s="52">
        <v>102.1606</v>
      </c>
      <c r="E1162" s="52">
        <v>27317120</v>
      </c>
      <c r="F1162" s="52" t="s">
        <v>1104</v>
      </c>
      <c r="G1162" s="25">
        <f t="shared" si="16"/>
        <v>-3.171477066501116E-3</v>
      </c>
    </row>
    <row r="1163" spans="1:7">
      <c r="A1163" s="52">
        <v>101.8028</v>
      </c>
      <c r="B1163" s="52">
        <v>101.973</v>
      </c>
      <c r="C1163" s="52">
        <v>99.795400000000001</v>
      </c>
      <c r="D1163" s="52">
        <v>100.62690000000001</v>
      </c>
      <c r="E1163" s="52">
        <v>26492620</v>
      </c>
      <c r="F1163" s="52" t="s">
        <v>1103</v>
      </c>
      <c r="G1163" s="25">
        <f t="shared" si="16"/>
        <v>1.1685742082882422E-2</v>
      </c>
    </row>
    <row r="1164" spans="1:7">
      <c r="A1164" s="52">
        <v>100.7548</v>
      </c>
      <c r="B1164" s="52">
        <v>101.4841</v>
      </c>
      <c r="C1164" s="52">
        <v>99.715800000000002</v>
      </c>
      <c r="D1164" s="52">
        <v>101.1061</v>
      </c>
      <c r="E1164" s="52">
        <v>27977500</v>
      </c>
      <c r="F1164" s="52" t="s">
        <v>1102</v>
      </c>
      <c r="G1164" s="25">
        <f t="shared" si="16"/>
        <v>-3.4745678055032592E-3</v>
      </c>
    </row>
    <row r="1165" spans="1:7">
      <c r="A1165" s="52">
        <v>101.1395</v>
      </c>
      <c r="B1165" s="52">
        <v>101.7953</v>
      </c>
      <c r="C1165" s="52">
        <v>99.329599999999999</v>
      </c>
      <c r="D1165" s="52">
        <v>100.96980000000001</v>
      </c>
      <c r="E1165" s="52">
        <v>35615740</v>
      </c>
      <c r="F1165" s="52" t="s">
        <v>1101</v>
      </c>
      <c r="G1165" s="25">
        <f t="shared" si="16"/>
        <v>1.6807005659116303E-3</v>
      </c>
    </row>
    <row r="1166" spans="1:7">
      <c r="A1166" s="52">
        <v>101.1429</v>
      </c>
      <c r="B1166" s="52">
        <v>102.88809999999999</v>
      </c>
      <c r="C1166" s="52">
        <v>100.96729999999999</v>
      </c>
      <c r="D1166" s="52">
        <v>102.09990000000001</v>
      </c>
      <c r="E1166" s="52">
        <v>25217060</v>
      </c>
      <c r="F1166" s="52" t="s">
        <v>1100</v>
      </c>
      <c r="G1166" s="25">
        <f t="shared" si="16"/>
        <v>-9.3731727455169667E-3</v>
      </c>
    </row>
    <row r="1167" spans="1:7">
      <c r="A1167" s="52">
        <v>101.5808</v>
      </c>
      <c r="B1167" s="52">
        <v>102.7144</v>
      </c>
      <c r="C1167" s="52">
        <v>100.9175</v>
      </c>
      <c r="D1167" s="52">
        <v>101.51220000000001</v>
      </c>
      <c r="E1167" s="52">
        <v>28509120</v>
      </c>
      <c r="F1167" s="52" t="s">
        <v>1099</v>
      </c>
      <c r="G1167" s="25">
        <f t="shared" si="16"/>
        <v>6.7578084210562217E-4</v>
      </c>
    </row>
    <row r="1168" spans="1:7">
      <c r="A1168" s="52">
        <v>101.0514</v>
      </c>
      <c r="B1168" s="52">
        <v>101.9297</v>
      </c>
      <c r="C1168" s="52">
        <v>100.2208</v>
      </c>
      <c r="D1168" s="52">
        <v>100.8991</v>
      </c>
      <c r="E1168" s="52">
        <v>33535420</v>
      </c>
      <c r="F1168" s="52" t="s">
        <v>1098</v>
      </c>
      <c r="G1168" s="25">
        <f t="shared" si="16"/>
        <v>1.5094287263215378E-3</v>
      </c>
    </row>
    <row r="1169" spans="1:7">
      <c r="A1169" s="52">
        <v>100.86579999999999</v>
      </c>
      <c r="B1169" s="52">
        <v>101.3674</v>
      </c>
      <c r="C1169" s="52">
        <v>99.67</v>
      </c>
      <c r="D1169" s="52">
        <v>101.00360000000001</v>
      </c>
      <c r="E1169" s="52">
        <v>46071920</v>
      </c>
      <c r="F1169" s="52" t="s">
        <v>1097</v>
      </c>
      <c r="G1169" s="25">
        <f t="shared" si="16"/>
        <v>-1.3643078068505954E-3</v>
      </c>
    </row>
    <row r="1170" spans="1:7">
      <c r="A1170" s="52">
        <v>100.5861</v>
      </c>
      <c r="B1170" s="52">
        <v>102.9451</v>
      </c>
      <c r="C1170" s="52">
        <v>100.4786</v>
      </c>
      <c r="D1170" s="52">
        <v>101.9217</v>
      </c>
      <c r="E1170" s="52">
        <v>31712960</v>
      </c>
      <c r="F1170" s="52" t="s">
        <v>1096</v>
      </c>
      <c r="G1170" s="25">
        <f t="shared" si="16"/>
        <v>-1.3104177030014208E-2</v>
      </c>
    </row>
    <row r="1171" spans="1:7">
      <c r="A1171" s="52">
        <v>103.6156</v>
      </c>
      <c r="B1171" s="52">
        <v>104.45059999999999</v>
      </c>
      <c r="C1171" s="52">
        <v>101.71980000000001</v>
      </c>
      <c r="D1171" s="52">
        <v>102.9314</v>
      </c>
      <c r="E1171" s="52">
        <v>26382520</v>
      </c>
      <c r="F1171" s="52" t="s">
        <v>1095</v>
      </c>
      <c r="G1171" s="25">
        <f t="shared" si="16"/>
        <v>6.6471455746255348E-3</v>
      </c>
    </row>
    <row r="1172" spans="1:7">
      <c r="A1172" s="52">
        <v>103.6987</v>
      </c>
      <c r="B1172" s="52">
        <v>105.1811</v>
      </c>
      <c r="C1172" s="52">
        <v>102.4746</v>
      </c>
      <c r="D1172" s="52">
        <v>102.80800000000001</v>
      </c>
      <c r="E1172" s="52">
        <v>31900300</v>
      </c>
      <c r="F1172" s="52" t="s">
        <v>1094</v>
      </c>
      <c r="G1172" s="25">
        <f t="shared" si="16"/>
        <v>8.6637226674965984E-3</v>
      </c>
    </row>
    <row r="1173" spans="1:7">
      <c r="A1173" s="52">
        <v>102.2332</v>
      </c>
      <c r="B1173" s="52">
        <v>102.2606</v>
      </c>
      <c r="C1173" s="52">
        <v>100.9071</v>
      </c>
      <c r="D1173" s="52">
        <v>101.76220000000001</v>
      </c>
      <c r="E1173" s="52">
        <v>26214820</v>
      </c>
      <c r="F1173" s="52" t="s">
        <v>1093</v>
      </c>
      <c r="G1173" s="25">
        <f t="shared" si="16"/>
        <v>4.6284376713552344E-3</v>
      </c>
    </row>
    <row r="1174" spans="1:7">
      <c r="A1174" s="52">
        <v>102.0123</v>
      </c>
      <c r="B1174" s="52">
        <v>103.3862</v>
      </c>
      <c r="C1174" s="52">
        <v>101.1375</v>
      </c>
      <c r="D1174" s="52">
        <v>103.3265</v>
      </c>
      <c r="E1174" s="52">
        <v>33817980</v>
      </c>
      <c r="F1174" s="52" t="s">
        <v>1092</v>
      </c>
      <c r="G1174" s="25">
        <f t="shared" si="16"/>
        <v>-1.271890560504807E-2</v>
      </c>
    </row>
    <row r="1175" spans="1:7">
      <c r="A1175" s="52">
        <v>104.5273</v>
      </c>
      <c r="B1175" s="52">
        <v>105.0612</v>
      </c>
      <c r="C1175" s="52">
        <v>102.33320000000001</v>
      </c>
      <c r="D1175" s="52">
        <v>102.4213</v>
      </c>
      <c r="E1175" s="52">
        <v>27702600</v>
      </c>
      <c r="F1175" s="52" t="s">
        <v>1091</v>
      </c>
      <c r="G1175" s="25">
        <f t="shared" si="16"/>
        <v>2.0562129166491694E-2</v>
      </c>
    </row>
    <row r="1176" spans="1:7">
      <c r="A1176" s="52">
        <v>101.32510000000001</v>
      </c>
      <c r="B1176" s="52">
        <v>102.5796</v>
      </c>
      <c r="C1176" s="52">
        <v>100.48609999999999</v>
      </c>
      <c r="D1176" s="52">
        <v>102.5796</v>
      </c>
      <c r="E1176" s="52">
        <v>27100080</v>
      </c>
      <c r="F1176" s="52" t="s">
        <v>1090</v>
      </c>
      <c r="G1176" s="25">
        <f t="shared" si="16"/>
        <v>-1.2229527118452377E-2</v>
      </c>
    </row>
    <row r="1177" spans="1:7">
      <c r="A1177" s="52">
        <v>101.5326</v>
      </c>
      <c r="B1177" s="52">
        <v>102.7047</v>
      </c>
      <c r="C1177" s="52">
        <v>101.2957</v>
      </c>
      <c r="D1177" s="52">
        <v>101.99979999999999</v>
      </c>
      <c r="E1177" s="52">
        <v>33920620</v>
      </c>
      <c r="F1177" s="52" t="s">
        <v>1089</v>
      </c>
      <c r="G1177" s="25">
        <f t="shared" si="16"/>
        <v>-4.5804011380413678E-3</v>
      </c>
    </row>
    <row r="1178" spans="1:7">
      <c r="A1178" s="52">
        <v>99.897400000000005</v>
      </c>
      <c r="B1178" s="52">
        <v>105.1841</v>
      </c>
      <c r="C1178" s="52">
        <v>99.782399999999996</v>
      </c>
      <c r="D1178" s="52">
        <v>103.7072</v>
      </c>
      <c r="E1178" s="52">
        <v>36867420</v>
      </c>
      <c r="F1178" s="52" t="s">
        <v>1088</v>
      </c>
      <c r="G1178" s="25">
        <f t="shared" si="16"/>
        <v>-3.6736118610858237E-2</v>
      </c>
    </row>
    <row r="1179" spans="1:7">
      <c r="A1179" s="52">
        <v>104.3546</v>
      </c>
      <c r="B1179" s="52">
        <v>104.80889999999999</v>
      </c>
      <c r="C1179" s="52">
        <v>100.9064</v>
      </c>
      <c r="D1179" s="52">
        <v>102.5671</v>
      </c>
      <c r="E1179" s="52">
        <v>53099540</v>
      </c>
      <c r="F1179" s="52" t="s">
        <v>1087</v>
      </c>
      <c r="G1179" s="25">
        <f t="shared" si="16"/>
        <v>1.7427615677931829E-2</v>
      </c>
    </row>
    <row r="1180" spans="1:7">
      <c r="A1180" s="52">
        <v>101.21259999999999</v>
      </c>
      <c r="B1180" s="52">
        <v>103.2359</v>
      </c>
      <c r="C1180" s="52">
        <v>99.794399999999996</v>
      </c>
      <c r="D1180" s="52">
        <v>100.2641</v>
      </c>
      <c r="E1180" s="52">
        <v>49215720</v>
      </c>
      <c r="F1180" s="52" t="s">
        <v>1086</v>
      </c>
      <c r="G1180" s="25">
        <f t="shared" si="16"/>
        <v>9.4600160974864789E-3</v>
      </c>
    </row>
    <row r="1181" spans="1:7">
      <c r="A1181" s="52">
        <v>100.092</v>
      </c>
      <c r="B1181" s="52">
        <v>103.3056</v>
      </c>
      <c r="C1181" s="52">
        <v>99.2256</v>
      </c>
      <c r="D1181" s="52">
        <v>102.1093</v>
      </c>
      <c r="E1181" s="52">
        <v>33892900</v>
      </c>
      <c r="F1181" s="52" t="s">
        <v>1085</v>
      </c>
      <c r="G1181" s="25">
        <f t="shared" si="16"/>
        <v>-1.9756280769724244E-2</v>
      </c>
    </row>
    <row r="1182" spans="1:7">
      <c r="A1182" s="52">
        <v>102.7328</v>
      </c>
      <c r="B1182" s="52">
        <v>104.23860000000001</v>
      </c>
      <c r="C1182" s="52">
        <v>102.3442</v>
      </c>
      <c r="D1182" s="52">
        <v>102.7508</v>
      </c>
      <c r="E1182" s="52">
        <v>25563680</v>
      </c>
      <c r="F1182" s="52" t="s">
        <v>1084</v>
      </c>
      <c r="G1182" s="25">
        <f t="shared" si="16"/>
        <v>-1.7518111781122947E-4</v>
      </c>
    </row>
    <row r="1183" spans="1:7">
      <c r="A1183" s="52">
        <v>102.9906</v>
      </c>
      <c r="B1183" s="52">
        <v>103.3175</v>
      </c>
      <c r="C1183" s="52">
        <v>101.23699999999999</v>
      </c>
      <c r="D1183" s="52">
        <v>101.9128</v>
      </c>
      <c r="E1183" s="52">
        <v>26061780</v>
      </c>
      <c r="F1183" s="52" t="s">
        <v>1083</v>
      </c>
      <c r="G1183" s="25">
        <f t="shared" si="16"/>
        <v>1.0575707860052797E-2</v>
      </c>
    </row>
    <row r="1184" spans="1:7">
      <c r="A1184" s="52">
        <v>100.61450000000001</v>
      </c>
      <c r="B1184" s="52">
        <v>102.33669999999999</v>
      </c>
      <c r="C1184" s="52">
        <v>99.574399999999997</v>
      </c>
      <c r="D1184" s="52">
        <v>101.0146</v>
      </c>
      <c r="E1184" s="52">
        <v>40041280</v>
      </c>
      <c r="F1184" s="52" t="s">
        <v>1082</v>
      </c>
      <c r="G1184" s="25">
        <f t="shared" si="16"/>
        <v>-3.9608135853628212E-3</v>
      </c>
    </row>
    <row r="1185" spans="1:7">
      <c r="A1185" s="52">
        <v>100.31789999999999</v>
      </c>
      <c r="B1185" s="52">
        <v>103.6544</v>
      </c>
      <c r="C1185" s="52">
        <v>99.847099999999998</v>
      </c>
      <c r="D1185" s="52">
        <v>102.3074</v>
      </c>
      <c r="E1185" s="52">
        <v>41548180</v>
      </c>
      <c r="F1185" s="52" t="s">
        <v>1081</v>
      </c>
      <c r="G1185" s="25">
        <f t="shared" si="16"/>
        <v>-1.9446296162350052E-2</v>
      </c>
    </row>
    <row r="1186" spans="1:7">
      <c r="A1186" s="52">
        <v>103.6947</v>
      </c>
      <c r="B1186" s="52">
        <v>103.9192</v>
      </c>
      <c r="C1186" s="52">
        <v>100.89409999999999</v>
      </c>
      <c r="D1186" s="52">
        <v>101.01900000000001</v>
      </c>
      <c r="E1186" s="52">
        <v>22608740</v>
      </c>
      <c r="F1186" s="52" t="s">
        <v>1080</v>
      </c>
      <c r="G1186" s="25">
        <f t="shared" si="16"/>
        <v>2.6487096486799366E-2</v>
      </c>
    </row>
    <row r="1187" spans="1:7">
      <c r="A1187" s="52">
        <v>102.5159</v>
      </c>
      <c r="B1187" s="52">
        <v>103.1319</v>
      </c>
      <c r="C1187" s="52">
        <v>99.037999999999997</v>
      </c>
      <c r="D1187" s="52">
        <v>100.2204</v>
      </c>
      <c r="E1187" s="52">
        <v>34657980</v>
      </c>
      <c r="F1187" s="52" t="s">
        <v>1079</v>
      </c>
      <c r="G1187" s="25">
        <f t="shared" si="16"/>
        <v>2.2904518441355215E-2</v>
      </c>
    </row>
    <row r="1188" spans="1:7">
      <c r="A1188" s="52">
        <v>102.2243</v>
      </c>
      <c r="B1188" s="52">
        <v>103.52160000000001</v>
      </c>
      <c r="C1188" s="52">
        <v>101.9128</v>
      </c>
      <c r="D1188" s="52">
        <v>102.1914</v>
      </c>
      <c r="E1188" s="52">
        <v>29466340</v>
      </c>
      <c r="F1188" s="52" t="s">
        <v>1078</v>
      </c>
      <c r="G1188" s="25">
        <f t="shared" si="16"/>
        <v>3.219448994729035E-4</v>
      </c>
    </row>
    <row r="1189" spans="1:7">
      <c r="A1189" s="52">
        <v>103.9436</v>
      </c>
      <c r="B1189" s="52">
        <v>105.425</v>
      </c>
      <c r="C1189" s="52">
        <v>103.6758</v>
      </c>
      <c r="D1189" s="52">
        <v>104.88800000000001</v>
      </c>
      <c r="E1189" s="52">
        <v>37938780</v>
      </c>
      <c r="F1189" s="52" t="s">
        <v>1077</v>
      </c>
      <c r="G1189" s="25">
        <f t="shared" si="16"/>
        <v>-9.0038898634734466E-3</v>
      </c>
    </row>
    <row r="1190" spans="1:7">
      <c r="A1190" s="52">
        <v>104.7895</v>
      </c>
      <c r="B1190" s="52">
        <v>105.5947</v>
      </c>
      <c r="C1190" s="52">
        <v>104.16849999999999</v>
      </c>
      <c r="D1190" s="52">
        <v>104.7492</v>
      </c>
      <c r="E1190" s="52">
        <v>22570980</v>
      </c>
      <c r="F1190" s="52" t="s">
        <v>1076</v>
      </c>
      <c r="G1190" s="25">
        <f t="shared" si="16"/>
        <v>3.8472847525339304E-4</v>
      </c>
    </row>
    <row r="1191" spans="1:7">
      <c r="A1191" s="52">
        <v>105.42700000000001</v>
      </c>
      <c r="B1191" s="52">
        <v>105.6172</v>
      </c>
      <c r="C1191" s="52">
        <v>103.9207</v>
      </c>
      <c r="D1191" s="52">
        <v>104.2008</v>
      </c>
      <c r="E1191" s="52">
        <v>20303540</v>
      </c>
      <c r="F1191" s="52" t="s">
        <v>1075</v>
      </c>
      <c r="G1191" s="25">
        <f t="shared" si="16"/>
        <v>1.1767663971869791E-2</v>
      </c>
    </row>
    <row r="1192" spans="1:7">
      <c r="A1192" s="52">
        <v>105.03279999999999</v>
      </c>
      <c r="B1192" s="52">
        <v>106.7466</v>
      </c>
      <c r="C1192" s="52">
        <v>104.0899</v>
      </c>
      <c r="D1192" s="52">
        <v>104.0899</v>
      </c>
      <c r="E1192" s="52">
        <v>31003900</v>
      </c>
      <c r="F1192" s="52" t="s">
        <v>1074</v>
      </c>
      <c r="G1192" s="25">
        <f t="shared" si="16"/>
        <v>9.0585157637772529E-3</v>
      </c>
    </row>
    <row r="1193" spans="1:7">
      <c r="A1193" s="52">
        <v>104.2531</v>
      </c>
      <c r="B1193" s="52">
        <v>104.4755</v>
      </c>
      <c r="C1193" s="52">
        <v>103.18519999999999</v>
      </c>
      <c r="D1193" s="52">
        <v>103.4937</v>
      </c>
      <c r="E1193" s="52">
        <v>18990500</v>
      </c>
      <c r="F1193" s="52" t="s">
        <v>1073</v>
      </c>
      <c r="G1193" s="25">
        <f t="shared" si="16"/>
        <v>7.3376447068758122E-3</v>
      </c>
    </row>
    <row r="1194" spans="1:7">
      <c r="A1194" s="52">
        <v>103.9406</v>
      </c>
      <c r="B1194" s="52">
        <v>104.20180000000001</v>
      </c>
      <c r="C1194" s="52">
        <v>102.9508</v>
      </c>
      <c r="D1194" s="52">
        <v>104.05249999999999</v>
      </c>
      <c r="E1194" s="52">
        <v>20480580</v>
      </c>
      <c r="F1194" s="52" t="s">
        <v>1072</v>
      </c>
      <c r="G1194" s="25">
        <f t="shared" si="16"/>
        <v>-1.0754186588499692E-3</v>
      </c>
    </row>
    <row r="1195" spans="1:7">
      <c r="A1195" s="52">
        <v>103.8276</v>
      </c>
      <c r="B1195" s="52">
        <v>104.4447</v>
      </c>
      <c r="C1195" s="52">
        <v>102.1238</v>
      </c>
      <c r="D1195" s="52">
        <v>103.6614</v>
      </c>
      <c r="E1195" s="52">
        <v>25101600</v>
      </c>
      <c r="F1195" s="52" t="s">
        <v>1071</v>
      </c>
      <c r="G1195" s="25">
        <f t="shared" si="16"/>
        <v>1.6032968877519593E-3</v>
      </c>
    </row>
    <row r="1196" spans="1:7">
      <c r="A1196" s="52">
        <v>103.2757</v>
      </c>
      <c r="B1196" s="52">
        <v>104.42619999999999</v>
      </c>
      <c r="C1196" s="52">
        <v>103.00749999999999</v>
      </c>
      <c r="D1196" s="52">
        <v>103.24639999999999</v>
      </c>
      <c r="E1196" s="52">
        <v>21891660</v>
      </c>
      <c r="F1196" s="52" t="s">
        <v>1070</v>
      </c>
      <c r="G1196" s="25">
        <f t="shared" si="16"/>
        <v>2.8378713446675086E-4</v>
      </c>
    </row>
    <row r="1197" spans="1:7">
      <c r="A1197" s="52">
        <v>103.73009999999999</v>
      </c>
      <c r="B1197" s="52">
        <v>105.24679999999999</v>
      </c>
      <c r="C1197" s="52">
        <v>102.67659999999999</v>
      </c>
      <c r="D1197" s="52">
        <v>104.5004</v>
      </c>
      <c r="E1197" s="52">
        <v>28828860</v>
      </c>
      <c r="F1197" s="52" t="s">
        <v>1069</v>
      </c>
      <c r="G1197" s="25">
        <f t="shared" si="16"/>
        <v>-7.3712636506655382E-3</v>
      </c>
    </row>
    <row r="1198" spans="1:7">
      <c r="A1198" s="52">
        <v>103.94450000000001</v>
      </c>
      <c r="B1198" s="52">
        <v>104.2984</v>
      </c>
      <c r="C1198" s="52">
        <v>102.0123</v>
      </c>
      <c r="D1198" s="52">
        <v>102.488</v>
      </c>
      <c r="E1198" s="52">
        <v>29865120</v>
      </c>
      <c r="F1198" s="52" t="s">
        <v>1068</v>
      </c>
      <c r="G1198" s="25">
        <f t="shared" si="16"/>
        <v>1.4211419873546127E-2</v>
      </c>
    </row>
    <row r="1199" spans="1:7">
      <c r="A1199" s="52">
        <v>102.19289999999999</v>
      </c>
      <c r="B1199" s="52">
        <v>102.9727</v>
      </c>
      <c r="C1199" s="52">
        <v>101.27079999999999</v>
      </c>
      <c r="D1199" s="52">
        <v>102.54049999999999</v>
      </c>
      <c r="E1199" s="52">
        <v>48595600</v>
      </c>
      <c r="F1199" s="52" t="s">
        <v>1067</v>
      </c>
      <c r="G1199" s="25">
        <f t="shared" si="16"/>
        <v>-3.3898800961571496E-3</v>
      </c>
    </row>
    <row r="1200" spans="1:7">
      <c r="A1200" s="52">
        <v>102.4542</v>
      </c>
      <c r="B1200" s="52">
        <v>104.83</v>
      </c>
      <c r="C1200" s="52">
        <v>100.1985</v>
      </c>
      <c r="D1200" s="52">
        <v>102.7891</v>
      </c>
      <c r="E1200" s="52">
        <v>97881640</v>
      </c>
      <c r="F1200" s="52" t="s">
        <v>1066</v>
      </c>
      <c r="G1200" s="25">
        <f t="shared" si="16"/>
        <v>-3.2581275641094809E-3</v>
      </c>
    </row>
    <row r="1201" spans="1:7">
      <c r="A1201" s="52">
        <v>95.499399999999994</v>
      </c>
      <c r="B1201" s="52">
        <v>97.0047</v>
      </c>
      <c r="C1201" s="52">
        <v>94.864999999999995</v>
      </c>
      <c r="D1201" s="52">
        <v>95.201300000000003</v>
      </c>
      <c r="E1201" s="52">
        <v>66332400</v>
      </c>
      <c r="F1201" s="52" t="s">
        <v>1065</v>
      </c>
      <c r="G1201" s="25">
        <f t="shared" si="16"/>
        <v>3.131259762209071E-3</v>
      </c>
    </row>
    <row r="1202" spans="1:7">
      <c r="A1202" s="52">
        <v>94.203100000000006</v>
      </c>
      <c r="B1202" s="52">
        <v>95.321299999999994</v>
      </c>
      <c r="C1202" s="52">
        <v>91.790400000000005</v>
      </c>
      <c r="D1202" s="52">
        <v>91.790400000000005</v>
      </c>
      <c r="E1202" s="52">
        <v>40252060</v>
      </c>
      <c r="F1202" s="52" t="s">
        <v>1064</v>
      </c>
      <c r="G1202" s="25">
        <f t="shared" si="16"/>
        <v>2.6284883822273342E-2</v>
      </c>
    </row>
    <row r="1203" spans="1:7">
      <c r="A1203" s="52">
        <v>90.933300000000003</v>
      </c>
      <c r="B1203" s="52">
        <v>91.937200000000004</v>
      </c>
      <c r="C1203" s="52">
        <v>89.6494</v>
      </c>
      <c r="D1203" s="52">
        <v>91.264700000000005</v>
      </c>
      <c r="E1203" s="52">
        <v>44530180</v>
      </c>
      <c r="F1203" s="52" t="s">
        <v>1063</v>
      </c>
      <c r="G1203" s="25">
        <f t="shared" si="16"/>
        <v>-3.6311958511888731E-3</v>
      </c>
    </row>
    <row r="1204" spans="1:7">
      <c r="A1204" s="52">
        <v>92.219099999999997</v>
      </c>
      <c r="B1204" s="52">
        <v>93.950299999999999</v>
      </c>
      <c r="C1204" s="52">
        <v>91.114400000000003</v>
      </c>
      <c r="D1204" s="52">
        <v>91.114400000000003</v>
      </c>
      <c r="E1204" s="52">
        <v>55278100</v>
      </c>
      <c r="F1204" s="52" t="s">
        <v>1062</v>
      </c>
      <c r="G1204" s="25">
        <f t="shared" si="16"/>
        <v>1.2124318439236781E-2</v>
      </c>
    </row>
    <row r="1205" spans="1:7">
      <c r="A1205" s="52">
        <v>90.514300000000006</v>
      </c>
      <c r="B1205" s="52">
        <v>93.576099999999997</v>
      </c>
      <c r="C1205" s="52">
        <v>89.436400000000006</v>
      </c>
      <c r="D1205" s="52">
        <v>93.299400000000006</v>
      </c>
      <c r="E1205" s="52">
        <v>82512620</v>
      </c>
      <c r="F1205" s="52" t="s">
        <v>1061</v>
      </c>
      <c r="G1205" s="25">
        <f t="shared" si="16"/>
        <v>-2.9851210189990485E-2</v>
      </c>
    </row>
    <row r="1206" spans="1:7">
      <c r="A1206" s="52">
        <v>94.943600000000004</v>
      </c>
      <c r="B1206" s="52">
        <v>95.331699999999998</v>
      </c>
      <c r="C1206" s="52">
        <v>93.360100000000003</v>
      </c>
      <c r="D1206" s="52">
        <v>93.850800000000007</v>
      </c>
      <c r="E1206" s="52">
        <v>31461560</v>
      </c>
      <c r="F1206" s="52" t="s">
        <v>1060</v>
      </c>
      <c r="G1206" s="25">
        <f t="shared" si="16"/>
        <v>1.1644013689813937E-2</v>
      </c>
    </row>
    <row r="1207" spans="1:7">
      <c r="A1207" s="52">
        <v>94.263300000000001</v>
      </c>
      <c r="B1207" s="52">
        <v>95.633799999999994</v>
      </c>
      <c r="C1207" s="52">
        <v>92.515699999999995</v>
      </c>
      <c r="D1207" s="52">
        <v>95.181899999999999</v>
      </c>
      <c r="E1207" s="52">
        <v>50586920</v>
      </c>
      <c r="F1207" s="52" t="s">
        <v>1059</v>
      </c>
      <c r="G1207" s="25">
        <f t="shared" si="16"/>
        <v>-9.6509945693455945E-3</v>
      </c>
    </row>
    <row r="1208" spans="1:7">
      <c r="A1208" s="52">
        <v>94.177700000000002</v>
      </c>
      <c r="B1208" s="52">
        <v>94.766400000000004</v>
      </c>
      <c r="C1208" s="52">
        <v>93.378299999999996</v>
      </c>
      <c r="D1208" s="52">
        <v>94.123000000000005</v>
      </c>
      <c r="E1208" s="52">
        <v>32743900</v>
      </c>
      <c r="F1208" s="52" t="s">
        <v>1058</v>
      </c>
      <c r="G1208" s="25">
        <f t="shared" si="16"/>
        <v>5.8115444684081474E-4</v>
      </c>
    </row>
    <row r="1209" spans="1:7">
      <c r="A1209" s="52">
        <v>93.759200000000007</v>
      </c>
      <c r="B1209" s="52">
        <v>96.144300000000001</v>
      </c>
      <c r="C1209" s="52">
        <v>93.523399999999995</v>
      </c>
      <c r="D1209" s="52">
        <v>94.231999999999999</v>
      </c>
      <c r="E1209" s="52">
        <v>58659460</v>
      </c>
      <c r="F1209" s="52" t="s">
        <v>1057</v>
      </c>
      <c r="G1209" s="25">
        <f t="shared" si="16"/>
        <v>-5.0174038543169264E-3</v>
      </c>
    </row>
    <row r="1210" spans="1:7">
      <c r="A1210" s="52">
        <v>93.556200000000004</v>
      </c>
      <c r="B1210" s="52">
        <v>94.534199999999998</v>
      </c>
      <c r="C1210" s="52">
        <v>90.542599999999993</v>
      </c>
      <c r="D1210" s="52">
        <v>90.884</v>
      </c>
      <c r="E1210" s="52">
        <v>64151400</v>
      </c>
      <c r="F1210" s="52" t="s">
        <v>1056</v>
      </c>
      <c r="G1210" s="25">
        <f t="shared" si="16"/>
        <v>2.9402315038950855E-2</v>
      </c>
    </row>
    <row r="1211" spans="1:7">
      <c r="A1211" s="52">
        <v>88.799000000000007</v>
      </c>
      <c r="B1211" s="52">
        <v>89.762799999999999</v>
      </c>
      <c r="C1211" s="52">
        <v>86.229200000000006</v>
      </c>
      <c r="D1211" s="52">
        <v>86.735299999999995</v>
      </c>
      <c r="E1211" s="52">
        <v>41659020</v>
      </c>
      <c r="F1211" s="52" t="s">
        <v>1055</v>
      </c>
      <c r="G1211" s="25">
        <f t="shared" ref="G1211:G1274" si="17">A1211/D1211-1</f>
        <v>2.3793080787176679E-2</v>
      </c>
    </row>
    <row r="1212" spans="1:7">
      <c r="A1212" s="52">
        <v>85.97</v>
      </c>
      <c r="B1212" s="52">
        <v>86.965199999999996</v>
      </c>
      <c r="C1212" s="52">
        <v>85.178299999999993</v>
      </c>
      <c r="D1212" s="52">
        <v>86.039599999999993</v>
      </c>
      <c r="E1212" s="52">
        <v>31444280</v>
      </c>
      <c r="F1212" s="52" t="s">
        <v>1054</v>
      </c>
      <c r="G1212" s="25">
        <f t="shared" si="17"/>
        <v>-8.0892984160774173E-4</v>
      </c>
    </row>
    <row r="1213" spans="1:7">
      <c r="A1213" s="52">
        <v>86.134200000000007</v>
      </c>
      <c r="B1213" s="52">
        <v>87.956999999999994</v>
      </c>
      <c r="C1213" s="52">
        <v>85.892899999999997</v>
      </c>
      <c r="D1213" s="52">
        <v>87.0274</v>
      </c>
      <c r="E1213" s="52">
        <v>29212340</v>
      </c>
      <c r="F1213" s="52" t="s">
        <v>1053</v>
      </c>
      <c r="G1213" s="25">
        <f t="shared" si="17"/>
        <v>-1.0263434274722649E-2</v>
      </c>
    </row>
    <row r="1214" spans="1:7">
      <c r="A1214" s="52">
        <v>86.946799999999996</v>
      </c>
      <c r="B1214" s="52">
        <v>87.401600000000002</v>
      </c>
      <c r="C1214" s="52">
        <v>85.955100000000002</v>
      </c>
      <c r="D1214" s="52">
        <v>85.955100000000002</v>
      </c>
      <c r="E1214" s="52">
        <v>23431800</v>
      </c>
      <c r="F1214" s="52" t="s">
        <v>1052</v>
      </c>
      <c r="G1214" s="25">
        <f t="shared" si="17"/>
        <v>1.1537418954779888E-2</v>
      </c>
    </row>
    <row r="1215" spans="1:7">
      <c r="A1215" s="52">
        <v>86.458100000000002</v>
      </c>
      <c r="B1215" s="52">
        <v>87.974400000000003</v>
      </c>
      <c r="C1215" s="52">
        <v>85.410399999999996</v>
      </c>
      <c r="D1215" s="52">
        <v>86.852800000000002</v>
      </c>
      <c r="E1215" s="52">
        <v>29534300</v>
      </c>
      <c r="F1215" s="52" t="s">
        <v>1051</v>
      </c>
      <c r="G1215" s="25">
        <f t="shared" si="17"/>
        <v>-4.5444706445848526E-3</v>
      </c>
    </row>
    <row r="1216" spans="1:7">
      <c r="A1216" s="52">
        <v>87.396699999999996</v>
      </c>
      <c r="B1216" s="52">
        <v>88.794499999999999</v>
      </c>
      <c r="C1216" s="52">
        <v>87.190100000000001</v>
      </c>
      <c r="D1216" s="52">
        <v>88.428200000000004</v>
      </c>
      <c r="E1216" s="52">
        <v>34812360</v>
      </c>
      <c r="F1216" s="52" t="s">
        <v>1050</v>
      </c>
      <c r="G1216" s="25">
        <f t="shared" si="17"/>
        <v>-1.1664830902359258E-2</v>
      </c>
    </row>
    <row r="1217" spans="1:7">
      <c r="A1217" s="52">
        <v>89.463800000000006</v>
      </c>
      <c r="B1217" s="52">
        <v>89.539699999999996</v>
      </c>
      <c r="C1217" s="52">
        <v>87.641999999999996</v>
      </c>
      <c r="D1217" s="52">
        <v>88.435199999999995</v>
      </c>
      <c r="E1217" s="52">
        <v>35484520</v>
      </c>
      <c r="F1217" s="52" t="s">
        <v>1049</v>
      </c>
      <c r="G1217" s="25">
        <f t="shared" si="17"/>
        <v>1.1631115212042298E-2</v>
      </c>
    </row>
    <row r="1218" spans="1:7">
      <c r="A1218" s="52">
        <v>88.294899999999998</v>
      </c>
      <c r="B1218" s="52">
        <v>88.468000000000004</v>
      </c>
      <c r="C1218" s="52">
        <v>85.927199999999999</v>
      </c>
      <c r="D1218" s="52">
        <v>85.927199999999999</v>
      </c>
      <c r="E1218" s="52">
        <v>41936580</v>
      </c>
      <c r="F1218" s="52" t="s">
        <v>1048</v>
      </c>
      <c r="G1218" s="25">
        <f t="shared" si="17"/>
        <v>2.7554720740347705E-2</v>
      </c>
    </row>
    <row r="1219" spans="1:7">
      <c r="A1219" s="52">
        <v>85.734099999999998</v>
      </c>
      <c r="B1219" s="52">
        <v>86.783299999999997</v>
      </c>
      <c r="C1219" s="52">
        <v>84.401600000000002</v>
      </c>
      <c r="D1219" s="52">
        <v>84.608199999999997</v>
      </c>
      <c r="E1219" s="52">
        <v>46588020</v>
      </c>
      <c r="F1219" s="52" t="s">
        <v>1047</v>
      </c>
      <c r="G1219" s="25">
        <f t="shared" si="17"/>
        <v>1.3307220813112641E-2</v>
      </c>
    </row>
    <row r="1220" spans="1:7">
      <c r="A1220" s="52">
        <v>86.588499999999996</v>
      </c>
      <c r="B1220" s="52">
        <v>86.925899999999999</v>
      </c>
      <c r="C1220" s="52">
        <v>85.436499999999995</v>
      </c>
      <c r="D1220" s="52">
        <v>85.844099999999997</v>
      </c>
      <c r="E1220" s="52">
        <v>20359240</v>
      </c>
      <c r="F1220" s="52" t="s">
        <v>1046</v>
      </c>
      <c r="G1220" s="25">
        <f t="shared" si="17"/>
        <v>8.6715336289855394E-3</v>
      </c>
    </row>
    <row r="1221" spans="1:7">
      <c r="A1221" s="52">
        <v>85.895799999999994</v>
      </c>
      <c r="B1221" s="52">
        <v>87.705200000000005</v>
      </c>
      <c r="C1221" s="52">
        <v>84.950900000000004</v>
      </c>
      <c r="D1221" s="52">
        <v>87.581299999999999</v>
      </c>
      <c r="E1221" s="52">
        <v>37323900</v>
      </c>
      <c r="F1221" s="52" t="s">
        <v>1045</v>
      </c>
      <c r="G1221" s="25">
        <f t="shared" si="17"/>
        <v>-1.924497581104645E-2</v>
      </c>
    </row>
    <row r="1222" spans="1:7">
      <c r="A1222" s="52">
        <v>87.215000000000003</v>
      </c>
      <c r="B1222" s="52">
        <v>87.456900000000005</v>
      </c>
      <c r="C1222" s="52">
        <v>86.391499999999994</v>
      </c>
      <c r="D1222" s="52">
        <v>86.450199999999995</v>
      </c>
      <c r="E1222" s="52">
        <v>21069580</v>
      </c>
      <c r="F1222" s="52" t="s">
        <v>1044</v>
      </c>
      <c r="G1222" s="25">
        <f t="shared" si="17"/>
        <v>8.8467117484980484E-3</v>
      </c>
    </row>
    <row r="1223" spans="1:7">
      <c r="A1223" s="52">
        <v>86.3994</v>
      </c>
      <c r="B1223" s="52">
        <v>87.967399999999998</v>
      </c>
      <c r="C1223" s="52">
        <v>85.988900000000001</v>
      </c>
      <c r="D1223" s="52">
        <v>87.830100000000002</v>
      </c>
      <c r="E1223" s="52">
        <v>21026160</v>
      </c>
      <c r="F1223" s="52" t="s">
        <v>1043</v>
      </c>
      <c r="G1223" s="25">
        <f t="shared" si="17"/>
        <v>-1.6289404201976332E-2</v>
      </c>
    </row>
    <row r="1224" spans="1:7">
      <c r="A1224" s="52">
        <v>87.469800000000006</v>
      </c>
      <c r="B1224" s="52">
        <v>88.998000000000005</v>
      </c>
      <c r="C1224" s="52">
        <v>87.337900000000005</v>
      </c>
      <c r="D1224" s="52">
        <v>88.936300000000003</v>
      </c>
      <c r="E1224" s="52">
        <v>19725740</v>
      </c>
      <c r="F1224" s="52" t="s">
        <v>1042</v>
      </c>
      <c r="G1224" s="25">
        <f t="shared" si="17"/>
        <v>-1.6489330003609304E-2</v>
      </c>
    </row>
    <row r="1225" spans="1:7">
      <c r="A1225" s="52">
        <v>88.275999999999996</v>
      </c>
      <c r="B1225" s="52">
        <v>88.924899999999994</v>
      </c>
      <c r="C1225" s="52">
        <v>86.676599999999993</v>
      </c>
      <c r="D1225" s="52">
        <v>86.830399999999997</v>
      </c>
      <c r="E1225" s="52">
        <v>27650740</v>
      </c>
      <c r="F1225" s="52" t="s">
        <v>1041</v>
      </c>
      <c r="G1225" s="25">
        <f t="shared" si="17"/>
        <v>1.664854705264518E-2</v>
      </c>
    </row>
    <row r="1226" spans="1:7">
      <c r="A1226" s="52">
        <v>86.295400000000001</v>
      </c>
      <c r="B1226" s="52">
        <v>86.706000000000003</v>
      </c>
      <c r="C1226" s="52">
        <v>85.807299999999998</v>
      </c>
      <c r="D1226" s="52">
        <v>86.038700000000006</v>
      </c>
      <c r="E1226" s="52">
        <v>9312760</v>
      </c>
      <c r="F1226" s="52" t="s">
        <v>1040</v>
      </c>
      <c r="G1226" s="25">
        <f t="shared" si="17"/>
        <v>2.9835411274228285E-3</v>
      </c>
    </row>
    <row r="1227" spans="1:7">
      <c r="A1227" s="52">
        <v>86.000299999999996</v>
      </c>
      <c r="B1227" s="52">
        <v>86.790599999999998</v>
      </c>
      <c r="C1227" s="52">
        <v>85.650499999999994</v>
      </c>
      <c r="D1227" s="52">
        <v>85.7864</v>
      </c>
      <c r="E1227" s="52">
        <v>22973680</v>
      </c>
      <c r="F1227" s="52" t="s">
        <v>1039</v>
      </c>
      <c r="G1227" s="25">
        <f t="shared" si="17"/>
        <v>2.4934022176008597E-3</v>
      </c>
    </row>
    <row r="1228" spans="1:7">
      <c r="A1228" s="52">
        <v>85.601699999999994</v>
      </c>
      <c r="B1228" s="52">
        <v>86.218400000000003</v>
      </c>
      <c r="C1228" s="52">
        <v>84.883200000000002</v>
      </c>
      <c r="D1228" s="52">
        <v>86.055099999999996</v>
      </c>
      <c r="E1228" s="52">
        <v>20376580</v>
      </c>
      <c r="F1228" s="52" t="s">
        <v>1038</v>
      </c>
      <c r="G1228" s="25">
        <f t="shared" si="17"/>
        <v>-5.2687173682908206E-3</v>
      </c>
    </row>
    <row r="1229" spans="1:7">
      <c r="A1229" s="52">
        <v>86.315299999999993</v>
      </c>
      <c r="B1229" s="52">
        <v>86.436800000000005</v>
      </c>
      <c r="C1229" s="52">
        <v>84.296999999999997</v>
      </c>
      <c r="D1229" s="52">
        <v>85.049899999999994</v>
      </c>
      <c r="E1229" s="52">
        <v>33974140</v>
      </c>
      <c r="F1229" s="52" t="s">
        <v>1037</v>
      </c>
      <c r="G1229" s="25">
        <f t="shared" si="17"/>
        <v>1.4878324371927487E-2</v>
      </c>
    </row>
    <row r="1230" spans="1:7">
      <c r="A1230" s="52">
        <v>85.900300000000001</v>
      </c>
      <c r="B1230" s="52">
        <v>87.001999999999995</v>
      </c>
      <c r="C1230" s="52">
        <v>85.341999999999999</v>
      </c>
      <c r="D1230" s="52">
        <v>86.893100000000004</v>
      </c>
      <c r="E1230" s="52">
        <v>85256740</v>
      </c>
      <c r="F1230" s="52" t="s">
        <v>1036</v>
      </c>
      <c r="G1230" s="25">
        <f t="shared" si="17"/>
        <v>-1.142553321264872E-2</v>
      </c>
    </row>
    <row r="1231" spans="1:7">
      <c r="A1231" s="52">
        <v>86.611400000000003</v>
      </c>
      <c r="B1231" s="52">
        <v>87.915199999999999</v>
      </c>
      <c r="C1231" s="52">
        <v>86.145600000000002</v>
      </c>
      <c r="D1231" s="52">
        <v>87.776799999999994</v>
      </c>
      <c r="E1231" s="52">
        <v>34880100</v>
      </c>
      <c r="F1231" s="52" t="s">
        <v>1035</v>
      </c>
      <c r="G1231" s="25">
        <f t="shared" si="17"/>
        <v>-1.32768567548599E-2</v>
      </c>
    </row>
    <row r="1232" spans="1:7">
      <c r="A1232" s="52">
        <v>87.441400000000002</v>
      </c>
      <c r="B1232" s="52">
        <v>88.034599999999998</v>
      </c>
      <c r="C1232" s="52">
        <v>87.036900000000003</v>
      </c>
      <c r="D1232" s="52">
        <v>88.034599999999998</v>
      </c>
      <c r="E1232" s="52">
        <v>24676720</v>
      </c>
      <c r="F1232" s="52" t="s">
        <v>1034</v>
      </c>
      <c r="G1232" s="25">
        <f t="shared" si="17"/>
        <v>-6.7382597296971047E-3</v>
      </c>
    </row>
    <row r="1233" spans="1:7">
      <c r="A1233" s="52">
        <v>87.635000000000005</v>
      </c>
      <c r="B1233" s="52">
        <v>87.780299999999997</v>
      </c>
      <c r="C1233" s="52">
        <v>86.6691</v>
      </c>
      <c r="D1233" s="52">
        <v>87.574299999999994</v>
      </c>
      <c r="E1233" s="52">
        <v>21365840</v>
      </c>
      <c r="F1233" s="52" t="s">
        <v>1033</v>
      </c>
      <c r="G1233" s="25">
        <f t="shared" si="17"/>
        <v>6.9312572295765484E-4</v>
      </c>
    </row>
    <row r="1234" spans="1:7">
      <c r="A1234" s="52">
        <v>87.196100000000001</v>
      </c>
      <c r="B1234" s="52">
        <v>89.0642</v>
      </c>
      <c r="C1234" s="52">
        <v>87.040400000000005</v>
      </c>
      <c r="D1234" s="52">
        <v>88.114699999999999</v>
      </c>
      <c r="E1234" s="52">
        <v>33049420</v>
      </c>
      <c r="F1234" s="52" t="s">
        <v>1032</v>
      </c>
      <c r="G1234" s="25">
        <f t="shared" si="17"/>
        <v>-1.0425048260959802E-2</v>
      </c>
    </row>
    <row r="1235" spans="1:7">
      <c r="A1235" s="52">
        <v>88.317800000000005</v>
      </c>
      <c r="B1235" s="52">
        <v>88.442700000000002</v>
      </c>
      <c r="C1235" s="52">
        <v>87.22</v>
      </c>
      <c r="D1235" s="52">
        <v>87.581299999999999</v>
      </c>
      <c r="E1235" s="52">
        <v>18628620</v>
      </c>
      <c r="F1235" s="52" t="s">
        <v>1031</v>
      </c>
      <c r="G1235" s="25">
        <f t="shared" si="17"/>
        <v>8.4093293888078957E-3</v>
      </c>
    </row>
    <row r="1236" spans="1:7">
      <c r="A1236" s="52">
        <v>87.962000000000003</v>
      </c>
      <c r="B1236" s="52">
        <v>88.327200000000005</v>
      </c>
      <c r="C1236" s="52">
        <v>86.263900000000007</v>
      </c>
      <c r="D1236" s="52">
        <v>87.710700000000003</v>
      </c>
      <c r="E1236" s="52">
        <v>28688320</v>
      </c>
      <c r="F1236" s="52" t="s">
        <v>1030</v>
      </c>
      <c r="G1236" s="25">
        <f t="shared" si="17"/>
        <v>2.8651008371840536E-3</v>
      </c>
    </row>
    <row r="1237" spans="1:7">
      <c r="A1237" s="52">
        <v>88.47</v>
      </c>
      <c r="B1237" s="52">
        <v>90.983500000000006</v>
      </c>
      <c r="C1237" s="52">
        <v>87.680800000000005</v>
      </c>
      <c r="D1237" s="52">
        <v>90.087299999999999</v>
      </c>
      <c r="E1237" s="52">
        <v>31728520</v>
      </c>
      <c r="F1237" s="52" t="s">
        <v>1029</v>
      </c>
      <c r="G1237" s="25">
        <f t="shared" si="17"/>
        <v>-1.795258599158811E-2</v>
      </c>
    </row>
    <row r="1238" spans="1:7">
      <c r="A1238" s="52">
        <v>90.135599999999997</v>
      </c>
      <c r="B1238" s="52">
        <v>90.366500000000002</v>
      </c>
      <c r="C1238" s="52">
        <v>89.137799999999999</v>
      </c>
      <c r="D1238" s="52">
        <v>89.995699999999999</v>
      </c>
      <c r="E1238" s="52">
        <v>19935360</v>
      </c>
      <c r="F1238" s="52" t="s">
        <v>1028</v>
      </c>
      <c r="G1238" s="25">
        <f t="shared" si="17"/>
        <v>1.554518715894071E-3</v>
      </c>
    </row>
    <row r="1239" spans="1:7">
      <c r="A1239" s="52">
        <v>90.419200000000004</v>
      </c>
      <c r="B1239" s="52">
        <v>91.029300000000006</v>
      </c>
      <c r="C1239" s="52">
        <v>89.722999999999999</v>
      </c>
      <c r="D1239" s="52">
        <v>90.345600000000005</v>
      </c>
      <c r="E1239" s="52">
        <v>22287820</v>
      </c>
      <c r="F1239" s="52" t="s">
        <v>1027</v>
      </c>
      <c r="G1239" s="25">
        <f t="shared" si="17"/>
        <v>8.1464952360721377E-4</v>
      </c>
    </row>
    <row r="1240" spans="1:7">
      <c r="A1240" s="52">
        <v>90.754099999999994</v>
      </c>
      <c r="B1240" s="52">
        <v>91.039699999999996</v>
      </c>
      <c r="C1240" s="52">
        <v>90.248000000000005</v>
      </c>
      <c r="D1240" s="52">
        <v>90.578000000000003</v>
      </c>
      <c r="E1240" s="52">
        <v>20544840</v>
      </c>
      <c r="F1240" s="52" t="s">
        <v>1026</v>
      </c>
      <c r="G1240" s="25">
        <f t="shared" si="17"/>
        <v>1.9441807061315597E-3</v>
      </c>
    </row>
    <row r="1241" spans="1:7">
      <c r="A1241" s="52">
        <v>90.658600000000007</v>
      </c>
      <c r="B1241" s="52">
        <v>91.752799999999993</v>
      </c>
      <c r="C1241" s="52">
        <v>90.417699999999996</v>
      </c>
      <c r="D1241" s="52">
        <v>90.593900000000005</v>
      </c>
      <c r="E1241" s="52">
        <v>24727320</v>
      </c>
      <c r="F1241" s="52" t="s">
        <v>1025</v>
      </c>
      <c r="G1241" s="25">
        <f t="shared" si="17"/>
        <v>7.1417612002577791E-4</v>
      </c>
    </row>
    <row r="1242" spans="1:7">
      <c r="A1242" s="52">
        <v>90.814300000000003</v>
      </c>
      <c r="B1242" s="52">
        <v>91.200999999999993</v>
      </c>
      <c r="C1242" s="52">
        <v>88.833799999999997</v>
      </c>
      <c r="D1242" s="52">
        <v>89.340900000000005</v>
      </c>
      <c r="E1242" s="52">
        <v>29424700</v>
      </c>
      <c r="F1242" s="52" t="s">
        <v>1024</v>
      </c>
      <c r="G1242" s="25">
        <f t="shared" si="17"/>
        <v>1.649188669467172E-2</v>
      </c>
    </row>
    <row r="1243" spans="1:7">
      <c r="A1243" s="52">
        <v>89.340900000000005</v>
      </c>
      <c r="B1243" s="52">
        <v>90.652600000000007</v>
      </c>
      <c r="C1243" s="52">
        <v>87.732100000000003</v>
      </c>
      <c r="D1243" s="52">
        <v>87.912400000000005</v>
      </c>
      <c r="E1243" s="52">
        <v>37362680</v>
      </c>
      <c r="F1243" s="52" t="s">
        <v>1023</v>
      </c>
      <c r="G1243" s="25">
        <f t="shared" si="17"/>
        <v>1.6249129815589125E-2</v>
      </c>
    </row>
    <row r="1244" spans="1:7">
      <c r="A1244" s="52">
        <v>87.302599999999998</v>
      </c>
      <c r="B1244" s="52">
        <v>88.593199999999996</v>
      </c>
      <c r="C1244" s="52">
        <v>86.976200000000006</v>
      </c>
      <c r="D1244" s="52">
        <v>88.360100000000003</v>
      </c>
      <c r="E1244" s="52">
        <v>32417740</v>
      </c>
      <c r="F1244" s="52" t="s">
        <v>1022</v>
      </c>
      <c r="G1244" s="25">
        <f t="shared" si="17"/>
        <v>-1.1968071561711757E-2</v>
      </c>
    </row>
    <row r="1245" spans="1:7">
      <c r="A1245" s="52">
        <v>88.925799999999995</v>
      </c>
      <c r="B1245" s="52">
        <v>89.423000000000002</v>
      </c>
      <c r="C1245" s="52">
        <v>87.807199999999995</v>
      </c>
      <c r="D1245" s="52">
        <v>87.807199999999995</v>
      </c>
      <c r="E1245" s="52">
        <v>14790140</v>
      </c>
      <c r="F1245" s="52" t="s">
        <v>1021</v>
      </c>
      <c r="G1245" s="25">
        <f t="shared" si="17"/>
        <v>1.2739274228081632E-2</v>
      </c>
    </row>
    <row r="1246" spans="1:7">
      <c r="A1246" s="52">
        <v>87.786799999999999</v>
      </c>
      <c r="B1246" s="52">
        <v>88.097800000000007</v>
      </c>
      <c r="C1246" s="52">
        <v>87.001999999999995</v>
      </c>
      <c r="D1246" s="52">
        <v>87.969899999999996</v>
      </c>
      <c r="E1246" s="52">
        <v>19599140</v>
      </c>
      <c r="F1246" s="52" t="s">
        <v>1020</v>
      </c>
      <c r="G1246" s="25">
        <f t="shared" si="17"/>
        <v>-2.0813937494529311E-3</v>
      </c>
    </row>
    <row r="1247" spans="1:7">
      <c r="A1247" s="52">
        <v>87.775400000000005</v>
      </c>
      <c r="B1247" s="52">
        <v>87.903499999999994</v>
      </c>
      <c r="C1247" s="52">
        <v>85.627099999999999</v>
      </c>
      <c r="D1247" s="52">
        <v>85.963999999999999</v>
      </c>
      <c r="E1247" s="52">
        <v>28006120</v>
      </c>
      <c r="F1247" s="52" t="s">
        <v>1019</v>
      </c>
      <c r="G1247" s="25">
        <f t="shared" si="17"/>
        <v>2.1071611372202481E-2</v>
      </c>
    </row>
    <row r="1248" spans="1:7">
      <c r="A1248" s="52">
        <v>85.966999999999999</v>
      </c>
      <c r="B1248" s="52">
        <v>86.884100000000004</v>
      </c>
      <c r="C1248" s="52">
        <v>85.102099999999993</v>
      </c>
      <c r="D1248" s="52">
        <v>86.596999999999994</v>
      </c>
      <c r="E1248" s="52">
        <v>22552360</v>
      </c>
      <c r="F1248" s="52" t="s">
        <v>1018</v>
      </c>
      <c r="G1248" s="25">
        <f t="shared" si="17"/>
        <v>-7.2750788133537636E-3</v>
      </c>
    </row>
    <row r="1249" spans="1:7">
      <c r="A1249" s="52">
        <v>86.405900000000003</v>
      </c>
      <c r="B1249" s="52">
        <v>87.997399999999999</v>
      </c>
      <c r="C1249" s="52">
        <v>86.337199999999996</v>
      </c>
      <c r="D1249" s="52">
        <v>87.680800000000005</v>
      </c>
      <c r="E1249" s="52">
        <v>27706440</v>
      </c>
      <c r="F1249" s="52" t="s">
        <v>1017</v>
      </c>
      <c r="G1249" s="25">
        <f t="shared" si="17"/>
        <v>-1.4540241421154954E-2</v>
      </c>
    </row>
    <row r="1250" spans="1:7">
      <c r="A1250" s="52">
        <v>87.510099999999994</v>
      </c>
      <c r="B1250" s="52">
        <v>87.754900000000006</v>
      </c>
      <c r="C1250" s="52">
        <v>86.089399999999998</v>
      </c>
      <c r="D1250" s="52">
        <v>86.249099999999999</v>
      </c>
      <c r="E1250" s="52">
        <v>20106800</v>
      </c>
      <c r="F1250" s="52" t="s">
        <v>1016</v>
      </c>
      <c r="G1250" s="25">
        <f t="shared" si="17"/>
        <v>1.4620442416210633E-2</v>
      </c>
    </row>
    <row r="1251" spans="1:7">
      <c r="A1251" s="52">
        <v>86.617900000000006</v>
      </c>
      <c r="B1251" s="52">
        <v>87.830100000000002</v>
      </c>
      <c r="C1251" s="52">
        <v>86.514700000000005</v>
      </c>
      <c r="D1251" s="52">
        <v>87.414100000000005</v>
      </c>
      <c r="E1251" s="52">
        <v>20107540</v>
      </c>
      <c r="F1251" s="52" t="s">
        <v>1015</v>
      </c>
      <c r="G1251" s="25">
        <f t="shared" si="17"/>
        <v>-9.1083703887587797E-3</v>
      </c>
    </row>
    <row r="1252" spans="1:7">
      <c r="A1252" s="52">
        <v>87.663899999999998</v>
      </c>
      <c r="B1252" s="52">
        <v>88.434200000000004</v>
      </c>
      <c r="C1252" s="52">
        <v>87.555899999999994</v>
      </c>
      <c r="D1252" s="52">
        <v>87.972399999999993</v>
      </c>
      <c r="E1252" s="52">
        <v>21320680</v>
      </c>
      <c r="F1252" s="52" t="s">
        <v>1014</v>
      </c>
      <c r="G1252" s="25">
        <f t="shared" si="17"/>
        <v>-3.5067816724335676E-3</v>
      </c>
    </row>
    <row r="1253" spans="1:7">
      <c r="A1253" s="52">
        <v>88.279399999999995</v>
      </c>
      <c r="B1253" s="52">
        <v>89.290099999999995</v>
      </c>
      <c r="C1253" s="52">
        <v>87.647499999999994</v>
      </c>
      <c r="D1253" s="52">
        <v>87.787300000000002</v>
      </c>
      <c r="E1253" s="52">
        <v>25467860</v>
      </c>
      <c r="F1253" s="52" t="s">
        <v>1013</v>
      </c>
      <c r="G1253" s="25">
        <f t="shared" si="17"/>
        <v>5.6055944310851036E-3</v>
      </c>
    </row>
    <row r="1254" spans="1:7">
      <c r="A1254" s="52">
        <v>88.191400000000002</v>
      </c>
      <c r="B1254" s="52">
        <v>88.433700000000002</v>
      </c>
      <c r="C1254" s="52">
        <v>86.385999999999996</v>
      </c>
      <c r="D1254" s="52">
        <v>86.984099999999998</v>
      </c>
      <c r="E1254" s="52">
        <v>29757540</v>
      </c>
      <c r="F1254" s="52" t="s">
        <v>1012</v>
      </c>
      <c r="G1254" s="25">
        <f t="shared" si="17"/>
        <v>1.3879548101319639E-2</v>
      </c>
    </row>
    <row r="1255" spans="1:7">
      <c r="A1255" s="52">
        <v>86.726399999999998</v>
      </c>
      <c r="B1255" s="52">
        <v>87.829099999999997</v>
      </c>
      <c r="C1255" s="52">
        <v>86.484999999999999</v>
      </c>
      <c r="D1255" s="52">
        <v>86.685599999999994</v>
      </c>
      <c r="E1255" s="52">
        <v>26487260</v>
      </c>
      <c r="F1255" s="52" t="s">
        <v>1011</v>
      </c>
      <c r="G1255" s="25">
        <f t="shared" si="17"/>
        <v>4.7066640826165518E-4</v>
      </c>
    </row>
    <row r="1256" spans="1:7">
      <c r="A1256" s="52">
        <v>86.945800000000006</v>
      </c>
      <c r="B1256" s="52">
        <v>87.7256</v>
      </c>
      <c r="C1256" s="52">
        <v>86.738299999999995</v>
      </c>
      <c r="D1256" s="52">
        <v>87.004000000000005</v>
      </c>
      <c r="E1256" s="52">
        <v>31838120</v>
      </c>
      <c r="F1256" s="52" t="s">
        <v>1010</v>
      </c>
      <c r="G1256" s="25">
        <f t="shared" si="17"/>
        <v>-6.6893476162011023E-4</v>
      </c>
    </row>
    <row r="1257" spans="1:7">
      <c r="A1257" s="52">
        <v>86.4726</v>
      </c>
      <c r="B1257" s="52">
        <v>87.550399999999996</v>
      </c>
      <c r="C1257" s="52">
        <v>85.3977</v>
      </c>
      <c r="D1257" s="52">
        <v>86.076999999999998</v>
      </c>
      <c r="E1257" s="52">
        <v>43021160</v>
      </c>
      <c r="F1257" s="52" t="s">
        <v>1009</v>
      </c>
      <c r="G1257" s="25">
        <f t="shared" si="17"/>
        <v>4.5958850796379291E-3</v>
      </c>
    </row>
    <row r="1258" spans="1:7">
      <c r="A1258" s="52">
        <v>87.651899999999998</v>
      </c>
      <c r="B1258" s="52">
        <v>90.412199999999999</v>
      </c>
      <c r="C1258" s="52">
        <v>87.459100000000007</v>
      </c>
      <c r="D1258" s="52">
        <v>89.371700000000004</v>
      </c>
      <c r="E1258" s="52">
        <v>53440480</v>
      </c>
      <c r="F1258" s="52" t="s">
        <v>1008</v>
      </c>
      <c r="G1258" s="25">
        <f t="shared" si="17"/>
        <v>-1.9243228001705304E-2</v>
      </c>
    </row>
    <row r="1259" spans="1:7">
      <c r="A1259" s="52">
        <v>87.567800000000005</v>
      </c>
      <c r="B1259" s="52">
        <v>88.004000000000005</v>
      </c>
      <c r="C1259" s="52">
        <v>86.4208</v>
      </c>
      <c r="D1259" s="52">
        <v>87.150300000000001</v>
      </c>
      <c r="E1259" s="52">
        <v>28621680</v>
      </c>
      <c r="F1259" s="52" t="s">
        <v>1007</v>
      </c>
      <c r="G1259" s="25">
        <f t="shared" si="17"/>
        <v>4.7905744443794696E-3</v>
      </c>
    </row>
    <row r="1260" spans="1:7">
      <c r="A1260" s="52">
        <v>87.705699999999993</v>
      </c>
      <c r="B1260" s="52">
        <v>89.164599999999993</v>
      </c>
      <c r="C1260" s="52">
        <v>86.637299999999996</v>
      </c>
      <c r="D1260" s="52">
        <v>88.101299999999995</v>
      </c>
      <c r="E1260" s="52">
        <v>39758140</v>
      </c>
      <c r="F1260" s="52" t="s">
        <v>1006</v>
      </c>
      <c r="G1260" s="25">
        <f t="shared" si="17"/>
        <v>-4.4902856144006797E-3</v>
      </c>
    </row>
    <row r="1261" spans="1:7">
      <c r="A1261" s="52">
        <v>86.877099999999999</v>
      </c>
      <c r="B1261" s="52">
        <v>88.080399999999997</v>
      </c>
      <c r="C1261" s="52">
        <v>84.744799999999998</v>
      </c>
      <c r="D1261" s="52">
        <v>84.873199999999997</v>
      </c>
      <c r="E1261" s="52">
        <v>71342980</v>
      </c>
      <c r="F1261" s="52" t="s">
        <v>1005</v>
      </c>
      <c r="G1261" s="25">
        <f t="shared" si="17"/>
        <v>2.3610515451284897E-2</v>
      </c>
    </row>
    <row r="1262" spans="1:7">
      <c r="A1262" s="52">
        <v>81.891499999999994</v>
      </c>
      <c r="B1262" s="52">
        <v>82.555300000000003</v>
      </c>
      <c r="C1262" s="52">
        <v>80.221900000000005</v>
      </c>
      <c r="D1262" s="52">
        <v>81.150000000000006</v>
      </c>
      <c r="E1262" s="52">
        <v>31432820</v>
      </c>
      <c r="F1262" s="52" t="s">
        <v>1004</v>
      </c>
      <c r="G1262" s="25">
        <f t="shared" si="17"/>
        <v>9.1373998767712017E-3</v>
      </c>
    </row>
    <row r="1263" spans="1:7">
      <c r="A1263" s="52">
        <v>80.829599999999999</v>
      </c>
      <c r="B1263" s="52">
        <v>82.517499999999998</v>
      </c>
      <c r="C1263" s="52">
        <v>80.328000000000003</v>
      </c>
      <c r="D1263" s="52">
        <v>80.790700000000001</v>
      </c>
      <c r="E1263" s="52">
        <v>44228980</v>
      </c>
      <c r="F1263" s="52" t="s">
        <v>1003</v>
      </c>
      <c r="G1263" s="25">
        <f t="shared" si="17"/>
        <v>4.8149106270889419E-4</v>
      </c>
    </row>
    <row r="1264" spans="1:7">
      <c r="A1264" s="52">
        <v>80.421000000000006</v>
      </c>
      <c r="B1264" s="52">
        <v>83.665700000000001</v>
      </c>
      <c r="C1264" s="52">
        <v>79.697500000000005</v>
      </c>
      <c r="D1264" s="52">
        <v>82.975300000000004</v>
      </c>
      <c r="E1264" s="52">
        <v>99923940</v>
      </c>
      <c r="F1264" s="52" t="s">
        <v>1002</v>
      </c>
      <c r="G1264" s="25">
        <f t="shared" si="17"/>
        <v>-3.0783859775137867E-2</v>
      </c>
    </row>
    <row r="1265" spans="1:7">
      <c r="A1265" s="52">
        <v>77.473600000000005</v>
      </c>
      <c r="B1265" s="52">
        <v>79.058800000000005</v>
      </c>
      <c r="C1265" s="52">
        <v>75.466700000000003</v>
      </c>
      <c r="D1265" s="52">
        <v>75.490099999999998</v>
      </c>
      <c r="E1265" s="52">
        <v>55406860</v>
      </c>
      <c r="F1265" s="52" t="s">
        <v>1001</v>
      </c>
      <c r="G1265" s="25">
        <f t="shared" si="17"/>
        <v>2.627496850580413E-2</v>
      </c>
    </row>
    <row r="1266" spans="1:7">
      <c r="A1266" s="52">
        <v>75.180599999999998</v>
      </c>
      <c r="B1266" s="52">
        <v>77.320800000000006</v>
      </c>
      <c r="C1266" s="52">
        <v>75.065100000000001</v>
      </c>
      <c r="D1266" s="52">
        <v>77.131699999999995</v>
      </c>
      <c r="E1266" s="52">
        <v>45173500</v>
      </c>
      <c r="F1266" s="52" t="s">
        <v>1000</v>
      </c>
      <c r="G1266" s="25">
        <f t="shared" si="17"/>
        <v>-2.5295695544114816E-2</v>
      </c>
    </row>
    <row r="1267" spans="1:7">
      <c r="A1267" s="52">
        <v>79.563599999999994</v>
      </c>
      <c r="B1267" s="52">
        <v>79.718900000000005</v>
      </c>
      <c r="C1267" s="52">
        <v>78.474299999999999</v>
      </c>
      <c r="D1267" s="52">
        <v>79.068600000000004</v>
      </c>
      <c r="E1267" s="52">
        <v>25902760</v>
      </c>
      <c r="F1267" s="52" t="s">
        <v>999</v>
      </c>
      <c r="G1267" s="25">
        <f t="shared" si="17"/>
        <v>6.2603865504131662E-3</v>
      </c>
    </row>
    <row r="1268" spans="1:7">
      <c r="A1268" s="52">
        <v>78.837599999999995</v>
      </c>
      <c r="B1268" s="52">
        <v>81.091300000000004</v>
      </c>
      <c r="C1268" s="52">
        <v>78.016000000000005</v>
      </c>
      <c r="D1268" s="52">
        <v>80.365799999999993</v>
      </c>
      <c r="E1268" s="52">
        <v>35826340</v>
      </c>
      <c r="F1268" s="52" t="s">
        <v>998</v>
      </c>
      <c r="G1268" s="25">
        <f t="shared" si="17"/>
        <v>-1.901555139126343E-2</v>
      </c>
    </row>
    <row r="1269" spans="1:7">
      <c r="A1269" s="52">
        <v>81.260499999999993</v>
      </c>
      <c r="B1269" s="52">
        <v>81.3172</v>
      </c>
      <c r="C1269" s="52">
        <v>80.212000000000003</v>
      </c>
      <c r="D1269" s="52">
        <v>80.368300000000005</v>
      </c>
      <c r="E1269" s="52">
        <v>30548040</v>
      </c>
      <c r="F1269" s="52" t="s">
        <v>997</v>
      </c>
      <c r="G1269" s="25">
        <f t="shared" si="17"/>
        <v>1.1101391966733098E-2</v>
      </c>
    </row>
    <row r="1270" spans="1:7">
      <c r="A1270" s="52">
        <v>79.950800000000001</v>
      </c>
      <c r="B1270" s="52">
        <v>80.287199999999999</v>
      </c>
      <c r="C1270" s="52">
        <v>78.498699999999999</v>
      </c>
      <c r="D1270" s="52">
        <v>78.872900000000001</v>
      </c>
      <c r="E1270" s="52">
        <v>30515460</v>
      </c>
      <c r="F1270" s="52" t="s">
        <v>996</v>
      </c>
      <c r="G1270" s="25">
        <f t="shared" si="17"/>
        <v>1.3666290956716454E-2</v>
      </c>
    </row>
    <row r="1271" spans="1:7">
      <c r="A1271" s="52">
        <v>78.922200000000004</v>
      </c>
      <c r="B1271" s="52">
        <v>80.372699999999995</v>
      </c>
      <c r="C1271" s="52">
        <v>77.983900000000006</v>
      </c>
      <c r="D1271" s="52">
        <v>78.119</v>
      </c>
      <c r="E1271" s="52">
        <v>60321060</v>
      </c>
      <c r="F1271" s="52" t="s">
        <v>995</v>
      </c>
      <c r="G1271" s="25">
        <f t="shared" si="17"/>
        <v>1.0281749638372251E-2</v>
      </c>
    </row>
    <row r="1272" spans="1:7">
      <c r="A1272" s="52">
        <v>77.185000000000002</v>
      </c>
      <c r="B1272" s="52">
        <v>78.317599999999999</v>
      </c>
      <c r="C1272" s="52">
        <v>75.663300000000007</v>
      </c>
      <c r="D1272" s="52">
        <v>75.793099999999995</v>
      </c>
      <c r="E1272" s="52">
        <v>41718300</v>
      </c>
      <c r="F1272" s="52" t="s">
        <v>994</v>
      </c>
      <c r="G1272" s="25">
        <f t="shared" si="17"/>
        <v>1.8364468533415446E-2</v>
      </c>
    </row>
    <row r="1273" spans="1:7">
      <c r="A1273" s="52">
        <v>76.133499999999998</v>
      </c>
      <c r="B1273" s="52">
        <v>78.819400000000002</v>
      </c>
      <c r="C1273" s="52">
        <v>75.783699999999996</v>
      </c>
      <c r="D1273" s="52">
        <v>78.421599999999998</v>
      </c>
      <c r="E1273" s="52">
        <v>29733040</v>
      </c>
      <c r="F1273" s="52" t="s">
        <v>993</v>
      </c>
      <c r="G1273" s="25">
        <f t="shared" si="17"/>
        <v>-2.917691044304116E-2</v>
      </c>
    </row>
    <row r="1274" spans="1:7">
      <c r="A1274" s="52">
        <v>78.012</v>
      </c>
      <c r="B1274" s="52">
        <v>78.510099999999994</v>
      </c>
      <c r="C1274" s="52">
        <v>77.5124</v>
      </c>
      <c r="D1274" s="52">
        <v>77.719899999999996</v>
      </c>
      <c r="E1274" s="52">
        <v>34206500</v>
      </c>
      <c r="F1274" s="52" t="s">
        <v>992</v>
      </c>
      <c r="G1274" s="25">
        <f t="shared" si="17"/>
        <v>3.7583681914157285E-3</v>
      </c>
    </row>
    <row r="1275" spans="1:7">
      <c r="A1275" s="52">
        <v>77.403400000000005</v>
      </c>
      <c r="B1275" s="52">
        <v>78.195899999999995</v>
      </c>
      <c r="C1275" s="52">
        <v>76.689899999999994</v>
      </c>
      <c r="D1275" s="52">
        <v>76.857500000000002</v>
      </c>
      <c r="E1275" s="52">
        <v>31229700</v>
      </c>
      <c r="F1275" s="52" t="s">
        <v>991</v>
      </c>
      <c r="G1275" s="25">
        <f t="shared" ref="G1275:G1338" si="18">A1275/D1275-1</f>
        <v>7.1027550987217136E-3</v>
      </c>
    </row>
    <row r="1276" spans="1:7">
      <c r="A1276" s="52">
        <v>77.8</v>
      </c>
      <c r="B1276" s="52">
        <v>78.815700000000007</v>
      </c>
      <c r="C1276" s="52">
        <v>76.927000000000007</v>
      </c>
      <c r="D1276" s="52">
        <v>78.355400000000003</v>
      </c>
      <c r="E1276" s="52">
        <v>33184560</v>
      </c>
      <c r="F1276" s="52" t="s">
        <v>990</v>
      </c>
      <c r="G1276" s="25">
        <f t="shared" si="18"/>
        <v>-7.0882160004288597E-3</v>
      </c>
    </row>
    <row r="1277" spans="1:7">
      <c r="A1277" s="52">
        <v>77.980699999999999</v>
      </c>
      <c r="B1277" s="52">
        <v>78.880899999999997</v>
      </c>
      <c r="C1277" s="52">
        <v>77.560699999999997</v>
      </c>
      <c r="D1277" s="52">
        <v>78.475300000000004</v>
      </c>
      <c r="E1277" s="52">
        <v>39072180</v>
      </c>
      <c r="F1277" s="52" t="s">
        <v>989</v>
      </c>
      <c r="G1277" s="25">
        <f t="shared" si="18"/>
        <v>-6.3026200600698745E-3</v>
      </c>
    </row>
    <row r="1278" spans="1:7">
      <c r="A1278" s="52">
        <v>77.857299999999995</v>
      </c>
      <c r="B1278" s="52">
        <v>79.043099999999995</v>
      </c>
      <c r="C1278" s="52">
        <v>76.101200000000006</v>
      </c>
      <c r="D1278" s="52">
        <v>76.534099999999995</v>
      </c>
      <c r="E1278" s="52">
        <v>55343280</v>
      </c>
      <c r="F1278" s="52" t="s">
        <v>988</v>
      </c>
      <c r="G1278" s="25">
        <f t="shared" si="18"/>
        <v>1.7289025414815029E-2</v>
      </c>
    </row>
    <row r="1279" spans="1:7">
      <c r="A1279" s="52">
        <v>75.1631</v>
      </c>
      <c r="B1279" s="52">
        <v>75.232799999999997</v>
      </c>
      <c r="C1279" s="52">
        <v>73.996200000000002</v>
      </c>
      <c r="D1279" s="52">
        <v>74.287800000000004</v>
      </c>
      <c r="E1279" s="52">
        <v>32966800</v>
      </c>
      <c r="F1279" s="52" t="s">
        <v>987</v>
      </c>
      <c r="G1279" s="25">
        <f t="shared" si="18"/>
        <v>1.1782553797528017E-2</v>
      </c>
    </row>
    <row r="1280" spans="1:7">
      <c r="A1280" s="52">
        <v>73.818600000000004</v>
      </c>
      <c r="B1280" s="52">
        <v>74.047399999999996</v>
      </c>
      <c r="C1280" s="52">
        <v>72.923900000000003</v>
      </c>
      <c r="D1280" s="52">
        <v>72.923900000000003</v>
      </c>
      <c r="E1280" s="52">
        <v>26076040</v>
      </c>
      <c r="F1280" s="52" t="s">
        <v>986</v>
      </c>
      <c r="G1280" s="25">
        <f t="shared" si="18"/>
        <v>1.226895434830011E-2</v>
      </c>
    </row>
    <row r="1281" spans="1:7">
      <c r="A1281" s="52">
        <v>72.609899999999996</v>
      </c>
      <c r="B1281" s="52">
        <v>73.099000000000004</v>
      </c>
      <c r="C1281" s="52">
        <v>71.320499999999996</v>
      </c>
      <c r="D1281" s="52">
        <v>72.618300000000005</v>
      </c>
      <c r="E1281" s="52">
        <v>36108960</v>
      </c>
      <c r="F1281" s="52" t="s">
        <v>985</v>
      </c>
      <c r="G1281" s="25">
        <f t="shared" si="18"/>
        <v>-1.1567332201400937E-4</v>
      </c>
    </row>
    <row r="1282" spans="1:7">
      <c r="A1282" s="52">
        <v>72.205799999999996</v>
      </c>
      <c r="B1282" s="52">
        <v>73.872799999999998</v>
      </c>
      <c r="C1282" s="52">
        <v>71.906700000000001</v>
      </c>
      <c r="D1282" s="52">
        <v>73.424000000000007</v>
      </c>
      <c r="E1282" s="52">
        <v>26095040</v>
      </c>
      <c r="F1282" s="52" t="s">
        <v>984</v>
      </c>
      <c r="G1282" s="25">
        <f t="shared" si="18"/>
        <v>-1.6591305295271419E-2</v>
      </c>
    </row>
    <row r="1283" spans="1:7">
      <c r="A1283" s="52">
        <v>73.788700000000006</v>
      </c>
      <c r="B1283" s="52">
        <v>73.881799999999998</v>
      </c>
      <c r="C1283" s="52">
        <v>72.6571</v>
      </c>
      <c r="D1283" s="52">
        <v>72.784499999999994</v>
      </c>
      <c r="E1283" s="52">
        <v>21601160</v>
      </c>
      <c r="F1283" s="52" t="s">
        <v>983</v>
      </c>
      <c r="G1283" s="25">
        <f t="shared" si="18"/>
        <v>1.3796893569372859E-2</v>
      </c>
    </row>
    <row r="1284" spans="1:7">
      <c r="A1284" s="52">
        <v>72.433700000000002</v>
      </c>
      <c r="B1284" s="52">
        <v>73.599599999999995</v>
      </c>
      <c r="C1284" s="52">
        <v>72.023200000000003</v>
      </c>
      <c r="D1284" s="52">
        <v>72.634200000000007</v>
      </c>
      <c r="E1284" s="52">
        <v>31222640</v>
      </c>
      <c r="F1284" s="52" t="s">
        <v>982</v>
      </c>
      <c r="G1284" s="25">
        <f t="shared" si="18"/>
        <v>-2.7604076316667392E-3</v>
      </c>
    </row>
    <row r="1285" spans="1:7">
      <c r="A1285" s="52">
        <v>74.040999999999997</v>
      </c>
      <c r="B1285" s="52">
        <v>74.397800000000004</v>
      </c>
      <c r="C1285" s="52">
        <v>73.488699999999994</v>
      </c>
      <c r="D1285" s="52">
        <v>73.830100000000002</v>
      </c>
      <c r="E1285" s="52">
        <v>32884420</v>
      </c>
      <c r="F1285" s="52" t="s">
        <v>981</v>
      </c>
      <c r="G1285" s="25">
        <f t="shared" si="18"/>
        <v>2.8565585039164176E-3</v>
      </c>
    </row>
    <row r="1286" spans="1:7">
      <c r="A1286" s="52">
        <v>72.931299999999993</v>
      </c>
      <c r="B1286" s="52">
        <v>73.956299999999999</v>
      </c>
      <c r="C1286" s="52">
        <v>72.441400000000002</v>
      </c>
      <c r="D1286" s="52">
        <v>72.699200000000005</v>
      </c>
      <c r="E1286" s="52">
        <v>40923400</v>
      </c>
      <c r="F1286" s="52" t="s">
        <v>980</v>
      </c>
      <c r="G1286" s="25">
        <f t="shared" si="18"/>
        <v>3.1926073464356719E-3</v>
      </c>
    </row>
    <row r="1287" spans="1:7">
      <c r="A1287" s="52">
        <v>72.952200000000005</v>
      </c>
      <c r="B1287" s="52">
        <v>73.249799999999993</v>
      </c>
      <c r="C1287" s="52">
        <v>72.354100000000003</v>
      </c>
      <c r="D1287" s="52">
        <v>72.847200000000001</v>
      </c>
      <c r="E1287" s="52">
        <v>31822240</v>
      </c>
      <c r="F1287" s="52" t="s">
        <v>979</v>
      </c>
      <c r="G1287" s="25">
        <f t="shared" si="18"/>
        <v>1.4413731756335313E-3</v>
      </c>
    </row>
    <row r="1288" spans="1:7">
      <c r="A1288" s="52">
        <v>72.585999999999999</v>
      </c>
      <c r="B1288" s="52">
        <v>73.299099999999996</v>
      </c>
      <c r="C1288" s="52">
        <v>71.969899999999996</v>
      </c>
      <c r="D1288" s="52">
        <v>73.249300000000005</v>
      </c>
      <c r="E1288" s="52">
        <v>30784720</v>
      </c>
      <c r="F1288" s="52" t="s">
        <v>978</v>
      </c>
      <c r="G1288" s="25">
        <f t="shared" si="18"/>
        <v>-9.0553766384116052E-3</v>
      </c>
    </row>
    <row r="1289" spans="1:7">
      <c r="A1289" s="52">
        <v>71.610600000000005</v>
      </c>
      <c r="B1289" s="52">
        <v>71.953000000000003</v>
      </c>
      <c r="C1289" s="52">
        <v>70.049099999999996</v>
      </c>
      <c r="D1289" s="52">
        <v>70.913499999999999</v>
      </c>
      <c r="E1289" s="52">
        <v>30333540</v>
      </c>
      <c r="F1289" s="52" t="s">
        <v>977</v>
      </c>
      <c r="G1289" s="25">
        <f t="shared" si="18"/>
        <v>9.830286193743154E-3</v>
      </c>
    </row>
    <row r="1290" spans="1:7">
      <c r="A1290" s="52">
        <v>70.804500000000004</v>
      </c>
      <c r="B1290" s="52">
        <v>71.557400000000001</v>
      </c>
      <c r="C1290" s="52">
        <v>69.773899999999998</v>
      </c>
      <c r="D1290" s="52">
        <v>69.800299999999993</v>
      </c>
      <c r="E1290" s="52">
        <v>34552220</v>
      </c>
      <c r="F1290" s="52" t="s">
        <v>976</v>
      </c>
      <c r="G1290" s="25">
        <f t="shared" si="18"/>
        <v>1.4386757650038939E-2</v>
      </c>
    </row>
    <row r="1291" spans="1:7">
      <c r="A1291" s="52">
        <v>70.134200000000007</v>
      </c>
      <c r="B1291" s="52">
        <v>72.308300000000003</v>
      </c>
      <c r="C1291" s="52">
        <v>69.800299999999993</v>
      </c>
      <c r="D1291" s="52">
        <v>72.259</v>
      </c>
      <c r="E1291" s="52">
        <v>37725980</v>
      </c>
      <c r="F1291" s="52" t="s">
        <v>975</v>
      </c>
      <c r="G1291" s="25">
        <f t="shared" si="18"/>
        <v>-2.9405333591663196E-2</v>
      </c>
    </row>
    <row r="1292" spans="1:7">
      <c r="A1292" s="52">
        <v>72.643699999999995</v>
      </c>
      <c r="B1292" s="52">
        <v>72.850200000000001</v>
      </c>
      <c r="C1292" s="52">
        <v>71.134699999999995</v>
      </c>
      <c r="D1292" s="52">
        <v>72.171000000000006</v>
      </c>
      <c r="E1292" s="52">
        <v>33950840</v>
      </c>
      <c r="F1292" s="52" t="s">
        <v>974</v>
      </c>
      <c r="G1292" s="25">
        <f t="shared" si="18"/>
        <v>6.5497221875820966E-3</v>
      </c>
    </row>
    <row r="1293" spans="1:7">
      <c r="A1293" s="52">
        <v>71.166799999999995</v>
      </c>
      <c r="B1293" s="52">
        <v>71.660399999999996</v>
      </c>
      <c r="C1293" s="52">
        <v>69.800299999999993</v>
      </c>
      <c r="D1293" s="52">
        <v>71.240399999999994</v>
      </c>
      <c r="E1293" s="52">
        <v>56908100</v>
      </c>
      <c r="F1293" s="52" t="s">
        <v>973</v>
      </c>
      <c r="G1293" s="25">
        <f t="shared" si="18"/>
        <v>-1.0331216556896949E-3</v>
      </c>
    </row>
    <row r="1294" spans="1:7">
      <c r="A1294" s="52">
        <v>72.209299999999999</v>
      </c>
      <c r="B1294" s="52">
        <v>74.404300000000006</v>
      </c>
      <c r="C1294" s="52">
        <v>71.240399999999994</v>
      </c>
      <c r="D1294" s="52">
        <v>74.060900000000004</v>
      </c>
      <c r="E1294" s="52">
        <v>63055760</v>
      </c>
      <c r="F1294" s="52" t="s">
        <v>972</v>
      </c>
      <c r="G1294" s="25">
        <f t="shared" si="18"/>
        <v>-2.5001046436108676E-2</v>
      </c>
    </row>
    <row r="1295" spans="1:7">
      <c r="A1295" s="52">
        <v>73.998199999999997</v>
      </c>
      <c r="B1295" s="52">
        <v>74.576499999999996</v>
      </c>
      <c r="C1295" s="52">
        <v>72.775099999999995</v>
      </c>
      <c r="D1295" s="52">
        <v>73.936999999999998</v>
      </c>
      <c r="E1295" s="52">
        <v>40007120</v>
      </c>
      <c r="F1295" s="52" t="s">
        <v>971</v>
      </c>
      <c r="G1295" s="25">
        <f t="shared" si="18"/>
        <v>8.2773171754335628E-4</v>
      </c>
    </row>
    <row r="1296" spans="1:7">
      <c r="A1296" s="52">
        <v>75.244799999999998</v>
      </c>
      <c r="B1296" s="52">
        <v>77.348699999999994</v>
      </c>
      <c r="C1296" s="52">
        <v>75.219899999999996</v>
      </c>
      <c r="D1296" s="52">
        <v>76.757000000000005</v>
      </c>
      <c r="E1296" s="52">
        <v>22143380</v>
      </c>
      <c r="F1296" s="52" t="s">
        <v>970</v>
      </c>
      <c r="G1296" s="25">
        <f t="shared" si="18"/>
        <v>-1.9701134749925187E-2</v>
      </c>
    </row>
    <row r="1297" spans="1:7">
      <c r="A1297" s="52">
        <v>76.390799999999999</v>
      </c>
      <c r="B1297" s="52">
        <v>77.180499999999995</v>
      </c>
      <c r="C1297" s="52">
        <v>75.742900000000006</v>
      </c>
      <c r="D1297" s="52">
        <v>76.031000000000006</v>
      </c>
      <c r="E1297" s="52">
        <v>23041100</v>
      </c>
      <c r="F1297" s="52" t="s">
        <v>969</v>
      </c>
      <c r="G1297" s="25">
        <f t="shared" si="18"/>
        <v>4.7322802541067688E-3</v>
      </c>
    </row>
    <row r="1298" spans="1:7">
      <c r="A1298" s="52">
        <v>75.082499999999996</v>
      </c>
      <c r="B1298" s="52">
        <v>77.479600000000005</v>
      </c>
      <c r="C1298" s="52">
        <v>74.897400000000005</v>
      </c>
      <c r="D1298" s="52">
        <v>76.218000000000004</v>
      </c>
      <c r="E1298" s="52">
        <v>42660140</v>
      </c>
      <c r="F1298" s="52" t="s">
        <v>968</v>
      </c>
      <c r="G1298" s="25">
        <f t="shared" si="18"/>
        <v>-1.4898055577422742E-2</v>
      </c>
    </row>
    <row r="1299" spans="1:7">
      <c r="A1299" s="52">
        <v>75.427400000000006</v>
      </c>
      <c r="B1299" s="52">
        <v>76.568700000000007</v>
      </c>
      <c r="C1299" s="52">
        <v>74.2958</v>
      </c>
      <c r="D1299" s="52">
        <v>76.043899999999994</v>
      </c>
      <c r="E1299" s="52">
        <v>30706740</v>
      </c>
      <c r="F1299" s="52" t="s">
        <v>967</v>
      </c>
      <c r="G1299" s="25">
        <f t="shared" si="18"/>
        <v>-8.1071591541200805E-3</v>
      </c>
    </row>
    <row r="1300" spans="1:7">
      <c r="A1300" s="52">
        <v>75.939400000000006</v>
      </c>
      <c r="B1300" s="52">
        <v>78.308599999999998</v>
      </c>
      <c r="C1300" s="52">
        <v>75.638400000000004</v>
      </c>
      <c r="D1300" s="52">
        <v>77.140199999999993</v>
      </c>
      <c r="E1300" s="52">
        <v>33023880</v>
      </c>
      <c r="F1300" s="52" t="s">
        <v>966</v>
      </c>
      <c r="G1300" s="25">
        <f t="shared" si="18"/>
        <v>-1.5566462104064871E-2</v>
      </c>
    </row>
    <row r="1301" spans="1:7">
      <c r="A1301" s="52">
        <v>76.993399999999994</v>
      </c>
      <c r="B1301" s="52">
        <v>77.565200000000004</v>
      </c>
      <c r="C1301" s="52">
        <v>75.895600000000002</v>
      </c>
      <c r="D1301" s="52">
        <v>77.076499999999996</v>
      </c>
      <c r="E1301" s="52">
        <v>39241560</v>
      </c>
      <c r="F1301" s="52" t="s">
        <v>965</v>
      </c>
      <c r="G1301" s="25">
        <f t="shared" si="18"/>
        <v>-1.0781496305618532E-3</v>
      </c>
    </row>
    <row r="1302" spans="1:7">
      <c r="A1302" s="52">
        <v>75.817499999999995</v>
      </c>
      <c r="B1302" s="52">
        <v>77.407399999999996</v>
      </c>
      <c r="C1302" s="52">
        <v>75.464200000000005</v>
      </c>
      <c r="D1302" s="52">
        <v>75.887200000000007</v>
      </c>
      <c r="E1302" s="52">
        <v>54031720</v>
      </c>
      <c r="F1302" s="52" t="s">
        <v>964</v>
      </c>
      <c r="G1302" s="25">
        <f t="shared" si="18"/>
        <v>-9.1846846372001245E-4</v>
      </c>
    </row>
    <row r="1303" spans="1:7">
      <c r="A1303" s="52">
        <v>78.684299999999993</v>
      </c>
      <c r="B1303" s="52">
        <v>81.360500000000002</v>
      </c>
      <c r="C1303" s="52">
        <v>76.532600000000002</v>
      </c>
      <c r="D1303" s="52">
        <v>80.0672</v>
      </c>
      <c r="E1303" s="52">
        <v>55850660</v>
      </c>
      <c r="F1303" s="52" t="s">
        <v>963</v>
      </c>
      <c r="G1303" s="25">
        <f t="shared" si="18"/>
        <v>-1.7271741736941015E-2</v>
      </c>
    </row>
    <row r="1304" spans="1:7">
      <c r="A1304" s="52">
        <v>81.087800000000001</v>
      </c>
      <c r="B1304" s="52">
        <v>84.595600000000005</v>
      </c>
      <c r="C1304" s="52">
        <v>80.003</v>
      </c>
      <c r="D1304" s="52">
        <v>84.571700000000007</v>
      </c>
      <c r="E1304" s="52">
        <v>63725740</v>
      </c>
      <c r="F1304" s="52" t="s">
        <v>962</v>
      </c>
      <c r="G1304" s="25">
        <f t="shared" si="18"/>
        <v>-4.1194631301014417E-2</v>
      </c>
    </row>
    <row r="1305" spans="1:7">
      <c r="A1305" s="52">
        <v>85.460899999999995</v>
      </c>
      <c r="B1305" s="52">
        <v>85.894499999999994</v>
      </c>
      <c r="C1305" s="52">
        <v>82.614500000000007</v>
      </c>
      <c r="D1305" s="52">
        <v>83.003699999999995</v>
      </c>
      <c r="E1305" s="52">
        <v>49521440</v>
      </c>
      <c r="F1305" s="52" t="s">
        <v>961</v>
      </c>
      <c r="G1305" s="25">
        <f t="shared" si="18"/>
        <v>2.9603499603029659E-2</v>
      </c>
    </row>
    <row r="1306" spans="1:7">
      <c r="A1306" s="52">
        <v>82.360200000000006</v>
      </c>
      <c r="B1306" s="52">
        <v>82.566299999999998</v>
      </c>
      <c r="C1306" s="52">
        <v>81.088800000000006</v>
      </c>
      <c r="D1306" s="52">
        <v>81.219700000000003</v>
      </c>
      <c r="E1306" s="52">
        <v>22675320</v>
      </c>
      <c r="F1306" s="52" t="s">
        <v>960</v>
      </c>
      <c r="G1306" s="25">
        <f t="shared" si="18"/>
        <v>1.4042159722333469E-2</v>
      </c>
    </row>
    <row r="1307" spans="1:7">
      <c r="A1307" s="52">
        <v>81.088800000000006</v>
      </c>
      <c r="B1307" s="52">
        <v>81.833799999999997</v>
      </c>
      <c r="C1307" s="52">
        <v>80.879800000000003</v>
      </c>
      <c r="D1307" s="52">
        <v>81.787499999999994</v>
      </c>
      <c r="E1307" s="52">
        <v>26421940</v>
      </c>
      <c r="F1307" s="52" t="s">
        <v>959</v>
      </c>
      <c r="G1307" s="25">
        <f t="shared" si="18"/>
        <v>-8.5428702430077053E-3</v>
      </c>
    </row>
    <row r="1308" spans="1:7">
      <c r="A1308" s="52">
        <v>81.581500000000005</v>
      </c>
      <c r="B1308" s="52">
        <v>81.677000000000007</v>
      </c>
      <c r="C1308" s="52">
        <v>80.893500000000003</v>
      </c>
      <c r="D1308" s="52">
        <v>81.085800000000006</v>
      </c>
      <c r="E1308" s="52">
        <v>22423900</v>
      </c>
      <c r="F1308" s="52" t="s">
        <v>958</v>
      </c>
      <c r="G1308" s="25">
        <f t="shared" si="18"/>
        <v>6.1132775405805528E-3</v>
      </c>
    </row>
    <row r="1309" spans="1:7">
      <c r="A1309" s="52">
        <v>81.038600000000002</v>
      </c>
      <c r="B1309" s="52">
        <v>82.007400000000004</v>
      </c>
      <c r="C1309" s="52">
        <v>80.555599999999998</v>
      </c>
      <c r="D1309" s="52">
        <v>81.938800000000001</v>
      </c>
      <c r="E1309" s="52">
        <v>31350060</v>
      </c>
      <c r="F1309" s="52" t="s">
        <v>957</v>
      </c>
      <c r="G1309" s="25">
        <f t="shared" si="18"/>
        <v>-1.0986248273101351E-2</v>
      </c>
    </row>
    <row r="1310" spans="1:7">
      <c r="A1310" s="52">
        <v>81.815299999999993</v>
      </c>
      <c r="B1310" s="52">
        <v>82.246300000000005</v>
      </c>
      <c r="C1310" s="52">
        <v>79.667900000000003</v>
      </c>
      <c r="D1310" s="52">
        <v>79.9328</v>
      </c>
      <c r="E1310" s="52">
        <v>52187260</v>
      </c>
      <c r="F1310" s="52" t="s">
        <v>956</v>
      </c>
      <c r="G1310" s="25">
        <f t="shared" si="18"/>
        <v>2.3551032867608734E-2</v>
      </c>
    </row>
    <row r="1311" spans="1:7">
      <c r="A1311" s="52">
        <v>79.910499999999999</v>
      </c>
      <c r="B1311" s="52">
        <v>80.061199999999999</v>
      </c>
      <c r="C1311" s="52">
        <v>78.518600000000006</v>
      </c>
      <c r="D1311" s="52">
        <v>78.629099999999994</v>
      </c>
      <c r="E1311" s="52">
        <v>25149260</v>
      </c>
      <c r="F1311" s="52" t="s">
        <v>955</v>
      </c>
      <c r="G1311" s="25">
        <f t="shared" si="18"/>
        <v>1.6296765446889294E-2</v>
      </c>
    </row>
    <row r="1312" spans="1:7">
      <c r="A1312" s="52">
        <v>78.880399999999995</v>
      </c>
      <c r="B1312" s="52">
        <v>80.056299999999993</v>
      </c>
      <c r="C1312" s="52">
        <v>78.377300000000005</v>
      </c>
      <c r="D1312" s="52">
        <v>79.244600000000005</v>
      </c>
      <c r="E1312" s="52">
        <v>25637860</v>
      </c>
      <c r="F1312" s="52" t="s">
        <v>954</v>
      </c>
      <c r="G1312" s="25">
        <f t="shared" si="18"/>
        <v>-4.5958967551102958E-3</v>
      </c>
    </row>
    <row r="1313" spans="1:7">
      <c r="A1313" s="52">
        <v>78.403700000000001</v>
      </c>
      <c r="B1313" s="52">
        <v>79.215299999999999</v>
      </c>
      <c r="C1313" s="52">
        <v>77.743799999999993</v>
      </c>
      <c r="D1313" s="52">
        <v>78.216099999999997</v>
      </c>
      <c r="E1313" s="52">
        <v>34845500</v>
      </c>
      <c r="F1313" s="52" t="s">
        <v>953</v>
      </c>
      <c r="G1313" s="25">
        <f t="shared" si="18"/>
        <v>2.3984831767374093E-3</v>
      </c>
    </row>
    <row r="1314" spans="1:7">
      <c r="A1314" s="52">
        <v>78.4375</v>
      </c>
      <c r="B1314" s="52">
        <v>78.632599999999996</v>
      </c>
      <c r="C1314" s="52">
        <v>76.357900000000001</v>
      </c>
      <c r="D1314" s="52">
        <v>76.632099999999994</v>
      </c>
      <c r="E1314" s="52">
        <v>26382620</v>
      </c>
      <c r="F1314" s="52" t="s">
        <v>952</v>
      </c>
      <c r="G1314" s="25">
        <f t="shared" si="18"/>
        <v>2.3559317831561621E-2</v>
      </c>
    </row>
    <row r="1315" spans="1:7">
      <c r="A1315" s="52">
        <v>76.863</v>
      </c>
      <c r="B1315" s="52">
        <v>78.069800000000001</v>
      </c>
      <c r="C1315" s="52">
        <v>76.633600000000001</v>
      </c>
      <c r="D1315" s="52">
        <v>77.255099999999999</v>
      </c>
      <c r="E1315" s="52">
        <v>30471840</v>
      </c>
      <c r="F1315" s="52" t="s">
        <v>951</v>
      </c>
      <c r="G1315" s="25">
        <f t="shared" si="18"/>
        <v>-5.0753930808451475E-3</v>
      </c>
    </row>
    <row r="1316" spans="1:7">
      <c r="A1316" s="52">
        <v>77.418899999999994</v>
      </c>
      <c r="B1316" s="52">
        <v>77.498000000000005</v>
      </c>
      <c r="C1316" s="52">
        <v>75.721199999999996</v>
      </c>
      <c r="D1316" s="52">
        <v>75.942899999999995</v>
      </c>
      <c r="E1316" s="52">
        <v>28377000</v>
      </c>
      <c r="F1316" s="52" t="s">
        <v>950</v>
      </c>
      <c r="G1316" s="25">
        <f t="shared" si="18"/>
        <v>1.9435654946018621E-2</v>
      </c>
    </row>
    <row r="1317" spans="1:7">
      <c r="A1317" s="52">
        <v>75.451300000000003</v>
      </c>
      <c r="B1317" s="52">
        <v>75.826499999999996</v>
      </c>
      <c r="C1317" s="52">
        <v>74.891900000000007</v>
      </c>
      <c r="D1317" s="52">
        <v>75.437799999999996</v>
      </c>
      <c r="E1317" s="52">
        <v>19998680</v>
      </c>
      <c r="F1317" s="52" t="s">
        <v>949</v>
      </c>
      <c r="G1317" s="25">
        <f t="shared" si="18"/>
        <v>1.7895537780798776E-4</v>
      </c>
    </row>
    <row r="1318" spans="1:7">
      <c r="A1318" s="52">
        <v>74.873500000000007</v>
      </c>
      <c r="B1318" s="52">
        <v>75.627700000000004</v>
      </c>
      <c r="C1318" s="52">
        <v>74.593400000000003</v>
      </c>
      <c r="D1318" s="52">
        <v>75.320400000000006</v>
      </c>
      <c r="E1318" s="52">
        <v>21941180</v>
      </c>
      <c r="F1318" s="52" t="s">
        <v>948</v>
      </c>
      <c r="G1318" s="25">
        <f t="shared" si="18"/>
        <v>-5.9333195256530136E-3</v>
      </c>
    </row>
    <row r="1319" spans="1:7">
      <c r="A1319" s="52">
        <v>75.471699999999998</v>
      </c>
      <c r="B1319" s="52">
        <v>76.483099999999993</v>
      </c>
      <c r="C1319" s="52">
        <v>75.051699999999997</v>
      </c>
      <c r="D1319" s="52">
        <v>75.051699999999997</v>
      </c>
      <c r="E1319" s="52">
        <v>22394220</v>
      </c>
      <c r="F1319" s="52" t="s">
        <v>947</v>
      </c>
      <c r="G1319" s="25">
        <f t="shared" si="18"/>
        <v>5.5961423925108278E-3</v>
      </c>
    </row>
    <row r="1320" spans="1:7">
      <c r="A1320" s="52">
        <v>75.003399999999999</v>
      </c>
      <c r="B1320" s="52">
        <v>75.2239</v>
      </c>
      <c r="C1320" s="52">
        <v>73.896699999999996</v>
      </c>
      <c r="D1320" s="52">
        <v>74.002399999999994</v>
      </c>
      <c r="E1320" s="52">
        <v>22531200</v>
      </c>
      <c r="F1320" s="52" t="s">
        <v>946</v>
      </c>
      <c r="G1320" s="25">
        <f t="shared" si="18"/>
        <v>1.3526588326865152E-2</v>
      </c>
    </row>
    <row r="1321" spans="1:7">
      <c r="A1321" s="52">
        <v>73.674800000000005</v>
      </c>
      <c r="B1321" s="52">
        <v>75.162700000000001</v>
      </c>
      <c r="C1321" s="52">
        <v>73.5578</v>
      </c>
      <c r="D1321" s="52">
        <v>74.3446</v>
      </c>
      <c r="E1321" s="52">
        <v>31097060</v>
      </c>
      <c r="F1321" s="52" t="s">
        <v>945</v>
      </c>
      <c r="G1321" s="25">
        <f t="shared" si="18"/>
        <v>-9.0093967820122911E-3</v>
      </c>
    </row>
    <row r="1322" spans="1:7">
      <c r="A1322" s="52">
        <v>74.484899999999996</v>
      </c>
      <c r="B1322" s="52">
        <v>74.998900000000006</v>
      </c>
      <c r="C1322" s="52">
        <v>73.522999999999996</v>
      </c>
      <c r="D1322" s="52">
        <v>74.185299999999998</v>
      </c>
      <c r="E1322" s="52">
        <v>20546580</v>
      </c>
      <c r="F1322" s="52" t="s">
        <v>944</v>
      </c>
      <c r="G1322" s="25">
        <f t="shared" si="18"/>
        <v>4.0385359363648288E-3</v>
      </c>
    </row>
    <row r="1323" spans="1:7">
      <c r="A1323" s="52">
        <v>74.561999999999998</v>
      </c>
      <c r="B1323" s="52">
        <v>75.642899999999997</v>
      </c>
      <c r="C1323" s="52">
        <v>73.959900000000005</v>
      </c>
      <c r="D1323" s="52">
        <v>75.093000000000004</v>
      </c>
      <c r="E1323" s="52">
        <v>27725880</v>
      </c>
      <c r="F1323" s="52" t="s">
        <v>943</v>
      </c>
      <c r="G1323" s="25">
        <f t="shared" si="18"/>
        <v>-7.0712316727259417E-3</v>
      </c>
    </row>
    <row r="1324" spans="1:7">
      <c r="A1324" s="52">
        <v>74.889499999999998</v>
      </c>
      <c r="B1324" s="52">
        <v>74.955100000000002</v>
      </c>
      <c r="C1324" s="52">
        <v>73.244799999999998</v>
      </c>
      <c r="D1324" s="52">
        <v>73.456299999999999</v>
      </c>
      <c r="E1324" s="52">
        <v>33305220</v>
      </c>
      <c r="F1324" s="52" t="s">
        <v>942</v>
      </c>
      <c r="G1324" s="25">
        <f t="shared" si="18"/>
        <v>1.9510920098071871E-2</v>
      </c>
    </row>
    <row r="1325" spans="1:7">
      <c r="A1325" s="52">
        <v>73.602599999999995</v>
      </c>
      <c r="B1325" s="52">
        <v>74.145499999999998</v>
      </c>
      <c r="C1325" s="52">
        <v>73.210700000000003</v>
      </c>
      <c r="D1325" s="52">
        <v>73.489599999999996</v>
      </c>
      <c r="E1325" s="52">
        <v>29150360</v>
      </c>
      <c r="F1325" s="52" t="s">
        <v>941</v>
      </c>
      <c r="G1325" s="25">
        <f t="shared" si="18"/>
        <v>1.5376325357601139E-3</v>
      </c>
    </row>
    <row r="1326" spans="1:7">
      <c r="A1326" s="52">
        <v>73.314499999999995</v>
      </c>
      <c r="B1326" s="52">
        <v>74.300299999999993</v>
      </c>
      <c r="C1326" s="52">
        <v>72.853200000000001</v>
      </c>
      <c r="D1326" s="52">
        <v>73.981800000000007</v>
      </c>
      <c r="E1326" s="52">
        <v>37212180</v>
      </c>
      <c r="F1326" s="52" t="s">
        <v>940</v>
      </c>
      <c r="G1326" s="25">
        <f t="shared" si="18"/>
        <v>-9.0197859473547526E-3</v>
      </c>
    </row>
    <row r="1327" spans="1:7">
      <c r="A1327" s="52">
        <v>73.785200000000003</v>
      </c>
      <c r="B1327" s="52">
        <v>74.530199999999994</v>
      </c>
      <c r="C1327" s="52">
        <v>73.235900000000001</v>
      </c>
      <c r="D1327" s="52">
        <v>74.195300000000003</v>
      </c>
      <c r="E1327" s="52">
        <v>45521700</v>
      </c>
      <c r="F1327" s="52" t="s">
        <v>939</v>
      </c>
      <c r="G1327" s="25">
        <f t="shared" si="18"/>
        <v>-5.5273042901639036E-3</v>
      </c>
    </row>
    <row r="1328" spans="1:7">
      <c r="A1328" s="52">
        <v>74.043499999999995</v>
      </c>
      <c r="B1328" s="52">
        <v>74.892899999999997</v>
      </c>
      <c r="C1328" s="52">
        <v>72.354100000000003</v>
      </c>
      <c r="D1328" s="52">
        <v>74.496300000000005</v>
      </c>
      <c r="E1328" s="52">
        <v>91527640</v>
      </c>
      <c r="F1328" s="52" t="s">
        <v>938</v>
      </c>
      <c r="G1328" s="25">
        <f t="shared" si="18"/>
        <v>-6.0781542170552649E-3</v>
      </c>
    </row>
    <row r="1329" spans="1:7">
      <c r="A1329" s="52">
        <v>76.552499999999995</v>
      </c>
      <c r="B1329" s="52">
        <v>76.677899999999994</v>
      </c>
      <c r="C1329" s="52">
        <v>74.402799999999999</v>
      </c>
      <c r="D1329" s="52">
        <v>74.542100000000005</v>
      </c>
      <c r="E1329" s="52">
        <v>36042420</v>
      </c>
      <c r="F1329" s="52" t="s">
        <v>937</v>
      </c>
      <c r="G1329" s="25">
        <f t="shared" si="18"/>
        <v>2.6969994137540976E-2</v>
      </c>
    </row>
    <row r="1330" spans="1:7">
      <c r="A1330" s="52">
        <v>75.813000000000002</v>
      </c>
      <c r="B1330" s="52">
        <v>76.301699999999997</v>
      </c>
      <c r="C1330" s="52">
        <v>74.792900000000003</v>
      </c>
      <c r="D1330" s="52">
        <v>74.891900000000007</v>
      </c>
      <c r="E1330" s="52">
        <v>22675460</v>
      </c>
      <c r="F1330" s="52" t="s">
        <v>936</v>
      </c>
      <c r="G1330" s="25">
        <f t="shared" si="18"/>
        <v>1.2299060379026283E-2</v>
      </c>
    </row>
    <row r="1331" spans="1:7">
      <c r="A1331" s="52">
        <v>74.824799999999996</v>
      </c>
      <c r="B1331" s="52">
        <v>75.937399999999997</v>
      </c>
      <c r="C1331" s="52">
        <v>74.668999999999997</v>
      </c>
      <c r="D1331" s="52">
        <v>75.887200000000007</v>
      </c>
      <c r="E1331" s="52">
        <v>30910680</v>
      </c>
      <c r="F1331" s="52" t="s">
        <v>935</v>
      </c>
      <c r="G1331" s="25">
        <f t="shared" si="18"/>
        <v>-1.3999725908980798E-2</v>
      </c>
    </row>
    <row r="1332" spans="1:7">
      <c r="A1332" s="52">
        <v>76.107600000000005</v>
      </c>
      <c r="B1332" s="52">
        <v>76.512200000000007</v>
      </c>
      <c r="C1332" s="52">
        <v>75.256699999999995</v>
      </c>
      <c r="D1332" s="52">
        <v>75.302999999999997</v>
      </c>
      <c r="E1332" s="52">
        <v>27123700</v>
      </c>
      <c r="F1332" s="52" t="s">
        <v>934</v>
      </c>
      <c r="G1332" s="25">
        <f t="shared" si="18"/>
        <v>1.0684833273574945E-2</v>
      </c>
    </row>
    <row r="1333" spans="1:7">
      <c r="A1333" s="52">
        <v>75.051699999999997</v>
      </c>
      <c r="B1333" s="52">
        <v>75.410799999999995</v>
      </c>
      <c r="C1333" s="52">
        <v>74.025599999999997</v>
      </c>
      <c r="D1333" s="52">
        <v>74.602800000000002</v>
      </c>
      <c r="E1333" s="52">
        <v>29907620</v>
      </c>
      <c r="F1333" s="52" t="s">
        <v>933</v>
      </c>
      <c r="G1333" s="25">
        <f t="shared" si="18"/>
        <v>6.0172004267935453E-3</v>
      </c>
    </row>
    <row r="1334" spans="1:7">
      <c r="A1334" s="52">
        <v>75.476600000000005</v>
      </c>
      <c r="B1334" s="52">
        <v>78.143900000000002</v>
      </c>
      <c r="C1334" s="52">
        <v>75.070599999999999</v>
      </c>
      <c r="D1334" s="52">
        <v>77.923900000000003</v>
      </c>
      <c r="E1334" s="52">
        <v>33909960</v>
      </c>
      <c r="F1334" s="52" t="s">
        <v>932</v>
      </c>
      <c r="G1334" s="25">
        <f t="shared" si="18"/>
        <v>-3.1406282283099274E-2</v>
      </c>
    </row>
    <row r="1335" spans="1:7">
      <c r="A1335" s="52">
        <v>77.870199999999997</v>
      </c>
      <c r="B1335" s="52">
        <v>77.976200000000006</v>
      </c>
      <c r="C1335" s="52">
        <v>76.794300000000007</v>
      </c>
      <c r="D1335" s="52">
        <v>77.415400000000005</v>
      </c>
      <c r="E1335" s="52">
        <v>24482000</v>
      </c>
      <c r="F1335" s="52" t="s">
        <v>931</v>
      </c>
      <c r="G1335" s="25">
        <f t="shared" si="18"/>
        <v>5.8748001043718023E-3</v>
      </c>
    </row>
    <row r="1336" spans="1:7">
      <c r="A1336" s="52">
        <v>77.425799999999995</v>
      </c>
      <c r="B1336" s="52">
        <v>78.974900000000005</v>
      </c>
      <c r="C1336" s="52">
        <v>77.261600000000001</v>
      </c>
      <c r="D1336" s="52">
        <v>78.874399999999994</v>
      </c>
      <c r="E1336" s="52">
        <v>27554360</v>
      </c>
      <c r="F1336" s="52" t="s">
        <v>930</v>
      </c>
      <c r="G1336" s="25">
        <f t="shared" si="18"/>
        <v>-1.8365908330206016E-2</v>
      </c>
    </row>
    <row r="1337" spans="1:7">
      <c r="A1337" s="52">
        <v>77.819900000000004</v>
      </c>
      <c r="B1337" s="52">
        <v>78.077200000000005</v>
      </c>
      <c r="C1337" s="52">
        <v>74.777299999999997</v>
      </c>
      <c r="D1337" s="52">
        <v>75.389600000000002</v>
      </c>
      <c r="E1337" s="52">
        <v>30165540</v>
      </c>
      <c r="F1337" s="52" t="s">
        <v>929</v>
      </c>
      <c r="G1337" s="25">
        <f t="shared" si="18"/>
        <v>3.2236541910290128E-2</v>
      </c>
    </row>
    <row r="1338" spans="1:7">
      <c r="A1338" s="52">
        <v>75.4816</v>
      </c>
      <c r="B1338" s="52">
        <v>75.809100000000001</v>
      </c>
      <c r="C1338" s="52">
        <v>74.548599999999993</v>
      </c>
      <c r="D1338" s="52">
        <v>75.4846</v>
      </c>
      <c r="E1338" s="52">
        <v>34264620</v>
      </c>
      <c r="F1338" s="52" t="s">
        <v>928</v>
      </c>
      <c r="G1338" s="25">
        <f t="shared" si="18"/>
        <v>-3.9743205898945533E-5</v>
      </c>
    </row>
    <row r="1339" spans="1:7">
      <c r="A1339" s="52">
        <v>75.385599999999997</v>
      </c>
      <c r="B1339" s="52">
        <v>75.434799999999996</v>
      </c>
      <c r="C1339" s="52">
        <v>74.059399999999997</v>
      </c>
      <c r="D1339" s="52">
        <v>74.717799999999997</v>
      </c>
      <c r="E1339" s="52">
        <v>26484540</v>
      </c>
      <c r="F1339" s="52" t="s">
        <v>927</v>
      </c>
      <c r="G1339" s="25">
        <f t="shared" ref="G1339:G1402" si="19">A1339/D1339-1</f>
        <v>8.9376293199210366E-3</v>
      </c>
    </row>
    <row r="1340" spans="1:7">
      <c r="A1340" s="52">
        <v>75.483099999999993</v>
      </c>
      <c r="B1340" s="52">
        <v>76.450999999999993</v>
      </c>
      <c r="C1340" s="52">
        <v>74.535200000000003</v>
      </c>
      <c r="D1340" s="52">
        <v>75.799099999999996</v>
      </c>
      <c r="E1340" s="52">
        <v>31026500</v>
      </c>
      <c r="F1340" s="52" t="s">
        <v>926</v>
      </c>
      <c r="G1340" s="25">
        <f t="shared" si="19"/>
        <v>-4.1689149343462351E-3</v>
      </c>
    </row>
    <row r="1341" spans="1:7">
      <c r="A1341" s="52">
        <v>75.681200000000004</v>
      </c>
      <c r="B1341" s="52">
        <v>75.777699999999996</v>
      </c>
      <c r="C1341" s="52">
        <v>73.942700000000002</v>
      </c>
      <c r="D1341" s="52">
        <v>74.284400000000005</v>
      </c>
      <c r="E1341" s="52">
        <v>38108000</v>
      </c>
      <c r="F1341" s="52" t="s">
        <v>925</v>
      </c>
      <c r="G1341" s="25">
        <f t="shared" si="19"/>
        <v>1.8803409598785237E-2</v>
      </c>
    </row>
    <row r="1342" spans="1:7">
      <c r="A1342" s="52">
        <v>75.2517</v>
      </c>
      <c r="B1342" s="52">
        <v>78.442999999999998</v>
      </c>
      <c r="C1342" s="52">
        <v>74.9696</v>
      </c>
      <c r="D1342" s="52">
        <v>77.128299999999996</v>
      </c>
      <c r="E1342" s="52">
        <v>42954560</v>
      </c>
      <c r="F1342" s="52" t="s">
        <v>924</v>
      </c>
      <c r="G1342" s="25">
        <f t="shared" si="19"/>
        <v>-2.4330887624905428E-2</v>
      </c>
    </row>
    <row r="1343" spans="1:7">
      <c r="A1343" s="52">
        <v>76.584400000000002</v>
      </c>
      <c r="B1343" s="52">
        <v>76.700299999999999</v>
      </c>
      <c r="C1343" s="52">
        <v>74.679000000000002</v>
      </c>
      <c r="D1343" s="52">
        <v>75.302499999999995</v>
      </c>
      <c r="E1343" s="52">
        <v>35921260</v>
      </c>
      <c r="F1343" s="52" t="s">
        <v>923</v>
      </c>
      <c r="G1343" s="25">
        <f t="shared" si="19"/>
        <v>1.7023339198565912E-2</v>
      </c>
    </row>
    <row r="1344" spans="1:7">
      <c r="A1344" s="52">
        <v>75.571700000000007</v>
      </c>
      <c r="B1344" s="52">
        <v>76.093299999999999</v>
      </c>
      <c r="C1344" s="52">
        <v>74.423699999999997</v>
      </c>
      <c r="D1344" s="52">
        <v>75.137299999999996</v>
      </c>
      <c r="E1344" s="52">
        <v>41836660</v>
      </c>
      <c r="F1344" s="52" t="s">
        <v>922</v>
      </c>
      <c r="G1344" s="25">
        <f t="shared" si="19"/>
        <v>5.7814161541605014E-3</v>
      </c>
    </row>
    <row r="1345" spans="1:7">
      <c r="A1345" s="52">
        <v>74.822299999999998</v>
      </c>
      <c r="B1345" s="52">
        <v>75.198999999999998</v>
      </c>
      <c r="C1345" s="52">
        <v>74.260000000000005</v>
      </c>
      <c r="D1345" s="52">
        <v>74.682900000000004</v>
      </c>
      <c r="E1345" s="52">
        <v>31765840</v>
      </c>
      <c r="F1345" s="52" t="s">
        <v>921</v>
      </c>
      <c r="G1345" s="25">
        <f t="shared" si="19"/>
        <v>1.8665584759027798E-3</v>
      </c>
    </row>
    <row r="1346" spans="1:7">
      <c r="A1346" s="52">
        <v>74.141499999999994</v>
      </c>
      <c r="B1346" s="52">
        <v>75.704099999999997</v>
      </c>
      <c r="C1346" s="52">
        <v>74.130600000000001</v>
      </c>
      <c r="D1346" s="52">
        <v>74.450599999999994</v>
      </c>
      <c r="E1346" s="52">
        <v>42363880</v>
      </c>
      <c r="F1346" s="52" t="s">
        <v>920</v>
      </c>
      <c r="G1346" s="25">
        <f t="shared" si="19"/>
        <v>-4.1517462585929366E-3</v>
      </c>
    </row>
    <row r="1347" spans="1:7">
      <c r="A1347" s="52">
        <v>74.625699999999995</v>
      </c>
      <c r="B1347" s="52">
        <v>75.140799999999999</v>
      </c>
      <c r="C1347" s="52">
        <v>73.497399999999999</v>
      </c>
      <c r="D1347" s="52">
        <v>74.0535</v>
      </c>
      <c r="E1347" s="52">
        <v>44712600</v>
      </c>
      <c r="F1347" s="52" t="s">
        <v>919</v>
      </c>
      <c r="G1347" s="25">
        <f t="shared" si="19"/>
        <v>7.7268461315129766E-3</v>
      </c>
    </row>
    <row r="1348" spans="1:7">
      <c r="A1348" s="52">
        <v>73.146799999999999</v>
      </c>
      <c r="B1348" s="52">
        <v>74.071899999999999</v>
      </c>
      <c r="C1348" s="52">
        <v>72.207999999999998</v>
      </c>
      <c r="D1348" s="52">
        <v>72.246600000000001</v>
      </c>
      <c r="E1348" s="52">
        <v>57218300</v>
      </c>
      <c r="F1348" s="52" t="s">
        <v>918</v>
      </c>
      <c r="G1348" s="25">
        <f t="shared" si="19"/>
        <v>1.2460101928672085E-2</v>
      </c>
    </row>
    <row r="1349" spans="1:7">
      <c r="A1349" s="52">
        <v>71.756900000000002</v>
      </c>
      <c r="B1349" s="52">
        <v>72.079400000000007</v>
      </c>
      <c r="C1349" s="52">
        <v>70.372600000000006</v>
      </c>
      <c r="D1349" s="52">
        <v>70.620900000000006</v>
      </c>
      <c r="E1349" s="52">
        <v>42182480</v>
      </c>
      <c r="F1349" s="52" t="s">
        <v>917</v>
      </c>
      <c r="G1349" s="25">
        <f t="shared" si="19"/>
        <v>1.6085889587926561E-2</v>
      </c>
    </row>
    <row r="1350" spans="1:7">
      <c r="A1350" s="52">
        <v>70.565100000000001</v>
      </c>
      <c r="B1350" s="52">
        <v>70.861199999999997</v>
      </c>
      <c r="C1350" s="52">
        <v>69.016499999999994</v>
      </c>
      <c r="D1350" s="52">
        <v>69.511700000000005</v>
      </c>
      <c r="E1350" s="52">
        <v>40286400</v>
      </c>
      <c r="F1350" s="52" t="s">
        <v>916</v>
      </c>
      <c r="G1350" s="25">
        <f t="shared" si="19"/>
        <v>1.5154283379632538E-2</v>
      </c>
    </row>
    <row r="1351" spans="1:7">
      <c r="A1351" s="52">
        <v>69.5261</v>
      </c>
      <c r="B1351" s="52">
        <v>69.567400000000006</v>
      </c>
      <c r="C1351" s="52">
        <v>67.260900000000007</v>
      </c>
      <c r="D1351" s="52">
        <v>67.693399999999997</v>
      </c>
      <c r="E1351" s="52">
        <v>45073560</v>
      </c>
      <c r="F1351" s="52" t="s">
        <v>915</v>
      </c>
      <c r="G1351" s="25">
        <f t="shared" si="19"/>
        <v>2.7073540404234375E-2</v>
      </c>
    </row>
    <row r="1352" spans="1:7">
      <c r="A1352" s="52">
        <v>67.802800000000005</v>
      </c>
      <c r="B1352" s="52">
        <v>71.509100000000004</v>
      </c>
      <c r="C1352" s="52">
        <v>67.427599999999998</v>
      </c>
      <c r="D1352" s="52">
        <v>71.290700000000001</v>
      </c>
      <c r="E1352" s="52">
        <v>97640280</v>
      </c>
      <c r="F1352" s="52" t="s">
        <v>914</v>
      </c>
      <c r="G1352" s="25">
        <f t="shared" si="19"/>
        <v>-4.8925035102755254E-2</v>
      </c>
    </row>
    <row r="1353" spans="1:7">
      <c r="A1353" s="52">
        <v>71.712100000000007</v>
      </c>
      <c r="B1353" s="52">
        <v>71.772900000000007</v>
      </c>
      <c r="C1353" s="52">
        <v>70.639300000000006</v>
      </c>
      <c r="D1353" s="52">
        <v>71.220500000000001</v>
      </c>
      <c r="E1353" s="52">
        <v>23958140</v>
      </c>
      <c r="F1353" s="52" t="s">
        <v>913</v>
      </c>
      <c r="G1353" s="25">
        <f t="shared" si="19"/>
        <v>6.9025070028996272E-3</v>
      </c>
    </row>
    <row r="1354" spans="1:7">
      <c r="A1354" s="52">
        <v>71.2941</v>
      </c>
      <c r="B1354" s="52">
        <v>73.438400000000001</v>
      </c>
      <c r="C1354" s="52">
        <v>71.159800000000004</v>
      </c>
      <c r="D1354" s="52">
        <v>72.815899999999999</v>
      </c>
      <c r="E1354" s="52">
        <v>31591580</v>
      </c>
      <c r="F1354" s="52" t="s">
        <v>912</v>
      </c>
      <c r="G1354" s="25">
        <f t="shared" si="19"/>
        <v>-2.0899281612944409E-2</v>
      </c>
    </row>
    <row r="1355" spans="1:7">
      <c r="A1355" s="52">
        <v>72.850700000000003</v>
      </c>
      <c r="B1355" s="52">
        <v>73.409000000000006</v>
      </c>
      <c r="C1355" s="52">
        <v>71.906199999999998</v>
      </c>
      <c r="D1355" s="52">
        <v>72.254599999999996</v>
      </c>
      <c r="E1355" s="52">
        <v>37751660</v>
      </c>
      <c r="F1355" s="52" t="s">
        <v>911</v>
      </c>
      <c r="G1355" s="25">
        <f t="shared" si="19"/>
        <v>8.2499937720228456E-3</v>
      </c>
    </row>
    <row r="1356" spans="1:7">
      <c r="A1356" s="52">
        <v>72.187899999999999</v>
      </c>
      <c r="B1356" s="52">
        <v>72.202299999999994</v>
      </c>
      <c r="C1356" s="52">
        <v>70.621899999999997</v>
      </c>
      <c r="D1356" s="52">
        <v>70.911500000000004</v>
      </c>
      <c r="E1356" s="52">
        <v>29441440</v>
      </c>
      <c r="F1356" s="52" t="s">
        <v>910</v>
      </c>
      <c r="G1356" s="25">
        <f t="shared" si="19"/>
        <v>1.7999901285405073E-2</v>
      </c>
    </row>
    <row r="1357" spans="1:7">
      <c r="A1357" s="52">
        <v>70.893100000000004</v>
      </c>
      <c r="B1357" s="52">
        <v>71.881299999999996</v>
      </c>
      <c r="C1357" s="52">
        <v>70.612399999999994</v>
      </c>
      <c r="D1357" s="52">
        <v>71.657399999999996</v>
      </c>
      <c r="E1357" s="52">
        <v>52783340</v>
      </c>
      <c r="F1357" s="52" t="s">
        <v>909</v>
      </c>
      <c r="G1357" s="25">
        <f t="shared" si="19"/>
        <v>-1.0666030305313767E-2</v>
      </c>
    </row>
    <row r="1358" spans="1:7">
      <c r="A1358" s="52">
        <v>71.364800000000002</v>
      </c>
      <c r="B1358" s="52">
        <v>72.302800000000005</v>
      </c>
      <c r="C1358" s="52">
        <v>70.972399999999993</v>
      </c>
      <c r="D1358" s="52">
        <v>72.147599999999997</v>
      </c>
      <c r="E1358" s="52">
        <v>34861420</v>
      </c>
      <c r="F1358" s="52" t="s">
        <v>908</v>
      </c>
      <c r="G1358" s="25">
        <f t="shared" si="19"/>
        <v>-1.0849979763706497E-2</v>
      </c>
    </row>
    <row r="1359" spans="1:7">
      <c r="A1359" s="52">
        <v>72.281400000000005</v>
      </c>
      <c r="B1359" s="52">
        <v>72.762100000000004</v>
      </c>
      <c r="C1359" s="52">
        <v>71.4148</v>
      </c>
      <c r="D1359" s="52">
        <v>72.301299999999998</v>
      </c>
      <c r="E1359" s="52">
        <v>30610000</v>
      </c>
      <c r="F1359" s="52" t="s">
        <v>907</v>
      </c>
      <c r="G1359" s="25">
        <f t="shared" si="19"/>
        <v>-2.7523709808807695E-4</v>
      </c>
    </row>
    <row r="1360" spans="1:7">
      <c r="A1360" s="52">
        <v>71.979399999999998</v>
      </c>
      <c r="B1360" s="52">
        <v>72.511799999999994</v>
      </c>
      <c r="C1360" s="52">
        <v>71.109499999999997</v>
      </c>
      <c r="D1360" s="52">
        <v>72.1053</v>
      </c>
      <c r="E1360" s="52">
        <v>30696520</v>
      </c>
      <c r="F1360" s="52" t="s">
        <v>906</v>
      </c>
      <c r="G1360" s="25">
        <f t="shared" si="19"/>
        <v>-1.7460575020143976E-3</v>
      </c>
    </row>
    <row r="1361" spans="1:7">
      <c r="A1361" s="52">
        <v>70.698999999999998</v>
      </c>
      <c r="B1361" s="52">
        <v>70.911000000000001</v>
      </c>
      <c r="C1361" s="52">
        <v>69.029700000000005</v>
      </c>
      <c r="D1361" s="52">
        <v>69.143900000000002</v>
      </c>
      <c r="E1361" s="52">
        <v>30553040</v>
      </c>
      <c r="F1361" s="52" t="s">
        <v>905</v>
      </c>
      <c r="G1361" s="25">
        <f t="shared" si="19"/>
        <v>2.249077648209008E-2</v>
      </c>
    </row>
    <row r="1362" spans="1:7">
      <c r="A1362" s="52">
        <v>70.309899999999999</v>
      </c>
      <c r="B1362" s="52">
        <v>71.384</v>
      </c>
      <c r="C1362" s="52">
        <v>68.960300000000004</v>
      </c>
      <c r="D1362" s="52">
        <v>70.953800000000001</v>
      </c>
      <c r="E1362" s="52">
        <v>36675120</v>
      </c>
      <c r="F1362" s="52" t="s">
        <v>904</v>
      </c>
      <c r="G1362" s="25">
        <f t="shared" si="19"/>
        <v>-9.0749191727574896E-3</v>
      </c>
    </row>
    <row r="1363" spans="1:7">
      <c r="A1363" s="52">
        <v>69.761499999999998</v>
      </c>
      <c r="B1363" s="52">
        <v>72.234800000000007</v>
      </c>
      <c r="C1363" s="52">
        <v>69.587800000000001</v>
      </c>
      <c r="D1363" s="52">
        <v>71.708699999999993</v>
      </c>
      <c r="E1363" s="52">
        <v>47144860</v>
      </c>
      <c r="F1363" s="52" t="s">
        <v>903</v>
      </c>
      <c r="G1363" s="25">
        <f t="shared" si="19"/>
        <v>-2.7154306241780946E-2</v>
      </c>
    </row>
    <row r="1364" spans="1:7">
      <c r="A1364" s="52">
        <v>72.886499999999998</v>
      </c>
      <c r="B1364" s="52">
        <v>73.2881</v>
      </c>
      <c r="C1364" s="52">
        <v>72.371700000000004</v>
      </c>
      <c r="D1364" s="52">
        <v>72.727800000000002</v>
      </c>
      <c r="E1364" s="52">
        <v>31762320</v>
      </c>
      <c r="F1364" s="52" t="s">
        <v>902</v>
      </c>
      <c r="G1364" s="25">
        <f t="shared" si="19"/>
        <v>2.1821091797082914E-3</v>
      </c>
    </row>
    <row r="1365" spans="1:7">
      <c r="A1365" s="52">
        <v>72.258499999999998</v>
      </c>
      <c r="B1365" s="52">
        <v>73.040800000000004</v>
      </c>
      <c r="C1365" s="52">
        <v>71.774799999999999</v>
      </c>
      <c r="D1365" s="52">
        <v>71.918199999999999</v>
      </c>
      <c r="E1365" s="52">
        <v>33623100</v>
      </c>
      <c r="F1365" s="52" t="s">
        <v>901</v>
      </c>
      <c r="G1365" s="25">
        <f t="shared" si="19"/>
        <v>4.7317646993390028E-3</v>
      </c>
    </row>
    <row r="1366" spans="1:7">
      <c r="A1366" s="52">
        <v>72.057500000000005</v>
      </c>
      <c r="B1366" s="52">
        <v>72.1053</v>
      </c>
      <c r="C1366" s="52">
        <v>70.885099999999994</v>
      </c>
      <c r="D1366" s="52">
        <v>70.974699999999999</v>
      </c>
      <c r="E1366" s="52">
        <v>33877620</v>
      </c>
      <c r="F1366" s="52" t="s">
        <v>900</v>
      </c>
      <c r="G1366" s="25">
        <f t="shared" si="19"/>
        <v>1.5256140568399745E-2</v>
      </c>
    </row>
    <row r="1367" spans="1:7">
      <c r="A1367" s="52">
        <v>71.6584</v>
      </c>
      <c r="B1367" s="52">
        <v>71.9709</v>
      </c>
      <c r="C1367" s="52">
        <v>70.046199999999999</v>
      </c>
      <c r="D1367" s="52">
        <v>70.4452</v>
      </c>
      <c r="E1367" s="52">
        <v>42647000</v>
      </c>
      <c r="F1367" s="52" t="s">
        <v>899</v>
      </c>
      <c r="G1367" s="25">
        <f t="shared" si="19"/>
        <v>1.7221897304571465E-2</v>
      </c>
    </row>
    <row r="1368" spans="1:7">
      <c r="A1368" s="52">
        <v>70.378500000000003</v>
      </c>
      <c r="B1368" s="52">
        <v>71.723100000000002</v>
      </c>
      <c r="C1368" s="52">
        <v>69.965999999999994</v>
      </c>
      <c r="D1368" s="52">
        <v>71.497200000000007</v>
      </c>
      <c r="E1368" s="52">
        <v>26982100</v>
      </c>
      <c r="F1368" s="52" t="s">
        <v>898</v>
      </c>
      <c r="G1368" s="25">
        <f t="shared" si="19"/>
        <v>-1.5646766586663641E-2</v>
      </c>
    </row>
    <row r="1369" spans="1:7">
      <c r="A1369" s="52">
        <v>71.620099999999994</v>
      </c>
      <c r="B1369" s="52">
        <v>72.105800000000002</v>
      </c>
      <c r="C1369" s="52">
        <v>71.240399999999994</v>
      </c>
      <c r="D1369" s="52">
        <v>71.791799999999995</v>
      </c>
      <c r="E1369" s="52">
        <v>27732800</v>
      </c>
      <c r="F1369" s="52" t="s">
        <v>897</v>
      </c>
      <c r="G1369" s="25">
        <f t="shared" si="19"/>
        <v>-2.3916380422276395E-3</v>
      </c>
    </row>
    <row r="1370" spans="1:7">
      <c r="A1370" s="52">
        <v>71.772400000000005</v>
      </c>
      <c r="B1370" s="52">
        <v>71.806700000000006</v>
      </c>
      <c r="C1370" s="52">
        <v>70.7423</v>
      </c>
      <c r="D1370" s="52">
        <v>71.408600000000007</v>
      </c>
      <c r="E1370" s="52">
        <v>23441380</v>
      </c>
      <c r="F1370" s="52" t="s">
        <v>896</v>
      </c>
      <c r="G1370" s="25">
        <f t="shared" si="19"/>
        <v>5.0946244569980426E-3</v>
      </c>
    </row>
    <row r="1371" spans="1:7">
      <c r="A1371" s="52">
        <v>71.402100000000004</v>
      </c>
      <c r="B1371" s="52">
        <v>71.736000000000004</v>
      </c>
      <c r="C1371" s="52">
        <v>70.775599999999997</v>
      </c>
      <c r="D1371" s="52">
        <v>70.945800000000006</v>
      </c>
      <c r="E1371" s="52">
        <v>25185080</v>
      </c>
      <c r="F1371" s="52" t="s">
        <v>895</v>
      </c>
      <c r="G1371" s="25">
        <f t="shared" si="19"/>
        <v>6.4316703737219427E-3</v>
      </c>
    </row>
    <row r="1372" spans="1:7">
      <c r="A1372" s="52">
        <v>71.334999999999994</v>
      </c>
      <c r="B1372" s="52">
        <v>71.494699999999995</v>
      </c>
      <c r="C1372" s="52">
        <v>70.462100000000007</v>
      </c>
      <c r="D1372" s="52">
        <v>70.683599999999998</v>
      </c>
      <c r="E1372" s="52">
        <v>37050440</v>
      </c>
      <c r="F1372" s="52" t="s">
        <v>894</v>
      </c>
      <c r="G1372" s="25">
        <f t="shared" si="19"/>
        <v>9.2157162340344989E-3</v>
      </c>
    </row>
    <row r="1373" spans="1:7">
      <c r="A1373" s="52">
        <v>70.574600000000004</v>
      </c>
      <c r="B1373" s="52">
        <v>71.879300000000001</v>
      </c>
      <c r="C1373" s="52">
        <v>69.620900000000006</v>
      </c>
      <c r="D1373" s="52">
        <v>69.666899999999998</v>
      </c>
      <c r="E1373" s="52">
        <v>35195740</v>
      </c>
      <c r="F1373" s="52" t="s">
        <v>893</v>
      </c>
      <c r="G1373" s="25">
        <f t="shared" si="19"/>
        <v>1.302914296459301E-2</v>
      </c>
    </row>
    <row r="1374" spans="1:7">
      <c r="A1374" s="52">
        <v>70.676100000000005</v>
      </c>
      <c r="B1374" s="52">
        <v>70.928100000000001</v>
      </c>
      <c r="C1374" s="52">
        <v>69.398200000000003</v>
      </c>
      <c r="D1374" s="52">
        <v>70.662199999999999</v>
      </c>
      <c r="E1374" s="52">
        <v>31683700</v>
      </c>
      <c r="F1374" s="52" t="s">
        <v>892</v>
      </c>
      <c r="G1374" s="25">
        <f t="shared" si="19"/>
        <v>1.9671054679881728E-4</v>
      </c>
    </row>
    <row r="1375" spans="1:7">
      <c r="A1375" s="52">
        <v>70.7303</v>
      </c>
      <c r="B1375" s="52">
        <v>71.911699999999996</v>
      </c>
      <c r="C1375" s="52">
        <v>70.632099999999994</v>
      </c>
      <c r="D1375" s="52">
        <v>71.754900000000006</v>
      </c>
      <c r="E1375" s="52">
        <v>44589760</v>
      </c>
      <c r="F1375" s="52" t="s">
        <v>891</v>
      </c>
      <c r="G1375" s="25">
        <f t="shared" si="19"/>
        <v>-1.4279164210388551E-2</v>
      </c>
    </row>
    <row r="1376" spans="1:7">
      <c r="A1376" s="52">
        <v>70.325800000000001</v>
      </c>
      <c r="B1376" s="52">
        <v>70.512900000000002</v>
      </c>
      <c r="C1376" s="52">
        <v>69.465400000000002</v>
      </c>
      <c r="D1376" s="52">
        <v>69.861000000000004</v>
      </c>
      <c r="E1376" s="52">
        <v>28544120</v>
      </c>
      <c r="F1376" s="52" t="s">
        <v>890</v>
      </c>
      <c r="G1376" s="25">
        <f t="shared" si="19"/>
        <v>6.6532113768769108E-3</v>
      </c>
    </row>
    <row r="1377" spans="1:7">
      <c r="A1377" s="52">
        <v>70.002799999999993</v>
      </c>
      <c r="B1377" s="52">
        <v>70.486000000000004</v>
      </c>
      <c r="C1377" s="52">
        <v>69.387799999999999</v>
      </c>
      <c r="D1377" s="52">
        <v>70.213800000000006</v>
      </c>
      <c r="E1377" s="52">
        <v>30899520</v>
      </c>
      <c r="F1377" s="52" t="s">
        <v>889</v>
      </c>
      <c r="G1377" s="25">
        <f t="shared" si="19"/>
        <v>-3.0051072581175342E-3</v>
      </c>
    </row>
    <row r="1378" spans="1:7">
      <c r="A1378" s="52">
        <v>70.122699999999995</v>
      </c>
      <c r="B1378" s="52">
        <v>70.2654</v>
      </c>
      <c r="C1378" s="52">
        <v>69.040899999999993</v>
      </c>
      <c r="D1378" s="52">
        <v>69.127499999999998</v>
      </c>
      <c r="E1378" s="52">
        <v>38262660</v>
      </c>
      <c r="F1378" s="52" t="s">
        <v>888</v>
      </c>
      <c r="G1378" s="25">
        <f t="shared" si="19"/>
        <v>1.4396586018588842E-2</v>
      </c>
    </row>
    <row r="1379" spans="1:7">
      <c r="A1379" s="52">
        <v>68.393000000000001</v>
      </c>
      <c r="B1379" s="52">
        <v>69.293199999999999</v>
      </c>
      <c r="C1379" s="52">
        <v>68.361199999999997</v>
      </c>
      <c r="D1379" s="52">
        <v>68.944400000000002</v>
      </c>
      <c r="E1379" s="52">
        <v>31585000</v>
      </c>
      <c r="F1379" s="52" t="s">
        <v>887</v>
      </c>
      <c r="G1379" s="25">
        <f t="shared" si="19"/>
        <v>-7.9977489107164734E-3</v>
      </c>
    </row>
    <row r="1380" spans="1:7">
      <c r="A1380" s="52">
        <v>68.929500000000004</v>
      </c>
      <c r="B1380" s="52">
        <v>69.306600000000003</v>
      </c>
      <c r="C1380" s="52">
        <v>67.387799999999999</v>
      </c>
      <c r="D1380" s="52">
        <v>67.755099999999999</v>
      </c>
      <c r="E1380" s="52">
        <v>47128980</v>
      </c>
      <c r="F1380" s="52" t="s">
        <v>886</v>
      </c>
      <c r="G1380" s="25">
        <f t="shared" si="19"/>
        <v>1.7333012570271533E-2</v>
      </c>
    </row>
    <row r="1381" spans="1:7">
      <c r="A1381" s="52">
        <v>68.326300000000003</v>
      </c>
      <c r="B1381" s="52">
        <v>68.402000000000001</v>
      </c>
      <c r="C1381" s="52">
        <v>66.631399999999999</v>
      </c>
      <c r="D1381" s="52">
        <v>67.092200000000005</v>
      </c>
      <c r="E1381" s="52">
        <v>41543980</v>
      </c>
      <c r="F1381" s="52" t="s">
        <v>885</v>
      </c>
      <c r="G1381" s="25">
        <f t="shared" si="19"/>
        <v>1.8394090520209572E-2</v>
      </c>
    </row>
    <row r="1382" spans="1:7">
      <c r="A1382" s="52">
        <v>67.520200000000003</v>
      </c>
      <c r="B1382" s="52">
        <v>67.545599999999993</v>
      </c>
      <c r="C1382" s="52">
        <v>65.850200000000001</v>
      </c>
      <c r="D1382" s="52">
        <v>66.358699999999999</v>
      </c>
      <c r="E1382" s="52">
        <v>36660340</v>
      </c>
      <c r="F1382" s="52" t="s">
        <v>884</v>
      </c>
      <c r="G1382" s="25">
        <f t="shared" si="19"/>
        <v>1.7503356756536803E-2</v>
      </c>
    </row>
    <row r="1383" spans="1:7">
      <c r="A1383" s="52">
        <v>67.095699999999994</v>
      </c>
      <c r="B1383" s="52">
        <v>68.936899999999994</v>
      </c>
      <c r="C1383" s="52">
        <v>66.084599999999995</v>
      </c>
      <c r="D1383" s="52">
        <v>68.480599999999995</v>
      </c>
      <c r="E1383" s="52">
        <v>40368080</v>
      </c>
      <c r="F1383" s="52" t="s">
        <v>883</v>
      </c>
      <c r="G1383" s="25">
        <f t="shared" si="19"/>
        <v>-2.0223245707543525E-2</v>
      </c>
    </row>
    <row r="1384" spans="1:7">
      <c r="A1384" s="52">
        <v>68.431799999999996</v>
      </c>
      <c r="B1384" s="52">
        <v>70.38</v>
      </c>
      <c r="C1384" s="52">
        <v>68.398499999999999</v>
      </c>
      <c r="D1384" s="52">
        <v>70.075999999999993</v>
      </c>
      <c r="E1384" s="52">
        <v>33917480</v>
      </c>
      <c r="F1384" s="52" t="s">
        <v>882</v>
      </c>
      <c r="G1384" s="25">
        <f t="shared" si="19"/>
        <v>-2.3463097208744732E-2</v>
      </c>
    </row>
    <row r="1385" spans="1:7">
      <c r="A1385" s="52">
        <v>69.845600000000005</v>
      </c>
      <c r="B1385" s="52">
        <v>70.439700000000002</v>
      </c>
      <c r="C1385" s="52">
        <v>68.447800000000001</v>
      </c>
      <c r="D1385" s="52">
        <v>68.511899999999997</v>
      </c>
      <c r="E1385" s="52">
        <v>32717120</v>
      </c>
      <c r="F1385" s="52" t="s">
        <v>881</v>
      </c>
      <c r="G1385" s="25">
        <f t="shared" si="19"/>
        <v>1.946669118795441E-2</v>
      </c>
    </row>
    <row r="1386" spans="1:7">
      <c r="A1386" s="52">
        <v>68.887699999999995</v>
      </c>
      <c r="B1386" s="52">
        <v>69.499700000000004</v>
      </c>
      <c r="C1386" s="52">
        <v>68.274100000000004</v>
      </c>
      <c r="D1386" s="52">
        <v>68.762299999999996</v>
      </c>
      <c r="E1386" s="52">
        <v>33329740</v>
      </c>
      <c r="F1386" s="52" t="s">
        <v>880</v>
      </c>
      <c r="G1386" s="25">
        <f t="shared" si="19"/>
        <v>1.8236737281911441E-3</v>
      </c>
    </row>
    <row r="1387" spans="1:7">
      <c r="A1387" s="52">
        <v>68.138199999999998</v>
      </c>
      <c r="B1387" s="52">
        <v>68.4726</v>
      </c>
      <c r="C1387" s="52">
        <v>67.305199999999999</v>
      </c>
      <c r="D1387" s="52">
        <v>67.741600000000005</v>
      </c>
      <c r="E1387" s="52">
        <v>30716380</v>
      </c>
      <c r="F1387" s="52" t="s">
        <v>879</v>
      </c>
      <c r="G1387" s="25">
        <f t="shared" si="19"/>
        <v>5.8546004227828519E-3</v>
      </c>
    </row>
    <row r="1388" spans="1:7">
      <c r="A1388" s="52">
        <v>66.951400000000007</v>
      </c>
      <c r="B1388" s="52">
        <v>68.108900000000006</v>
      </c>
      <c r="C1388" s="52">
        <v>66.936499999999995</v>
      </c>
      <c r="D1388" s="52">
        <v>67.576899999999995</v>
      </c>
      <c r="E1388" s="52">
        <v>31732580</v>
      </c>
      <c r="F1388" s="52" t="s">
        <v>878</v>
      </c>
      <c r="G1388" s="25">
        <f t="shared" si="19"/>
        <v>-9.2561215444920686E-3</v>
      </c>
    </row>
    <row r="1389" spans="1:7">
      <c r="A1389" s="52">
        <v>67.130099999999999</v>
      </c>
      <c r="B1389" s="52">
        <v>68.224299999999999</v>
      </c>
      <c r="C1389" s="52">
        <v>66.433899999999994</v>
      </c>
      <c r="D1389" s="52">
        <v>66.556799999999996</v>
      </c>
      <c r="E1389" s="52">
        <v>39666360</v>
      </c>
      <c r="F1389" s="52" t="s">
        <v>877</v>
      </c>
      <c r="G1389" s="25">
        <f t="shared" si="19"/>
        <v>8.6136953699698093E-3</v>
      </c>
    </row>
    <row r="1390" spans="1:7">
      <c r="A1390" s="52">
        <v>65.830299999999994</v>
      </c>
      <c r="B1390" s="52">
        <v>65.9084</v>
      </c>
      <c r="C1390" s="52">
        <v>64.492199999999997</v>
      </c>
      <c r="D1390" s="52">
        <v>65.095299999999995</v>
      </c>
      <c r="E1390" s="52">
        <v>30806940</v>
      </c>
      <c r="F1390" s="52" t="s">
        <v>876</v>
      </c>
      <c r="G1390" s="25">
        <f t="shared" si="19"/>
        <v>1.1291137762634129E-2</v>
      </c>
    </row>
    <row r="1391" spans="1:7">
      <c r="A1391" s="52">
        <v>65.552599999999998</v>
      </c>
      <c r="B1391" s="52">
        <v>67.25</v>
      </c>
      <c r="C1391" s="52">
        <v>65.171400000000006</v>
      </c>
      <c r="D1391" s="52">
        <v>65.889499999999998</v>
      </c>
      <c r="E1391" s="52">
        <v>48871080</v>
      </c>
      <c r="F1391" s="52" t="s">
        <v>875</v>
      </c>
      <c r="G1391" s="25">
        <f t="shared" si="19"/>
        <v>-5.1131060335865008E-3</v>
      </c>
    </row>
    <row r="1392" spans="1:7">
      <c r="A1392" s="52">
        <v>67.014600000000002</v>
      </c>
      <c r="B1392" s="52">
        <v>67.178799999999995</v>
      </c>
      <c r="C1392" s="52">
        <v>65.760599999999997</v>
      </c>
      <c r="D1392" s="52">
        <v>66.251300000000001</v>
      </c>
      <c r="E1392" s="52">
        <v>55842480</v>
      </c>
      <c r="F1392" s="52" t="s">
        <v>874</v>
      </c>
      <c r="G1392" s="25">
        <f t="shared" si="19"/>
        <v>1.1521283355949263E-2</v>
      </c>
    </row>
    <row r="1393" spans="1:7">
      <c r="A1393" s="52">
        <v>66.789699999999996</v>
      </c>
      <c r="B1393" s="52">
        <v>67.683899999999994</v>
      </c>
      <c r="C1393" s="52">
        <v>66.020899999999997</v>
      </c>
      <c r="D1393" s="52">
        <v>66.930000000000007</v>
      </c>
      <c r="E1393" s="52">
        <v>108357760</v>
      </c>
      <c r="F1393" s="52" t="s">
        <v>873</v>
      </c>
      <c r="G1393" s="25">
        <f t="shared" si="19"/>
        <v>-2.0962199312716256E-3</v>
      </c>
    </row>
    <row r="1394" spans="1:7">
      <c r="A1394" s="52">
        <v>61.336300000000001</v>
      </c>
      <c r="B1394" s="52">
        <v>63.932299999999998</v>
      </c>
      <c r="C1394" s="52">
        <v>61.226300000000002</v>
      </c>
      <c r="D1394" s="52">
        <v>63.854700000000001</v>
      </c>
      <c r="E1394" s="52">
        <v>80700140</v>
      </c>
      <c r="F1394" s="52" t="s">
        <v>872</v>
      </c>
      <c r="G1394" s="25">
        <f t="shared" si="19"/>
        <v>-3.943954008083983E-2</v>
      </c>
    </row>
    <row r="1395" spans="1:7">
      <c r="A1395" s="52">
        <v>63.240600000000001</v>
      </c>
      <c r="B1395" s="52">
        <v>64.397099999999995</v>
      </c>
      <c r="C1395" s="52">
        <v>62.951999999999998</v>
      </c>
      <c r="D1395" s="52">
        <v>64.292599999999993</v>
      </c>
      <c r="E1395" s="52">
        <v>44186660</v>
      </c>
      <c r="F1395" s="52" t="s">
        <v>871</v>
      </c>
      <c r="G1395" s="25">
        <f t="shared" si="19"/>
        <v>-1.6362691818342934E-2</v>
      </c>
    </row>
    <row r="1396" spans="1:7">
      <c r="A1396" s="52">
        <v>63.526299999999999</v>
      </c>
      <c r="B1396" s="52">
        <v>63.581499999999998</v>
      </c>
      <c r="C1396" s="52">
        <v>61.904000000000003</v>
      </c>
      <c r="D1396" s="52">
        <v>62.4514</v>
      </c>
      <c r="E1396" s="52">
        <v>37440080</v>
      </c>
      <c r="F1396" s="52" t="s">
        <v>870</v>
      </c>
      <c r="G1396" s="25">
        <f t="shared" si="19"/>
        <v>1.7211783883147591E-2</v>
      </c>
    </row>
    <row r="1397" spans="1:7">
      <c r="A1397" s="52">
        <v>63.256100000000004</v>
      </c>
      <c r="B1397" s="52">
        <v>64.100999999999999</v>
      </c>
      <c r="C1397" s="52">
        <v>62.726599999999998</v>
      </c>
      <c r="D1397" s="52">
        <v>62.985900000000001</v>
      </c>
      <c r="E1397" s="52">
        <v>34202440</v>
      </c>
      <c r="F1397" s="52" t="s">
        <v>869</v>
      </c>
      <c r="G1397" s="25">
        <f t="shared" si="19"/>
        <v>4.289848997950374E-3</v>
      </c>
    </row>
    <row r="1398" spans="1:7">
      <c r="A1398" s="52">
        <v>62.621099999999998</v>
      </c>
      <c r="B1398" s="52">
        <v>63.689500000000002</v>
      </c>
      <c r="C1398" s="52">
        <v>61.5657</v>
      </c>
      <c r="D1398" s="52">
        <v>61.760199999999998</v>
      </c>
      <c r="E1398" s="52">
        <v>46315840</v>
      </c>
      <c r="F1398" s="52" t="s">
        <v>868</v>
      </c>
      <c r="G1398" s="25">
        <f t="shared" si="19"/>
        <v>1.3939397864644265E-2</v>
      </c>
    </row>
    <row r="1399" spans="1:7">
      <c r="A1399" s="52">
        <v>60.319600000000001</v>
      </c>
      <c r="B1399" s="52">
        <v>62.202599999999997</v>
      </c>
      <c r="C1399" s="52">
        <v>59.963299999999997</v>
      </c>
      <c r="D1399" s="52">
        <v>61.839799999999997</v>
      </c>
      <c r="E1399" s="52">
        <v>49648080</v>
      </c>
      <c r="F1399" s="52" t="s">
        <v>867</v>
      </c>
      <c r="G1399" s="25">
        <f t="shared" si="19"/>
        <v>-2.4582873812657779E-2</v>
      </c>
    </row>
    <row r="1400" spans="1:7">
      <c r="A1400" s="52">
        <v>62.7575</v>
      </c>
      <c r="B1400" s="52">
        <v>63.537199999999999</v>
      </c>
      <c r="C1400" s="52">
        <v>62.523099999999999</v>
      </c>
      <c r="D1400" s="52">
        <v>63.192399999999999</v>
      </c>
      <c r="E1400" s="52">
        <v>35292160</v>
      </c>
      <c r="F1400" s="52" t="s">
        <v>866</v>
      </c>
      <c r="G1400" s="25">
        <f t="shared" si="19"/>
        <v>-6.8821567150479934E-3</v>
      </c>
    </row>
    <row r="1401" spans="1:7">
      <c r="A1401" s="52">
        <v>63.645699999999998</v>
      </c>
      <c r="B1401" s="52">
        <v>64.193100000000001</v>
      </c>
      <c r="C1401" s="52">
        <v>62.998800000000003</v>
      </c>
      <c r="D1401" s="52">
        <v>63.780099999999997</v>
      </c>
      <c r="E1401" s="52">
        <v>51056480</v>
      </c>
      <c r="F1401" s="52" t="s">
        <v>865</v>
      </c>
      <c r="G1401" s="25">
        <f t="shared" si="19"/>
        <v>-2.1072403461267486E-3</v>
      </c>
    </row>
    <row r="1402" spans="1:7">
      <c r="A1402" s="52">
        <v>62.572299999999998</v>
      </c>
      <c r="B1402" s="52">
        <v>63.365000000000002</v>
      </c>
      <c r="C1402" s="52">
        <v>61.615400000000001</v>
      </c>
      <c r="D1402" s="52">
        <v>63.055500000000002</v>
      </c>
      <c r="E1402" s="52">
        <v>57895140</v>
      </c>
      <c r="F1402" s="52" t="s">
        <v>864</v>
      </c>
      <c r="G1402" s="25">
        <f t="shared" si="19"/>
        <v>-7.663090452062149E-3</v>
      </c>
    </row>
    <row r="1403" spans="1:7">
      <c r="A1403" s="52">
        <v>62.565899999999999</v>
      </c>
      <c r="B1403" s="52">
        <v>63.452100000000002</v>
      </c>
      <c r="C1403" s="52">
        <v>61.406399999999998</v>
      </c>
      <c r="D1403" s="52">
        <v>62.0289</v>
      </c>
      <c r="E1403" s="52">
        <v>42236840</v>
      </c>
      <c r="F1403" s="52" t="s">
        <v>863</v>
      </c>
      <c r="G1403" s="25">
        <f t="shared" ref="G1403:G1466" si="20">A1403/D1403-1</f>
        <v>8.657254924720581E-3</v>
      </c>
    </row>
    <row r="1404" spans="1:7">
      <c r="A1404" s="52">
        <v>62.960500000000003</v>
      </c>
      <c r="B1404" s="52">
        <v>63.484000000000002</v>
      </c>
      <c r="C1404" s="52">
        <v>61.134799999999998</v>
      </c>
      <c r="D1404" s="52">
        <v>61.703699999999998</v>
      </c>
      <c r="E1404" s="52">
        <v>63357240</v>
      </c>
      <c r="F1404" s="52" t="s">
        <v>862</v>
      </c>
      <c r="G1404" s="25">
        <f t="shared" si="20"/>
        <v>2.0368308545516856E-2</v>
      </c>
    </row>
    <row r="1405" spans="1:7">
      <c r="A1405" s="52">
        <v>60.232500000000002</v>
      </c>
      <c r="B1405" s="52">
        <v>60.436999999999998</v>
      </c>
      <c r="C1405" s="52">
        <v>58.835299999999997</v>
      </c>
      <c r="D1405" s="52">
        <v>59.789200000000001</v>
      </c>
      <c r="E1405" s="52">
        <v>38702560</v>
      </c>
      <c r="F1405" s="52" t="s">
        <v>861</v>
      </c>
      <c r="G1405" s="25">
        <f t="shared" si="20"/>
        <v>7.4143825306243194E-3</v>
      </c>
    </row>
    <row r="1406" spans="1:7">
      <c r="A1406" s="52">
        <v>60.041400000000003</v>
      </c>
      <c r="B1406" s="52">
        <v>60.808799999999998</v>
      </c>
      <c r="C1406" s="52">
        <v>59.3371</v>
      </c>
      <c r="D1406" s="52">
        <v>60.619199999999999</v>
      </c>
      <c r="E1406" s="52">
        <v>54028460</v>
      </c>
      <c r="F1406" s="52" t="s">
        <v>860</v>
      </c>
      <c r="G1406" s="25">
        <f t="shared" si="20"/>
        <v>-9.5316335418480502E-3</v>
      </c>
    </row>
    <row r="1407" spans="1:7">
      <c r="A1407" s="52">
        <v>60.062800000000003</v>
      </c>
      <c r="B1407" s="52">
        <v>60.456000000000003</v>
      </c>
      <c r="C1407" s="52">
        <v>58.915999999999997</v>
      </c>
      <c r="D1407" s="52">
        <v>59.8688</v>
      </c>
      <c r="E1407" s="52">
        <v>40334260</v>
      </c>
      <c r="F1407" s="52" t="s">
        <v>859</v>
      </c>
      <c r="G1407" s="25">
        <f t="shared" si="20"/>
        <v>3.2404190496553298E-3</v>
      </c>
    </row>
    <row r="1408" spans="1:7">
      <c r="A1408" s="52">
        <v>58.846699999999998</v>
      </c>
      <c r="B1408" s="52">
        <v>60.7483</v>
      </c>
      <c r="C1408" s="52">
        <v>58.5824</v>
      </c>
      <c r="D1408" s="52">
        <v>60.561</v>
      </c>
      <c r="E1408" s="52">
        <v>61619100</v>
      </c>
      <c r="F1408" s="52" t="s">
        <v>858</v>
      </c>
      <c r="G1408" s="25">
        <f t="shared" si="20"/>
        <v>-2.8306996251713179E-2</v>
      </c>
    </row>
    <row r="1409" spans="1:7">
      <c r="A1409" s="52">
        <v>58.878</v>
      </c>
      <c r="B1409" s="52">
        <v>59.254399999999997</v>
      </c>
      <c r="C1409" s="52">
        <v>55.982399999999998</v>
      </c>
      <c r="D1409" s="52">
        <v>56.380400000000002</v>
      </c>
      <c r="E1409" s="52">
        <v>63319820</v>
      </c>
      <c r="F1409" s="52" t="s">
        <v>857</v>
      </c>
      <c r="G1409" s="25">
        <f t="shared" si="20"/>
        <v>4.4299082659931432E-2</v>
      </c>
    </row>
    <row r="1410" spans="1:7">
      <c r="A1410" s="52">
        <v>54.375</v>
      </c>
      <c r="B1410" s="52">
        <v>55.673299999999998</v>
      </c>
      <c r="C1410" s="52">
        <v>53.498199999999997</v>
      </c>
      <c r="D1410" s="52">
        <v>55.470300000000002</v>
      </c>
      <c r="E1410" s="52">
        <v>51373880</v>
      </c>
      <c r="F1410" s="52" t="s">
        <v>856</v>
      </c>
      <c r="G1410" s="25">
        <f t="shared" si="20"/>
        <v>-1.9745701753911549E-2</v>
      </c>
    </row>
    <row r="1411" spans="1:7">
      <c r="A1411" s="52">
        <v>55.585700000000003</v>
      </c>
      <c r="B1411" s="52">
        <v>55.871400000000001</v>
      </c>
      <c r="C1411" s="52">
        <v>54.3964</v>
      </c>
      <c r="D1411" s="52">
        <v>54.738300000000002</v>
      </c>
      <c r="E1411" s="52">
        <v>56410680</v>
      </c>
      <c r="F1411" s="52" t="s">
        <v>855</v>
      </c>
      <c r="G1411" s="25">
        <f t="shared" si="20"/>
        <v>1.5480933825127829E-2</v>
      </c>
    </row>
    <row r="1412" spans="1:7">
      <c r="A1412" s="52">
        <v>54.842799999999997</v>
      </c>
      <c r="B1412" s="52">
        <v>56.202300000000001</v>
      </c>
      <c r="C1412" s="52">
        <v>54.414299999999997</v>
      </c>
      <c r="D1412" s="52">
        <v>55.932600000000001</v>
      </c>
      <c r="E1412" s="52">
        <v>51970380</v>
      </c>
      <c r="F1412" s="52" t="s">
        <v>854</v>
      </c>
      <c r="G1412" s="25">
        <f t="shared" si="20"/>
        <v>-1.9484164869861265E-2</v>
      </c>
    </row>
    <row r="1413" spans="1:7">
      <c r="A1413" s="52">
        <v>57.821100000000001</v>
      </c>
      <c r="B1413" s="52">
        <v>58.390799999999999</v>
      </c>
      <c r="C1413" s="52">
        <v>56.565600000000003</v>
      </c>
      <c r="D1413" s="52">
        <v>57.163200000000003</v>
      </c>
      <c r="E1413" s="52">
        <v>65279420</v>
      </c>
      <c r="F1413" s="52" t="s">
        <v>853</v>
      </c>
      <c r="G1413" s="25">
        <f t="shared" si="20"/>
        <v>1.1509152741624007E-2</v>
      </c>
    </row>
    <row r="1414" spans="1:7">
      <c r="A1414" s="52">
        <v>57.0428</v>
      </c>
      <c r="B1414" s="52">
        <v>57.276200000000003</v>
      </c>
      <c r="C1414" s="52">
        <v>54.663200000000003</v>
      </c>
      <c r="D1414" s="52">
        <v>56.362499999999997</v>
      </c>
      <c r="E1414" s="52">
        <v>58736540</v>
      </c>
      <c r="F1414" s="52" t="s">
        <v>852</v>
      </c>
      <c r="G1414" s="25">
        <f t="shared" si="20"/>
        <v>1.2070082058106113E-2</v>
      </c>
    </row>
    <row r="1415" spans="1:7">
      <c r="A1415" s="52">
        <v>55.248899999999999</v>
      </c>
      <c r="B1415" s="52">
        <v>57.278700000000001</v>
      </c>
      <c r="C1415" s="52">
        <v>54.9375</v>
      </c>
      <c r="D1415" s="52">
        <v>56.1053</v>
      </c>
      <c r="E1415" s="52">
        <v>62793220</v>
      </c>
      <c r="F1415" s="52" t="s">
        <v>851</v>
      </c>
      <c r="G1415" s="25">
        <f t="shared" si="20"/>
        <v>-1.526415507982315E-2</v>
      </c>
    </row>
    <row r="1416" spans="1:7">
      <c r="A1416" s="52">
        <v>57.869300000000003</v>
      </c>
      <c r="B1416" s="52">
        <v>58.295299999999997</v>
      </c>
      <c r="C1416" s="52">
        <v>54.341700000000003</v>
      </c>
      <c r="D1416" s="52">
        <v>55.470799999999997</v>
      </c>
      <c r="E1416" s="52">
        <v>76688440</v>
      </c>
      <c r="F1416" s="52" t="s">
        <v>850</v>
      </c>
      <c r="G1416" s="25">
        <f t="shared" si="20"/>
        <v>4.3238965365561821E-2</v>
      </c>
    </row>
    <row r="1417" spans="1:7">
      <c r="A1417" s="52">
        <v>54.818899999999999</v>
      </c>
      <c r="B1417" s="52">
        <v>57.035800000000002</v>
      </c>
      <c r="C1417" s="52">
        <v>53.892800000000001</v>
      </c>
      <c r="D1417" s="52">
        <v>55.961500000000001</v>
      </c>
      <c r="E1417" s="52">
        <v>90323240</v>
      </c>
      <c r="F1417" s="52" t="s">
        <v>849</v>
      </c>
      <c r="G1417" s="25">
        <f t="shared" si="20"/>
        <v>-2.0417608534438858E-2</v>
      </c>
    </row>
    <row r="1418" spans="1:7">
      <c r="A1418" s="52">
        <v>56.231699999999996</v>
      </c>
      <c r="B1418" s="52">
        <v>56.396900000000002</v>
      </c>
      <c r="C1418" s="52">
        <v>54.063000000000002</v>
      </c>
      <c r="D1418" s="52">
        <v>54.936399999999999</v>
      </c>
      <c r="E1418" s="52">
        <v>72468700</v>
      </c>
      <c r="F1418" s="52" t="s">
        <v>848</v>
      </c>
      <c r="G1418" s="25">
        <f t="shared" si="20"/>
        <v>2.3578174033973776E-2</v>
      </c>
    </row>
    <row r="1419" spans="1:7">
      <c r="A1419" s="52">
        <v>52.4557</v>
      </c>
      <c r="B1419" s="52">
        <v>53.091700000000003</v>
      </c>
      <c r="C1419" s="52">
        <v>50.203499999999998</v>
      </c>
      <c r="D1419" s="52">
        <v>52.5672</v>
      </c>
      <c r="E1419" s="52">
        <v>83672580</v>
      </c>
      <c r="F1419" s="52" t="s">
        <v>847</v>
      </c>
      <c r="G1419" s="25">
        <f t="shared" si="20"/>
        <v>-2.1210945228202771E-3</v>
      </c>
    </row>
    <row r="1420" spans="1:7">
      <c r="A1420" s="52">
        <v>53.156399999999998</v>
      </c>
      <c r="B1420" s="52">
        <v>56.653100000000002</v>
      </c>
      <c r="C1420" s="52">
        <v>52.8523</v>
      </c>
      <c r="D1420" s="52">
        <v>56.2759</v>
      </c>
      <c r="E1420" s="52">
        <v>82877940</v>
      </c>
      <c r="F1420" s="52" t="s">
        <v>846</v>
      </c>
      <c r="G1420" s="25">
        <f t="shared" si="20"/>
        <v>-5.5432254304240369E-2</v>
      </c>
    </row>
    <row r="1421" spans="1:7">
      <c r="A1421" s="52">
        <v>55.319000000000003</v>
      </c>
      <c r="B1421" s="52">
        <v>57.356299999999997</v>
      </c>
      <c r="C1421" s="52">
        <v>52.526400000000002</v>
      </c>
      <c r="D1421" s="52">
        <v>54.152099999999997</v>
      </c>
      <c r="E1421" s="52">
        <v>74064960</v>
      </c>
      <c r="F1421" s="52" t="s">
        <v>845</v>
      </c>
      <c r="G1421" s="25">
        <f t="shared" si="20"/>
        <v>2.1548564136940396E-2</v>
      </c>
    </row>
    <row r="1422" spans="1:7">
      <c r="A1422" s="52">
        <v>54.299900000000001</v>
      </c>
      <c r="B1422" s="52">
        <v>54.986600000000003</v>
      </c>
      <c r="C1422" s="52">
        <v>51.603299999999997</v>
      </c>
      <c r="D1422" s="52">
        <v>52.744799999999998</v>
      </c>
      <c r="E1422" s="52">
        <v>93044760</v>
      </c>
      <c r="F1422" s="52" t="s">
        <v>844</v>
      </c>
      <c r="G1422" s="25">
        <f t="shared" si="20"/>
        <v>2.9483475148261107E-2</v>
      </c>
    </row>
    <row r="1423" spans="1:7">
      <c r="A1423" s="52">
        <v>55.637</v>
      </c>
      <c r="B1423" s="52">
        <v>56.0321</v>
      </c>
      <c r="C1423" s="52">
        <v>52.205399999999997</v>
      </c>
      <c r="D1423" s="52">
        <v>54.272500000000001</v>
      </c>
      <c r="E1423" s="52">
        <v>83193720</v>
      </c>
      <c r="F1423" s="52" t="s">
        <v>843</v>
      </c>
      <c r="G1423" s="25">
        <f t="shared" si="20"/>
        <v>2.5141646321801936E-2</v>
      </c>
    </row>
    <row r="1424" spans="1:7">
      <c r="A1424" s="52">
        <v>53.3947</v>
      </c>
      <c r="B1424" s="52">
        <v>57.000999999999998</v>
      </c>
      <c r="C1424" s="52">
        <v>53.100099999999998</v>
      </c>
      <c r="D1424" s="52">
        <v>54.221299999999999</v>
      </c>
      <c r="E1424" s="52">
        <v>96519620</v>
      </c>
      <c r="F1424" s="52" t="s">
        <v>842</v>
      </c>
      <c r="G1424" s="25">
        <f t="shared" si="20"/>
        <v>-1.52449314199401E-2</v>
      </c>
    </row>
    <row r="1425" spans="1:7">
      <c r="A1425" s="52">
        <v>60.424599999999998</v>
      </c>
      <c r="B1425" s="52">
        <v>60.431100000000001</v>
      </c>
      <c r="C1425" s="52">
        <v>55.349899999999998</v>
      </c>
      <c r="D1425" s="52">
        <v>58.47</v>
      </c>
      <c r="E1425" s="52">
        <v>79399460</v>
      </c>
      <c r="F1425" s="52" t="s">
        <v>841</v>
      </c>
      <c r="G1425" s="25">
        <f t="shared" si="20"/>
        <v>3.3429108944758035E-2</v>
      </c>
    </row>
    <row r="1426" spans="1:7">
      <c r="A1426" s="52">
        <v>55.313099999999999</v>
      </c>
      <c r="B1426" s="52">
        <v>59.154699999999998</v>
      </c>
      <c r="C1426" s="52">
        <v>55.159799999999997</v>
      </c>
      <c r="D1426" s="52">
        <v>55.863900000000001</v>
      </c>
      <c r="E1426" s="52">
        <v>94325860</v>
      </c>
      <c r="F1426" s="52" t="s">
        <v>840</v>
      </c>
      <c r="G1426" s="25">
        <f t="shared" si="20"/>
        <v>-9.8596768217041886E-3</v>
      </c>
    </row>
    <row r="1427" spans="1:7">
      <c r="A1427" s="52">
        <v>60.256900000000002</v>
      </c>
      <c r="B1427" s="52">
        <v>62.547499999999999</v>
      </c>
      <c r="C1427" s="52">
        <v>59.273600000000002</v>
      </c>
      <c r="D1427" s="52">
        <v>62.116500000000002</v>
      </c>
      <c r="E1427" s="52">
        <v>54833880</v>
      </c>
      <c r="F1427" s="52" t="s">
        <v>839</v>
      </c>
      <c r="G1427" s="25">
        <f t="shared" si="20"/>
        <v>-2.993729524361477E-2</v>
      </c>
    </row>
    <row r="1428" spans="1:7">
      <c r="A1428" s="52">
        <v>63.455100000000002</v>
      </c>
      <c r="B1428" s="52">
        <v>63.488999999999997</v>
      </c>
      <c r="C1428" s="52">
        <v>60.436599999999999</v>
      </c>
      <c r="D1428" s="52">
        <v>62.421100000000003</v>
      </c>
      <c r="E1428" s="52">
        <v>54871320</v>
      </c>
      <c r="F1428" s="52" t="s">
        <v>838</v>
      </c>
      <c r="G1428" s="25">
        <f t="shared" si="20"/>
        <v>1.6564911544333594E-2</v>
      </c>
    </row>
    <row r="1429" spans="1:7">
      <c r="A1429" s="52">
        <v>60.500300000000003</v>
      </c>
      <c r="B1429" s="52">
        <v>62.338500000000003</v>
      </c>
      <c r="C1429" s="52">
        <v>59.616999999999997</v>
      </c>
      <c r="D1429" s="52">
        <v>59.961300000000001</v>
      </c>
      <c r="E1429" s="52">
        <v>69251560</v>
      </c>
      <c r="F1429" s="52" t="s">
        <v>837</v>
      </c>
      <c r="G1429" s="25">
        <f t="shared" si="20"/>
        <v>8.9891313230368031E-3</v>
      </c>
    </row>
    <row r="1430" spans="1:7">
      <c r="A1430" s="52">
        <v>64.478700000000003</v>
      </c>
      <c r="B1430" s="52">
        <v>64.827600000000004</v>
      </c>
      <c r="C1430" s="52">
        <v>62.561399999999999</v>
      </c>
      <c r="D1430" s="52">
        <v>63.195399999999999</v>
      </c>
      <c r="E1430" s="52">
        <v>64646300</v>
      </c>
      <c r="F1430" s="52" t="s">
        <v>836</v>
      </c>
      <c r="G1430" s="25">
        <f t="shared" si="20"/>
        <v>2.0306857777623089E-2</v>
      </c>
    </row>
    <row r="1431" spans="1:7">
      <c r="A1431" s="52">
        <v>65.425200000000004</v>
      </c>
      <c r="B1431" s="52">
        <v>67.359499999999997</v>
      </c>
      <c r="C1431" s="52">
        <v>64.772300000000001</v>
      </c>
      <c r="D1431" s="52">
        <v>66.957400000000007</v>
      </c>
      <c r="E1431" s="52">
        <v>54379640</v>
      </c>
      <c r="F1431" s="52" t="s">
        <v>835</v>
      </c>
      <c r="G1431" s="25">
        <f t="shared" si="20"/>
        <v>-2.2883206337163675E-2</v>
      </c>
    </row>
    <row r="1432" spans="1:7">
      <c r="A1432" s="52">
        <v>68.751300000000001</v>
      </c>
      <c r="B1432" s="52">
        <v>68.81</v>
      </c>
      <c r="C1432" s="52">
        <v>66.531899999999993</v>
      </c>
      <c r="D1432" s="52">
        <v>67.624700000000004</v>
      </c>
      <c r="E1432" s="52">
        <v>47597120</v>
      </c>
      <c r="F1432" s="52" t="s">
        <v>834</v>
      </c>
      <c r="G1432" s="25">
        <f t="shared" si="20"/>
        <v>1.6659593314277021E-2</v>
      </c>
    </row>
    <row r="1433" spans="1:7">
      <c r="A1433" s="52">
        <v>66.567700000000002</v>
      </c>
      <c r="B1433" s="52">
        <v>70.0745</v>
      </c>
      <c r="C1433" s="52">
        <v>66.145899999999997</v>
      </c>
      <c r="D1433" s="52">
        <v>69.551500000000004</v>
      </c>
      <c r="E1433" s="52">
        <v>56602240</v>
      </c>
      <c r="F1433" s="52" t="s">
        <v>833</v>
      </c>
      <c r="G1433" s="25">
        <f t="shared" si="20"/>
        <v>-4.2900584458998026E-2</v>
      </c>
    </row>
    <row r="1434" spans="1:7">
      <c r="A1434" s="52">
        <v>68.986199999999997</v>
      </c>
      <c r="B1434" s="52">
        <v>69.043400000000005</v>
      </c>
      <c r="C1434" s="52">
        <v>65.944699999999997</v>
      </c>
      <c r="D1434" s="52">
        <v>67.248000000000005</v>
      </c>
      <c r="E1434" s="52">
        <v>55429260</v>
      </c>
      <c r="F1434" s="52" t="s">
        <v>832</v>
      </c>
      <c r="G1434" s="25">
        <f t="shared" si="20"/>
        <v>2.5847608850820825E-2</v>
      </c>
    </row>
    <row r="1435" spans="1:7">
      <c r="A1435" s="52">
        <v>66.643900000000002</v>
      </c>
      <c r="B1435" s="52">
        <v>66.803100000000001</v>
      </c>
      <c r="C1435" s="52">
        <v>63.108800000000002</v>
      </c>
      <c r="D1435" s="52">
        <v>63.412300000000002</v>
      </c>
      <c r="E1435" s="52">
        <v>80218000</v>
      </c>
      <c r="F1435" s="52" t="s">
        <v>831</v>
      </c>
      <c r="G1435" s="25">
        <f t="shared" si="20"/>
        <v>5.0961721937226701E-2</v>
      </c>
    </row>
    <row r="1436" spans="1:7">
      <c r="A1436" s="52">
        <v>65.434700000000007</v>
      </c>
      <c r="B1436" s="52">
        <v>68.144199999999998</v>
      </c>
      <c r="C1436" s="52">
        <v>65.399299999999997</v>
      </c>
      <c r="D1436" s="52">
        <v>67.633600000000001</v>
      </c>
      <c r="E1436" s="52">
        <v>62289520</v>
      </c>
      <c r="F1436" s="52" t="s">
        <v>830</v>
      </c>
      <c r="G1436" s="25">
        <f t="shared" si="20"/>
        <v>-3.251194672470481E-2</v>
      </c>
    </row>
    <row r="1437" spans="1:7">
      <c r="A1437" s="52">
        <v>69.192700000000002</v>
      </c>
      <c r="B1437" s="52">
        <v>70.347200000000001</v>
      </c>
      <c r="C1437" s="52">
        <v>68.5</v>
      </c>
      <c r="D1437" s="52">
        <v>69.417100000000005</v>
      </c>
      <c r="E1437" s="52">
        <v>49803560</v>
      </c>
      <c r="F1437" s="52" t="s">
        <v>829</v>
      </c>
      <c r="G1437" s="25">
        <f t="shared" si="20"/>
        <v>-3.2326328815234229E-3</v>
      </c>
    </row>
    <row r="1438" spans="1:7">
      <c r="A1438" s="52">
        <v>68.986199999999997</v>
      </c>
      <c r="B1438" s="52">
        <v>71.500500000000002</v>
      </c>
      <c r="C1438" s="52">
        <v>68.692599999999999</v>
      </c>
      <c r="D1438" s="52">
        <v>71.209599999999995</v>
      </c>
      <c r="E1438" s="52">
        <v>51579320</v>
      </c>
      <c r="F1438" s="52" t="s">
        <v>828</v>
      </c>
      <c r="G1438" s="25">
        <f t="shared" si="20"/>
        <v>-3.1223318204287032E-2</v>
      </c>
    </row>
    <row r="1439" spans="1:7">
      <c r="A1439" s="52">
        <v>70.655199999999994</v>
      </c>
      <c r="B1439" s="52">
        <v>71.4773</v>
      </c>
      <c r="C1439" s="52">
        <v>70.004800000000003</v>
      </c>
      <c r="D1439" s="52">
        <v>70.813900000000004</v>
      </c>
      <c r="E1439" s="52">
        <v>49560780</v>
      </c>
      <c r="F1439" s="52" t="s">
        <v>827</v>
      </c>
      <c r="G1439" s="25">
        <f t="shared" si="20"/>
        <v>-2.2410854366163857E-3</v>
      </c>
    </row>
    <row r="1440" spans="1:7">
      <c r="A1440" s="52">
        <v>73.820099999999996</v>
      </c>
      <c r="B1440" s="52">
        <v>75.187799999999996</v>
      </c>
      <c r="C1440" s="52">
        <v>73.572800000000001</v>
      </c>
      <c r="D1440" s="52">
        <v>74.870999999999995</v>
      </c>
      <c r="E1440" s="52">
        <v>42536860</v>
      </c>
      <c r="F1440" s="52" t="s">
        <v>826</v>
      </c>
      <c r="G1440" s="25">
        <f t="shared" si="20"/>
        <v>-1.403614216452298E-2</v>
      </c>
    </row>
    <row r="1441" spans="1:7">
      <c r="A1441" s="52">
        <v>75.488600000000005</v>
      </c>
      <c r="B1441" s="52">
        <v>75.990200000000002</v>
      </c>
      <c r="C1441" s="52">
        <v>74.854900000000001</v>
      </c>
      <c r="D1441" s="52">
        <v>75.589100000000002</v>
      </c>
      <c r="E1441" s="52">
        <v>25967720</v>
      </c>
      <c r="F1441" s="52" t="s">
        <v>825</v>
      </c>
      <c r="G1441" s="25">
        <f t="shared" si="20"/>
        <v>-1.3295567747201309E-3</v>
      </c>
    </row>
    <row r="1442" spans="1:7">
      <c r="A1442" s="52">
        <v>75.880700000000004</v>
      </c>
      <c r="B1442" s="52">
        <v>76.172799999999995</v>
      </c>
      <c r="C1442" s="52">
        <v>75.686899999999994</v>
      </c>
      <c r="D1442" s="52">
        <v>75.996700000000004</v>
      </c>
      <c r="E1442" s="52">
        <v>22746760</v>
      </c>
      <c r="F1442" s="52" t="s">
        <v>824</v>
      </c>
      <c r="G1442" s="25">
        <f t="shared" si="20"/>
        <v>-1.5263820665897265E-3</v>
      </c>
    </row>
    <row r="1443" spans="1:7">
      <c r="A1443" s="52">
        <v>75.610500000000002</v>
      </c>
      <c r="B1443" s="52">
        <v>76.163600000000002</v>
      </c>
      <c r="C1443" s="52">
        <v>75.191000000000003</v>
      </c>
      <c r="D1443" s="52">
        <v>75.356700000000004</v>
      </c>
      <c r="E1443" s="52">
        <v>25680220</v>
      </c>
      <c r="F1443" s="52" t="s">
        <v>823</v>
      </c>
      <c r="G1443" s="25">
        <f t="shared" si="20"/>
        <v>3.3679818781873205E-3</v>
      </c>
    </row>
    <row r="1444" spans="1:7">
      <c r="A1444" s="52">
        <v>75.575199999999995</v>
      </c>
      <c r="B1444" s="52">
        <v>75.640900000000002</v>
      </c>
      <c r="C1444" s="52">
        <v>74.919300000000007</v>
      </c>
      <c r="D1444" s="52">
        <v>75.366200000000006</v>
      </c>
      <c r="E1444" s="52">
        <v>23197140</v>
      </c>
      <c r="F1444" s="52" t="s">
        <v>822</v>
      </c>
      <c r="G1444" s="25">
        <f t="shared" si="20"/>
        <v>2.7731264147587975E-3</v>
      </c>
    </row>
    <row r="1445" spans="1:7">
      <c r="A1445" s="52">
        <v>75.309399999999997</v>
      </c>
      <c r="B1445" s="52">
        <v>75.934299999999993</v>
      </c>
      <c r="C1445" s="52">
        <v>74.842200000000005</v>
      </c>
      <c r="D1445" s="52">
        <v>75.140799999999999</v>
      </c>
      <c r="E1445" s="52">
        <v>22913160</v>
      </c>
      <c r="F1445" s="52" t="s">
        <v>821</v>
      </c>
      <c r="G1445" s="25">
        <f t="shared" si="20"/>
        <v>2.2437876626280051E-3</v>
      </c>
    </row>
    <row r="1446" spans="1:7">
      <c r="A1446" s="52">
        <v>75.5702</v>
      </c>
      <c r="B1446" s="52">
        <v>75.653300000000002</v>
      </c>
      <c r="C1446" s="52">
        <v>75.074600000000004</v>
      </c>
      <c r="D1446" s="52">
        <v>75.432400000000001</v>
      </c>
      <c r="E1446" s="52">
        <v>31042720</v>
      </c>
      <c r="F1446" s="52" t="s">
        <v>820</v>
      </c>
      <c r="G1446" s="25">
        <f t="shared" si="20"/>
        <v>1.8268012153928037E-3</v>
      </c>
    </row>
    <row r="1447" spans="1:7">
      <c r="A1447" s="52">
        <v>75.143699999999995</v>
      </c>
      <c r="B1447" s="52">
        <v>76.13</v>
      </c>
      <c r="C1447" s="52">
        <v>74.914299999999997</v>
      </c>
      <c r="D1447" s="52">
        <v>75.3035</v>
      </c>
      <c r="E1447" s="52">
        <v>34852940</v>
      </c>
      <c r="F1447" s="52" t="s">
        <v>819</v>
      </c>
      <c r="G1447" s="25">
        <f t="shared" si="20"/>
        <v>-2.1220793190224185E-3</v>
      </c>
    </row>
    <row r="1448" spans="1:7">
      <c r="A1448" s="52">
        <v>75.074100000000001</v>
      </c>
      <c r="B1448" s="52">
        <v>75.084999999999994</v>
      </c>
      <c r="C1448" s="52">
        <v>73.409000000000006</v>
      </c>
      <c r="D1448" s="52">
        <v>73.510099999999994</v>
      </c>
      <c r="E1448" s="52">
        <v>38301440</v>
      </c>
      <c r="F1448" s="52" t="s">
        <v>818</v>
      </c>
      <c r="G1448" s="25">
        <f t="shared" si="20"/>
        <v>2.127598792546892E-2</v>
      </c>
    </row>
    <row r="1449" spans="1:7">
      <c r="A1449" s="52">
        <v>73.6036</v>
      </c>
      <c r="B1449" s="52">
        <v>73.908900000000003</v>
      </c>
      <c r="C1449" s="52">
        <v>72.921899999999994</v>
      </c>
      <c r="D1449" s="52">
        <v>73.020099999999999</v>
      </c>
      <c r="E1449" s="52">
        <v>28360980</v>
      </c>
      <c r="F1449" s="52" t="s">
        <v>817</v>
      </c>
      <c r="G1449" s="25">
        <f t="shared" si="20"/>
        <v>7.9909504369344297E-3</v>
      </c>
    </row>
    <row r="1450" spans="1:7">
      <c r="A1450" s="52">
        <v>73.447400000000002</v>
      </c>
      <c r="B1450" s="52">
        <v>73.725499999999997</v>
      </c>
      <c r="C1450" s="52">
        <v>72.178899999999999</v>
      </c>
      <c r="D1450" s="52">
        <v>72.253600000000006</v>
      </c>
      <c r="E1450" s="52">
        <v>37821580</v>
      </c>
      <c r="F1450" s="52" t="s">
        <v>816</v>
      </c>
      <c r="G1450" s="25">
        <f t="shared" si="20"/>
        <v>1.652236013153674E-2</v>
      </c>
    </row>
    <row r="1451" spans="1:7">
      <c r="A1451" s="52">
        <v>71.958500000000001</v>
      </c>
      <c r="B1451" s="52">
        <v>72.880600000000001</v>
      </c>
      <c r="C1451" s="52">
        <v>71.143600000000006</v>
      </c>
      <c r="D1451" s="52">
        <v>72.832300000000004</v>
      </c>
      <c r="E1451" s="52">
        <v>36375860</v>
      </c>
      <c r="F1451" s="52" t="s">
        <v>815</v>
      </c>
      <c r="G1451" s="25">
        <f t="shared" si="20"/>
        <v>-1.1997424219748698E-2</v>
      </c>
    </row>
    <row r="1452" spans="1:7">
      <c r="A1452" s="52">
        <v>71.926599999999993</v>
      </c>
      <c r="B1452" s="52">
        <v>73.017700000000005</v>
      </c>
      <c r="C1452" s="52">
        <v>70.763199999999998</v>
      </c>
      <c r="D1452" s="52">
        <v>72.378500000000003</v>
      </c>
      <c r="E1452" s="52">
        <v>95879340</v>
      </c>
      <c r="F1452" s="52" t="s">
        <v>814</v>
      </c>
      <c r="G1452" s="25">
        <f t="shared" si="20"/>
        <v>-6.2435668050596638E-3</v>
      </c>
    </row>
    <row r="1453" spans="1:7">
      <c r="A1453" s="52">
        <v>73.777299999999997</v>
      </c>
      <c r="B1453" s="52">
        <v>73.961399999999998</v>
      </c>
      <c r="C1453" s="52">
        <v>72.483999999999995</v>
      </c>
      <c r="D1453" s="52">
        <v>72.734800000000007</v>
      </c>
      <c r="E1453" s="52">
        <v>72175200</v>
      </c>
      <c r="F1453" s="52" t="s">
        <v>813</v>
      </c>
      <c r="G1453" s="25">
        <f t="shared" si="20"/>
        <v>1.4332891545724813E-2</v>
      </c>
    </row>
    <row r="1454" spans="1:7">
      <c r="A1454" s="52">
        <v>71.298100000000005</v>
      </c>
      <c r="B1454" s="52">
        <v>73.133899999999997</v>
      </c>
      <c r="C1454" s="52">
        <v>71.013499999999993</v>
      </c>
      <c r="D1454" s="52">
        <v>73.043800000000005</v>
      </c>
      <c r="E1454" s="52">
        <v>43821500</v>
      </c>
      <c r="F1454" s="52" t="s">
        <v>812</v>
      </c>
      <c r="G1454" s="25">
        <f t="shared" si="20"/>
        <v>-2.3899359014728172E-2</v>
      </c>
    </row>
    <row r="1455" spans="1:7">
      <c r="A1455" s="52">
        <v>72.366500000000002</v>
      </c>
      <c r="B1455" s="52">
        <v>72.416300000000007</v>
      </c>
      <c r="C1455" s="52">
        <v>71.408600000000007</v>
      </c>
      <c r="D1455" s="52">
        <v>71.562899999999999</v>
      </c>
      <c r="E1455" s="52">
        <v>27109440</v>
      </c>
      <c r="F1455" s="52" t="s">
        <v>811</v>
      </c>
      <c r="G1455" s="25">
        <f t="shared" si="20"/>
        <v>1.1229282211872471E-2</v>
      </c>
    </row>
    <row r="1456" spans="1:7">
      <c r="A1456" s="52">
        <v>72.488399999999999</v>
      </c>
      <c r="B1456" s="52">
        <v>72.858699999999999</v>
      </c>
      <c r="C1456" s="52">
        <v>71.925399999999996</v>
      </c>
      <c r="D1456" s="52">
        <v>72.575999999999993</v>
      </c>
      <c r="E1456" s="52">
        <v>21639280</v>
      </c>
      <c r="F1456" s="52" t="s">
        <v>810</v>
      </c>
      <c r="G1456" s="25">
        <f t="shared" si="20"/>
        <v>-1.2070105820105592E-3</v>
      </c>
    </row>
    <row r="1457" spans="1:7">
      <c r="A1457" s="52">
        <v>72.179900000000004</v>
      </c>
      <c r="B1457" s="52">
        <v>72.393900000000002</v>
      </c>
      <c r="C1457" s="52">
        <v>71.177700000000002</v>
      </c>
      <c r="D1457" s="52">
        <v>71.744</v>
      </c>
      <c r="E1457" s="52">
        <v>29731720</v>
      </c>
      <c r="F1457" s="52" t="s">
        <v>809</v>
      </c>
      <c r="G1457" s="25">
        <f t="shared" si="20"/>
        <v>6.0757694023194642E-3</v>
      </c>
    </row>
    <row r="1458" spans="1:7">
      <c r="A1458" s="52">
        <v>71.245900000000006</v>
      </c>
      <c r="B1458" s="52">
        <v>71.487200000000001</v>
      </c>
      <c r="C1458" s="52">
        <v>70.637299999999996</v>
      </c>
      <c r="D1458" s="52">
        <v>71.236400000000003</v>
      </c>
      <c r="E1458" s="52">
        <v>34131320</v>
      </c>
      <c r="F1458" s="52" t="s">
        <v>808</v>
      </c>
      <c r="G1458" s="25">
        <f t="shared" si="20"/>
        <v>1.3335878848463878E-4</v>
      </c>
    </row>
    <row r="1459" spans="1:7">
      <c r="A1459" s="52">
        <v>72.959699999999998</v>
      </c>
      <c r="B1459" s="52">
        <v>74.354500000000002</v>
      </c>
      <c r="C1459" s="52">
        <v>72.810900000000004</v>
      </c>
      <c r="D1459" s="52">
        <v>74.285799999999995</v>
      </c>
      <c r="E1459" s="52">
        <v>29785600</v>
      </c>
      <c r="F1459" s="52" t="s">
        <v>807</v>
      </c>
      <c r="G1459" s="25">
        <f t="shared" si="20"/>
        <v>-1.7851325556162756E-2</v>
      </c>
    </row>
    <row r="1460" spans="1:7">
      <c r="A1460" s="52">
        <v>73.881299999999996</v>
      </c>
      <c r="B1460" s="52">
        <v>74.319699999999997</v>
      </c>
      <c r="C1460" s="52">
        <v>73.663799999999995</v>
      </c>
      <c r="D1460" s="52">
        <v>74.023600000000002</v>
      </c>
      <c r="E1460" s="52">
        <v>26651240</v>
      </c>
      <c r="F1460" s="52" t="s">
        <v>806</v>
      </c>
      <c r="G1460" s="25">
        <f t="shared" si="20"/>
        <v>-1.9223598960332877E-3</v>
      </c>
    </row>
    <row r="1461" spans="1:7">
      <c r="A1461" s="52">
        <v>73.855400000000003</v>
      </c>
      <c r="B1461" s="52">
        <v>74.6721</v>
      </c>
      <c r="C1461" s="52">
        <v>73.780299999999997</v>
      </c>
      <c r="D1461" s="52">
        <v>74.132099999999994</v>
      </c>
      <c r="E1461" s="52">
        <v>28458920</v>
      </c>
      <c r="F1461" s="52" t="s">
        <v>805</v>
      </c>
      <c r="G1461" s="25">
        <f t="shared" si="20"/>
        <v>-3.7325261256593301E-3</v>
      </c>
    </row>
    <row r="1462" spans="1:7">
      <c r="A1462" s="52">
        <v>73.759900000000002</v>
      </c>
      <c r="B1462" s="52">
        <v>74.139799999999994</v>
      </c>
      <c r="C1462" s="52">
        <v>73.160700000000006</v>
      </c>
      <c r="D1462" s="52">
        <v>73.598100000000002</v>
      </c>
      <c r="E1462" s="52">
        <v>48932020</v>
      </c>
      <c r="F1462" s="52" t="s">
        <v>804</v>
      </c>
      <c r="G1462" s="25">
        <f t="shared" si="20"/>
        <v>2.1984263180707675E-3</v>
      </c>
    </row>
    <row r="1463" spans="1:7">
      <c r="A1463" s="52">
        <v>73.623999999999995</v>
      </c>
      <c r="B1463" s="52">
        <v>73.675299999999993</v>
      </c>
      <c r="C1463" s="52">
        <v>72.480999999999995</v>
      </c>
      <c r="D1463" s="52">
        <v>72.778999999999996</v>
      </c>
      <c r="E1463" s="52">
        <v>52423500</v>
      </c>
      <c r="F1463" s="52" t="s">
        <v>803</v>
      </c>
      <c r="G1463" s="25">
        <f t="shared" si="20"/>
        <v>1.1610492037538389E-2</v>
      </c>
    </row>
    <row r="1464" spans="1:7">
      <c r="A1464" s="52">
        <v>72.162999999999997</v>
      </c>
      <c r="B1464" s="52">
        <v>72.189899999999994</v>
      </c>
      <c r="C1464" s="52">
        <v>71.657399999999996</v>
      </c>
      <c r="D1464" s="52">
        <v>71.928600000000003</v>
      </c>
      <c r="E1464" s="52">
        <v>26080800</v>
      </c>
      <c r="F1464" s="52" t="s">
        <v>802</v>
      </c>
      <c r="G1464" s="25">
        <f t="shared" si="20"/>
        <v>3.2587871861817774E-3</v>
      </c>
    </row>
    <row r="1465" spans="1:7">
      <c r="A1465" s="52">
        <v>71.617599999999996</v>
      </c>
      <c r="B1465" s="52">
        <v>71.696200000000005</v>
      </c>
      <c r="C1465" s="52">
        <v>71.242400000000004</v>
      </c>
      <c r="D1465" s="52">
        <v>71.310100000000006</v>
      </c>
      <c r="E1465" s="52">
        <v>21550380</v>
      </c>
      <c r="F1465" s="52" t="s">
        <v>801</v>
      </c>
      <c r="G1465" s="25">
        <f t="shared" si="20"/>
        <v>4.3121521355318215E-3</v>
      </c>
    </row>
    <row r="1466" spans="1:7">
      <c r="A1466" s="52">
        <v>71.189099999999996</v>
      </c>
      <c r="B1466" s="52">
        <v>71.788300000000007</v>
      </c>
      <c r="C1466" s="52">
        <v>71.0488</v>
      </c>
      <c r="D1466" s="52">
        <v>71.657399999999996</v>
      </c>
      <c r="E1466" s="52">
        <v>26112720</v>
      </c>
      <c r="F1466" s="52" t="s">
        <v>800</v>
      </c>
      <c r="G1466" s="25">
        <f t="shared" si="20"/>
        <v>-6.5352636294366828E-3</v>
      </c>
    </row>
    <row r="1467" spans="1:7">
      <c r="A1467" s="52">
        <v>71.658900000000003</v>
      </c>
      <c r="B1467" s="52">
        <v>71.731099999999998</v>
      </c>
      <c r="C1467" s="52">
        <v>70.929400000000001</v>
      </c>
      <c r="D1467" s="52">
        <v>71.421000000000006</v>
      </c>
      <c r="E1467" s="52">
        <v>30746340</v>
      </c>
      <c r="F1467" s="52" t="s">
        <v>799</v>
      </c>
      <c r="G1467" s="25">
        <f t="shared" ref="G1467:G1530" si="21">A1467/D1467-1</f>
        <v>3.3309530810265997E-3</v>
      </c>
    </row>
    <row r="1468" spans="1:7">
      <c r="A1468" s="52">
        <v>71.108000000000004</v>
      </c>
      <c r="B1468" s="52">
        <v>71.405600000000007</v>
      </c>
      <c r="C1468" s="52">
        <v>70.642099999999999</v>
      </c>
      <c r="D1468" s="52">
        <v>71.133399999999995</v>
      </c>
      <c r="E1468" s="52">
        <v>26263560</v>
      </c>
      <c r="F1468" s="52" t="s">
        <v>798</v>
      </c>
      <c r="G1468" s="25">
        <f t="shared" si="21"/>
        <v>-3.570755791230118E-4</v>
      </c>
    </row>
    <row r="1469" spans="1:7">
      <c r="A1469" s="52">
        <v>70.651700000000005</v>
      </c>
      <c r="B1469" s="52">
        <v>71.094099999999997</v>
      </c>
      <c r="C1469" s="52">
        <v>70.174999999999997</v>
      </c>
      <c r="D1469" s="52">
        <v>70.758200000000002</v>
      </c>
      <c r="E1469" s="52">
        <v>33228760</v>
      </c>
      <c r="F1469" s="52" t="s">
        <v>797</v>
      </c>
      <c r="G1469" s="25">
        <f t="shared" si="21"/>
        <v>-1.505125907668603E-3</v>
      </c>
    </row>
    <row r="1470" spans="1:7">
      <c r="A1470" s="52">
        <v>69.917699999999996</v>
      </c>
      <c r="B1470" s="52">
        <v>70.256600000000006</v>
      </c>
      <c r="C1470" s="52">
        <v>69.300200000000004</v>
      </c>
      <c r="D1470" s="52">
        <v>69.409199999999998</v>
      </c>
      <c r="E1470" s="52">
        <v>35325480</v>
      </c>
      <c r="F1470" s="52" t="s">
        <v>796</v>
      </c>
      <c r="G1470" s="25">
        <f t="shared" si="21"/>
        <v>7.3261181514843177E-3</v>
      </c>
    </row>
    <row r="1471" spans="1:7">
      <c r="A1471" s="52">
        <v>69.423599999999993</v>
      </c>
      <c r="B1471" s="52">
        <v>69.841099999999997</v>
      </c>
      <c r="C1471" s="52">
        <v>69.246700000000004</v>
      </c>
      <c r="D1471" s="52">
        <v>69.689800000000005</v>
      </c>
      <c r="E1471" s="52">
        <v>34529120</v>
      </c>
      <c r="F1471" s="52" t="s">
        <v>795</v>
      </c>
      <c r="G1471" s="25">
        <f t="shared" si="21"/>
        <v>-3.819784243892399E-3</v>
      </c>
    </row>
    <row r="1472" spans="1:7">
      <c r="A1472" s="52">
        <v>69.557900000000004</v>
      </c>
      <c r="B1472" s="52">
        <v>69.583299999999994</v>
      </c>
      <c r="C1472" s="52">
        <v>67.2286</v>
      </c>
      <c r="D1472" s="52">
        <v>67.259900000000002</v>
      </c>
      <c r="E1472" s="52">
        <v>46786860</v>
      </c>
      <c r="F1472" s="52" t="s">
        <v>794</v>
      </c>
      <c r="G1472" s="25">
        <f t="shared" si="21"/>
        <v>3.4165974079652273E-2</v>
      </c>
    </row>
    <row r="1473" spans="1:7">
      <c r="A1473" s="52">
        <v>67.752099999999999</v>
      </c>
      <c r="B1473" s="52">
        <v>68.360699999999994</v>
      </c>
      <c r="C1473" s="52">
        <v>67.045599999999993</v>
      </c>
      <c r="D1473" s="52">
        <v>67.079300000000003</v>
      </c>
      <c r="E1473" s="52">
        <v>23412580</v>
      </c>
      <c r="F1473" s="52" t="s">
        <v>793</v>
      </c>
      <c r="G1473" s="25">
        <f t="shared" si="21"/>
        <v>1.0029919811327614E-2</v>
      </c>
    </row>
    <row r="1474" spans="1:7">
      <c r="A1474" s="52">
        <v>68.108400000000003</v>
      </c>
      <c r="B1474" s="52">
        <v>68.108400000000003</v>
      </c>
      <c r="C1474" s="52">
        <v>67.004199999999997</v>
      </c>
      <c r="D1474" s="52">
        <v>67.099699999999999</v>
      </c>
      <c r="E1474" s="52">
        <v>27285300</v>
      </c>
      <c r="F1474" s="52" t="s">
        <v>792</v>
      </c>
      <c r="G1474" s="25">
        <f t="shared" si="21"/>
        <v>1.5032854096218129E-2</v>
      </c>
    </row>
    <row r="1475" spans="1:7">
      <c r="A1475" s="52">
        <v>66.650800000000004</v>
      </c>
      <c r="B1475" s="52">
        <v>66.713999999999999</v>
      </c>
      <c r="C1475" s="52">
        <v>66.289599999999993</v>
      </c>
      <c r="D1475" s="52">
        <v>66.471699999999998</v>
      </c>
      <c r="E1475" s="52">
        <v>19521220</v>
      </c>
      <c r="F1475" s="52" t="s">
        <v>791</v>
      </c>
      <c r="G1475" s="25">
        <f t="shared" si="21"/>
        <v>2.6943797134721947E-3</v>
      </c>
    </row>
    <row r="1476" spans="1:7">
      <c r="A1476" s="52">
        <v>66.666799999999995</v>
      </c>
      <c r="B1476" s="52">
        <v>67.527199999999993</v>
      </c>
      <c r="C1476" s="52">
        <v>66.573499999999996</v>
      </c>
      <c r="D1476" s="52">
        <v>67.517700000000005</v>
      </c>
      <c r="E1476" s="52">
        <v>20011840</v>
      </c>
      <c r="F1476" s="52" t="s">
        <v>790</v>
      </c>
      <c r="G1476" s="25">
        <f t="shared" si="21"/>
        <v>-1.2602621238579026E-2</v>
      </c>
    </row>
    <row r="1477" spans="1:7">
      <c r="A1477" s="52">
        <v>67.409700000000001</v>
      </c>
      <c r="B1477" s="52">
        <v>68.028300000000002</v>
      </c>
      <c r="C1477" s="52">
        <v>67.328100000000006</v>
      </c>
      <c r="D1477" s="52">
        <v>67.875500000000002</v>
      </c>
      <c r="E1477" s="52">
        <v>23217460</v>
      </c>
      <c r="F1477" s="52" t="s">
        <v>789</v>
      </c>
      <c r="G1477" s="25">
        <f t="shared" si="21"/>
        <v>-6.8625645483274544E-3</v>
      </c>
    </row>
    <row r="1478" spans="1:7">
      <c r="A1478" s="52">
        <v>67.799400000000006</v>
      </c>
      <c r="B1478" s="52">
        <v>67.835700000000003</v>
      </c>
      <c r="C1478" s="52">
        <v>66.955399999999997</v>
      </c>
      <c r="D1478" s="52">
        <v>67.007099999999994</v>
      </c>
      <c r="E1478" s="52">
        <v>23676000</v>
      </c>
      <c r="F1478" s="52" t="s">
        <v>788</v>
      </c>
      <c r="G1478" s="25">
        <f t="shared" si="21"/>
        <v>1.1824120130553561E-2</v>
      </c>
    </row>
    <row r="1479" spans="1:7">
      <c r="A1479" s="52">
        <v>66.901600000000002</v>
      </c>
      <c r="B1479" s="52">
        <v>67.278800000000004</v>
      </c>
      <c r="C1479" s="52">
        <v>66.888499999999993</v>
      </c>
      <c r="D1479" s="52">
        <v>67.189300000000003</v>
      </c>
      <c r="E1479" s="52">
        <v>13468200</v>
      </c>
      <c r="F1479" s="52" t="s">
        <v>787</v>
      </c>
      <c r="G1479" s="25">
        <f t="shared" si="21"/>
        <v>-4.281931795687699E-3</v>
      </c>
    </row>
    <row r="1480" spans="1:7">
      <c r="A1480" s="52">
        <v>67.2102</v>
      </c>
      <c r="B1480" s="52">
        <v>67.768699999999995</v>
      </c>
      <c r="C1480" s="52">
        <v>67.079300000000003</v>
      </c>
      <c r="D1480" s="52">
        <v>67.613200000000006</v>
      </c>
      <c r="E1480" s="52">
        <v>19939340</v>
      </c>
      <c r="F1480" s="52" t="s">
        <v>786</v>
      </c>
      <c r="G1480" s="25">
        <f t="shared" si="21"/>
        <v>-5.9603746014093018E-3</v>
      </c>
    </row>
    <row r="1481" spans="1:7">
      <c r="A1481" s="52">
        <v>67.239500000000007</v>
      </c>
      <c r="B1481" s="52">
        <v>67.875500000000002</v>
      </c>
      <c r="C1481" s="52">
        <v>67.215100000000007</v>
      </c>
      <c r="D1481" s="52">
        <v>67.830699999999993</v>
      </c>
      <c r="E1481" s="52">
        <v>50276980</v>
      </c>
      <c r="F1481" s="52" t="s">
        <v>785</v>
      </c>
      <c r="G1481" s="25">
        <f t="shared" si="21"/>
        <v>-8.7158174690808998E-3</v>
      </c>
    </row>
    <row r="1482" spans="1:7">
      <c r="A1482" s="52">
        <v>67.499300000000005</v>
      </c>
      <c r="B1482" s="52">
        <v>67.553299999999993</v>
      </c>
      <c r="C1482" s="52">
        <v>67.116699999999994</v>
      </c>
      <c r="D1482" s="52">
        <v>67.273899999999998</v>
      </c>
      <c r="E1482" s="52">
        <v>30421640</v>
      </c>
      <c r="F1482" s="52" t="s">
        <v>784</v>
      </c>
      <c r="G1482" s="25">
        <f t="shared" si="21"/>
        <v>3.3504821334873203E-3</v>
      </c>
    </row>
    <row r="1483" spans="1:7">
      <c r="A1483" s="52">
        <v>67.273899999999998</v>
      </c>
      <c r="B1483" s="52">
        <v>67.648099999999999</v>
      </c>
      <c r="C1483" s="52">
        <v>67.201700000000002</v>
      </c>
      <c r="D1483" s="52">
        <v>67.527199999999993</v>
      </c>
      <c r="E1483" s="52">
        <v>23334660</v>
      </c>
      <c r="F1483" s="52" t="s">
        <v>783</v>
      </c>
      <c r="G1483" s="25">
        <f t="shared" si="21"/>
        <v>-3.7510810458599719E-3</v>
      </c>
    </row>
    <row r="1484" spans="1:7">
      <c r="A1484" s="52">
        <v>67.422200000000004</v>
      </c>
      <c r="B1484" s="52">
        <v>67.891900000000007</v>
      </c>
      <c r="C1484" s="52">
        <v>67.217100000000002</v>
      </c>
      <c r="D1484" s="52">
        <v>67.796400000000006</v>
      </c>
      <c r="E1484" s="52">
        <v>32970980</v>
      </c>
      <c r="F1484" s="52" t="s">
        <v>782</v>
      </c>
      <c r="G1484" s="25">
        <f t="shared" si="21"/>
        <v>-5.5194671103481197E-3</v>
      </c>
    </row>
    <row r="1485" spans="1:7">
      <c r="A1485" s="52">
        <v>67.711299999999994</v>
      </c>
      <c r="B1485" s="52">
        <v>67.852099999999993</v>
      </c>
      <c r="C1485" s="52">
        <v>67.209199999999996</v>
      </c>
      <c r="D1485" s="52">
        <v>67.427599999999998</v>
      </c>
      <c r="E1485" s="52">
        <v>28129140</v>
      </c>
      <c r="F1485" s="52" t="s">
        <v>781</v>
      </c>
      <c r="G1485" s="25">
        <f t="shared" si="21"/>
        <v>4.2074758704149229E-3</v>
      </c>
    </row>
    <row r="1486" spans="1:7">
      <c r="A1486" s="52">
        <v>67.023099999999999</v>
      </c>
      <c r="B1486" s="52">
        <v>67.245999999999995</v>
      </c>
      <c r="C1486" s="52">
        <v>66.763800000000003</v>
      </c>
      <c r="D1486" s="52">
        <v>67.074299999999994</v>
      </c>
      <c r="E1486" s="52">
        <v>33173680</v>
      </c>
      <c r="F1486" s="52" t="s">
        <v>780</v>
      </c>
      <c r="G1486" s="25">
        <f t="shared" si="21"/>
        <v>-7.6333260280014859E-4</v>
      </c>
    </row>
    <row r="1487" spans="1:7">
      <c r="A1487" s="52">
        <v>67.103700000000003</v>
      </c>
      <c r="B1487" s="52">
        <v>67.406700000000001</v>
      </c>
      <c r="C1487" s="52">
        <v>66.5916</v>
      </c>
      <c r="D1487" s="52">
        <v>66.840900000000005</v>
      </c>
      <c r="E1487" s="52">
        <v>29129320</v>
      </c>
      <c r="F1487" s="52" t="s">
        <v>779</v>
      </c>
      <c r="G1487" s="25">
        <f t="shared" si="21"/>
        <v>3.9317244381806837E-3</v>
      </c>
    </row>
    <row r="1488" spans="1:7">
      <c r="A1488" s="52">
        <v>66.892700000000005</v>
      </c>
      <c r="B1488" s="52">
        <v>67.173299999999998</v>
      </c>
      <c r="C1488" s="52">
        <v>66.735900000000001</v>
      </c>
      <c r="D1488" s="52">
        <v>67.094200000000001</v>
      </c>
      <c r="E1488" s="52">
        <v>20486160</v>
      </c>
      <c r="F1488" s="52" t="s">
        <v>778</v>
      </c>
      <c r="G1488" s="25">
        <f t="shared" si="21"/>
        <v>-3.0032402204660524E-3</v>
      </c>
    </row>
    <row r="1489" spans="1:7">
      <c r="A1489" s="52">
        <v>66.825000000000003</v>
      </c>
      <c r="B1489" s="52">
        <v>67.079300000000003</v>
      </c>
      <c r="C1489" s="52">
        <v>66.382599999999996</v>
      </c>
      <c r="D1489" s="52">
        <v>66.678200000000004</v>
      </c>
      <c r="E1489" s="52">
        <v>17608600</v>
      </c>
      <c r="F1489" s="52" t="s">
        <v>777</v>
      </c>
      <c r="G1489" s="25">
        <f t="shared" si="21"/>
        <v>2.2016191198921398E-3</v>
      </c>
    </row>
    <row r="1490" spans="1:7">
      <c r="A1490" s="52">
        <v>66.83</v>
      </c>
      <c r="B1490" s="52">
        <v>67.554699999999997</v>
      </c>
      <c r="C1490" s="52">
        <v>66.485600000000005</v>
      </c>
      <c r="D1490" s="52">
        <v>66.624499999999998</v>
      </c>
      <c r="E1490" s="52">
        <v>31137780</v>
      </c>
      <c r="F1490" s="52" t="s">
        <v>776</v>
      </c>
      <c r="G1490" s="25">
        <f t="shared" si="21"/>
        <v>3.084450915203929E-3</v>
      </c>
    </row>
    <row r="1491" spans="1:7">
      <c r="A1491" s="52">
        <v>66.650800000000004</v>
      </c>
      <c r="B1491" s="52">
        <v>66.804100000000005</v>
      </c>
      <c r="C1491" s="52">
        <v>66.244799999999998</v>
      </c>
      <c r="D1491" s="52">
        <v>66.320400000000006</v>
      </c>
      <c r="E1491" s="52">
        <v>32974580</v>
      </c>
      <c r="F1491" s="52" t="s">
        <v>775</v>
      </c>
      <c r="G1491" s="25">
        <f t="shared" si="21"/>
        <v>4.9818758632336202E-3</v>
      </c>
    </row>
    <row r="1492" spans="1:7">
      <c r="A1492" s="52">
        <v>66.032300000000006</v>
      </c>
      <c r="B1492" s="52">
        <v>66.083100000000002</v>
      </c>
      <c r="C1492" s="52">
        <v>65.403300000000002</v>
      </c>
      <c r="D1492" s="52">
        <v>66.034300000000002</v>
      </c>
      <c r="E1492" s="52">
        <v>24412620</v>
      </c>
      <c r="F1492" s="52" t="s">
        <v>774</v>
      </c>
      <c r="G1492" s="25">
        <f t="shared" si="21"/>
        <v>-3.0287290090025287E-5</v>
      </c>
    </row>
    <row r="1493" spans="1:7">
      <c r="A1493" s="52">
        <v>65.633200000000002</v>
      </c>
      <c r="B1493" s="52">
        <v>65.898399999999995</v>
      </c>
      <c r="C1493" s="52">
        <v>64.842500000000001</v>
      </c>
      <c r="D1493" s="52">
        <v>64.994299999999996</v>
      </c>
      <c r="E1493" s="52">
        <v>35527840</v>
      </c>
      <c r="F1493" s="52" t="s">
        <v>773</v>
      </c>
      <c r="G1493" s="25">
        <f t="shared" si="21"/>
        <v>9.8300927927525983E-3</v>
      </c>
    </row>
    <row r="1494" spans="1:7">
      <c r="A1494" s="52">
        <v>64.429000000000002</v>
      </c>
      <c r="B1494" s="52">
        <v>64.552899999999994</v>
      </c>
      <c r="C1494" s="52">
        <v>63.548699999999997</v>
      </c>
      <c r="D1494" s="52">
        <v>63.628799999999998</v>
      </c>
      <c r="E1494" s="52">
        <v>29600520</v>
      </c>
      <c r="F1494" s="52" t="s">
        <v>772</v>
      </c>
      <c r="G1494" s="25">
        <f t="shared" si="21"/>
        <v>1.257606618386653E-2</v>
      </c>
    </row>
    <row r="1495" spans="1:7">
      <c r="A1495" s="52">
        <v>64.136399999999995</v>
      </c>
      <c r="B1495" s="52">
        <v>64.961399999999998</v>
      </c>
      <c r="C1495" s="52">
        <v>63.714399999999998</v>
      </c>
      <c r="D1495" s="52">
        <v>64.818100000000001</v>
      </c>
      <c r="E1495" s="52">
        <v>26577780</v>
      </c>
      <c r="F1495" s="52" t="s">
        <v>771</v>
      </c>
      <c r="G1495" s="25">
        <f t="shared" si="21"/>
        <v>-1.0517124074911233E-2</v>
      </c>
    </row>
    <row r="1496" spans="1:7">
      <c r="A1496" s="52">
        <v>64.894199999999998</v>
      </c>
      <c r="B1496" s="52">
        <v>65.1858</v>
      </c>
      <c r="C1496" s="52">
        <v>64.851399999999998</v>
      </c>
      <c r="D1496" s="52">
        <v>65.019099999999995</v>
      </c>
      <c r="E1496" s="52">
        <v>12801380</v>
      </c>
      <c r="F1496" s="52" t="s">
        <v>770</v>
      </c>
      <c r="G1496" s="25">
        <f t="shared" si="21"/>
        <v>-1.9209739907195544E-3</v>
      </c>
    </row>
    <row r="1497" spans="1:7">
      <c r="A1497" s="52">
        <v>65.294300000000007</v>
      </c>
      <c r="B1497" s="52">
        <v>65.5685</v>
      </c>
      <c r="C1497" s="52">
        <v>65.162199999999999</v>
      </c>
      <c r="D1497" s="52">
        <v>65.457999999999998</v>
      </c>
      <c r="E1497" s="52">
        <v>18810720</v>
      </c>
      <c r="F1497" s="52" t="s">
        <v>769</v>
      </c>
      <c r="G1497" s="25">
        <f t="shared" si="21"/>
        <v>-2.5008402334320001E-3</v>
      </c>
    </row>
    <row r="1498" spans="1:7">
      <c r="A1498" s="52">
        <v>65.337599999999995</v>
      </c>
      <c r="B1498" s="52">
        <v>65.387900000000002</v>
      </c>
      <c r="C1498" s="52">
        <v>64.891800000000003</v>
      </c>
      <c r="D1498" s="52">
        <v>65.183899999999994</v>
      </c>
      <c r="E1498" s="52">
        <v>21941780</v>
      </c>
      <c r="F1498" s="52" t="s">
        <v>768</v>
      </c>
      <c r="G1498" s="25">
        <f t="shared" si="21"/>
        <v>2.357944216286656E-3</v>
      </c>
    </row>
    <row r="1499" spans="1:7">
      <c r="A1499" s="52">
        <v>64.971400000000003</v>
      </c>
      <c r="B1499" s="52">
        <v>65.208699999999993</v>
      </c>
      <c r="C1499" s="52">
        <v>64.472300000000004</v>
      </c>
      <c r="D1499" s="52">
        <v>64.504599999999996</v>
      </c>
      <c r="E1499" s="52">
        <v>23593160</v>
      </c>
      <c r="F1499" s="52" t="s">
        <v>767</v>
      </c>
      <c r="G1499" s="25">
        <f t="shared" si="21"/>
        <v>7.2366931970744286E-3</v>
      </c>
    </row>
    <row r="1500" spans="1:7">
      <c r="A1500" s="52">
        <v>64.375699999999995</v>
      </c>
      <c r="B1500" s="52">
        <v>65.034099999999995</v>
      </c>
      <c r="C1500" s="52">
        <v>64.1614</v>
      </c>
      <c r="D1500" s="52">
        <v>64.84</v>
      </c>
      <c r="E1500" s="52">
        <v>27778240</v>
      </c>
      <c r="F1500" s="52" t="s">
        <v>766</v>
      </c>
      <c r="G1500" s="25">
        <f t="shared" si="21"/>
        <v>-7.1607032695868433E-3</v>
      </c>
    </row>
    <row r="1501" spans="1:7">
      <c r="A1501" s="52">
        <v>64.697699999999998</v>
      </c>
      <c r="B1501" s="52">
        <v>65.244100000000003</v>
      </c>
      <c r="C1501" s="52">
        <v>64.230400000000003</v>
      </c>
      <c r="D1501" s="52">
        <v>64.653400000000005</v>
      </c>
      <c r="E1501" s="52">
        <v>25546760</v>
      </c>
      <c r="F1501" s="52" t="s">
        <v>765</v>
      </c>
      <c r="G1501" s="25">
        <f t="shared" si="21"/>
        <v>6.8519211673301328E-4</v>
      </c>
    </row>
    <row r="1502" spans="1:7">
      <c r="A1502" s="52">
        <v>64.783299999999997</v>
      </c>
      <c r="B1502" s="52">
        <v>65.348100000000002</v>
      </c>
      <c r="C1502" s="52">
        <v>64.153800000000004</v>
      </c>
      <c r="D1502" s="52">
        <v>65.256</v>
      </c>
      <c r="E1502" s="52">
        <v>28917400</v>
      </c>
      <c r="F1502" s="52" t="s">
        <v>764</v>
      </c>
      <c r="G1502" s="25">
        <f t="shared" si="21"/>
        <v>-7.2437783498835451E-3</v>
      </c>
    </row>
    <row r="1503" spans="1:7">
      <c r="A1503" s="52">
        <v>65.3172</v>
      </c>
      <c r="B1503" s="52">
        <v>66.015900000000002</v>
      </c>
      <c r="C1503" s="52">
        <v>65.276399999999995</v>
      </c>
      <c r="D1503" s="52">
        <v>66.015900000000002</v>
      </c>
      <c r="E1503" s="52">
        <v>21872580</v>
      </c>
      <c r="F1503" s="52" t="s">
        <v>763</v>
      </c>
      <c r="G1503" s="25">
        <f t="shared" si="21"/>
        <v>-1.0583813899378791E-2</v>
      </c>
    </row>
    <row r="1504" spans="1:7">
      <c r="A1504" s="52">
        <v>65.677999999999997</v>
      </c>
      <c r="B1504" s="52">
        <v>66.378600000000006</v>
      </c>
      <c r="C1504" s="52">
        <v>65.494900000000001</v>
      </c>
      <c r="D1504" s="52">
        <v>66.3</v>
      </c>
      <c r="E1504" s="52">
        <v>27987480</v>
      </c>
      <c r="F1504" s="52" t="s">
        <v>762</v>
      </c>
      <c r="G1504" s="25">
        <f t="shared" si="21"/>
        <v>-9.3815987933635325E-3</v>
      </c>
    </row>
    <row r="1505" spans="1:7">
      <c r="A1505" s="52">
        <v>66.359700000000004</v>
      </c>
      <c r="B1505" s="52">
        <v>66.359700000000004</v>
      </c>
      <c r="C1505" s="52">
        <v>65.282399999999996</v>
      </c>
      <c r="D1505" s="52">
        <v>65.439599999999999</v>
      </c>
      <c r="E1505" s="52">
        <v>39299100</v>
      </c>
      <c r="F1505" s="52" t="s">
        <v>761</v>
      </c>
      <c r="G1505" s="25">
        <f t="shared" si="21"/>
        <v>1.4060293767076848E-2</v>
      </c>
    </row>
    <row r="1506" spans="1:7">
      <c r="A1506" s="52">
        <v>65.146000000000001</v>
      </c>
      <c r="B1506" s="52">
        <v>65.472999999999999</v>
      </c>
      <c r="C1506" s="52">
        <v>64.389200000000002</v>
      </c>
      <c r="D1506" s="52">
        <v>64.441900000000004</v>
      </c>
      <c r="E1506" s="52">
        <v>29000780</v>
      </c>
      <c r="F1506" s="52" t="s">
        <v>760</v>
      </c>
      <c r="G1506" s="25">
        <f t="shared" si="21"/>
        <v>1.092612104857249E-2</v>
      </c>
    </row>
    <row r="1507" spans="1:7">
      <c r="A1507" s="52">
        <v>64.500600000000006</v>
      </c>
      <c r="B1507" s="52">
        <v>64.816100000000006</v>
      </c>
      <c r="C1507" s="52">
        <v>64.299899999999994</v>
      </c>
      <c r="D1507" s="52">
        <v>64.351299999999995</v>
      </c>
      <c r="E1507" s="52">
        <v>18721700</v>
      </c>
      <c r="F1507" s="52" t="s">
        <v>759</v>
      </c>
      <c r="G1507" s="25">
        <f t="shared" si="21"/>
        <v>2.3200774498730592E-3</v>
      </c>
    </row>
    <row r="1508" spans="1:7">
      <c r="A1508" s="52">
        <v>64.551900000000003</v>
      </c>
      <c r="B1508" s="52">
        <v>65.156000000000006</v>
      </c>
      <c r="C1508" s="52">
        <v>64.4041</v>
      </c>
      <c r="D1508" s="52">
        <v>64.619600000000005</v>
      </c>
      <c r="E1508" s="52">
        <v>28886840</v>
      </c>
      <c r="F1508" s="52" t="s">
        <v>758</v>
      </c>
      <c r="G1508" s="25">
        <f t="shared" si="21"/>
        <v>-1.0476697472593388E-3</v>
      </c>
    </row>
    <row r="1509" spans="1:7">
      <c r="A1509" s="52">
        <v>64.605099999999993</v>
      </c>
      <c r="B1509" s="52">
        <v>64.934600000000003</v>
      </c>
      <c r="C1509" s="52">
        <v>64.485200000000006</v>
      </c>
      <c r="D1509" s="52">
        <v>64.889799999999994</v>
      </c>
      <c r="E1509" s="52">
        <v>17237200</v>
      </c>
      <c r="F1509" s="52" t="s">
        <v>757</v>
      </c>
      <c r="G1509" s="25">
        <f t="shared" si="21"/>
        <v>-4.3874383955567753E-3</v>
      </c>
    </row>
    <row r="1510" spans="1:7">
      <c r="A1510" s="52">
        <v>65.138599999999997</v>
      </c>
      <c r="B1510" s="52">
        <v>65.542100000000005</v>
      </c>
      <c r="C1510" s="52">
        <v>64.766400000000004</v>
      </c>
      <c r="D1510" s="52">
        <v>64.766400000000004</v>
      </c>
      <c r="E1510" s="52">
        <v>30437840</v>
      </c>
      <c r="F1510" s="52" t="s">
        <v>756</v>
      </c>
      <c r="G1510" s="25">
        <f t="shared" si="21"/>
        <v>5.7468069863384486E-3</v>
      </c>
    </row>
    <row r="1511" spans="1:7">
      <c r="A1511" s="52">
        <v>65.036100000000005</v>
      </c>
      <c r="B1511" s="52">
        <v>65.817800000000005</v>
      </c>
      <c r="C1511" s="52">
        <v>64.3797</v>
      </c>
      <c r="D1511" s="52">
        <v>64.406099999999995</v>
      </c>
      <c r="E1511" s="52">
        <v>45140100</v>
      </c>
      <c r="F1511" s="52" t="s">
        <v>755</v>
      </c>
      <c r="G1511" s="25">
        <f t="shared" si="21"/>
        <v>9.7816821698566425E-3</v>
      </c>
    </row>
    <row r="1512" spans="1:7">
      <c r="A1512" s="52">
        <v>64.243399999999994</v>
      </c>
      <c r="B1512" s="52">
        <v>64.341899999999995</v>
      </c>
      <c r="C1512" s="52">
        <v>63.808399999999999</v>
      </c>
      <c r="D1512" s="52">
        <v>64.197599999999994</v>
      </c>
      <c r="E1512" s="52">
        <v>24625300</v>
      </c>
      <c r="F1512" s="52" t="s">
        <v>754</v>
      </c>
      <c r="G1512" s="25">
        <f t="shared" si="21"/>
        <v>7.1342230862203593E-4</v>
      </c>
    </row>
    <row r="1513" spans="1:7">
      <c r="A1513" s="52">
        <v>64.264799999999994</v>
      </c>
      <c r="B1513" s="52">
        <v>64.553399999999996</v>
      </c>
      <c r="C1513" s="52">
        <v>64.162199999999999</v>
      </c>
      <c r="D1513" s="52">
        <v>64.252799999999993</v>
      </c>
      <c r="E1513" s="52">
        <v>25148540</v>
      </c>
      <c r="F1513" s="52" t="s">
        <v>753</v>
      </c>
      <c r="G1513" s="25">
        <f t="shared" si="21"/>
        <v>1.8676228895864178E-4</v>
      </c>
    </row>
    <row r="1514" spans="1:7">
      <c r="A1514" s="52">
        <v>64.173699999999997</v>
      </c>
      <c r="B1514" s="52">
        <v>64.317499999999995</v>
      </c>
      <c r="C1514" s="52">
        <v>63.501899999999999</v>
      </c>
      <c r="D1514" s="52">
        <v>63.501899999999999</v>
      </c>
      <c r="E1514" s="52">
        <v>30632440</v>
      </c>
      <c r="F1514" s="52" t="s">
        <v>752</v>
      </c>
      <c r="G1514" s="25">
        <f t="shared" si="21"/>
        <v>1.0579211015733447E-2</v>
      </c>
    </row>
    <row r="1515" spans="1:7">
      <c r="A1515" s="52">
        <v>63.309800000000003</v>
      </c>
      <c r="B1515" s="52">
        <v>63.347099999999998</v>
      </c>
      <c r="C1515" s="52">
        <v>62.6858</v>
      </c>
      <c r="D1515" s="52">
        <v>62.988900000000001</v>
      </c>
      <c r="E1515" s="52">
        <v>28812140</v>
      </c>
      <c r="F1515" s="52" t="s">
        <v>751</v>
      </c>
      <c r="G1515" s="25">
        <f t="shared" si="21"/>
        <v>5.0945484045601397E-3</v>
      </c>
    </row>
    <row r="1516" spans="1:7">
      <c r="A1516" s="52">
        <v>62.640500000000003</v>
      </c>
      <c r="B1516" s="52">
        <v>63.024500000000003</v>
      </c>
      <c r="C1516" s="52">
        <v>62.176699999999997</v>
      </c>
      <c r="D1516" s="52">
        <v>62.700200000000002</v>
      </c>
      <c r="E1516" s="52">
        <v>31903080</v>
      </c>
      <c r="F1516" s="52" t="s">
        <v>750</v>
      </c>
      <c r="G1516" s="25">
        <f t="shared" si="21"/>
        <v>-9.521500728865151E-4</v>
      </c>
    </row>
    <row r="1517" spans="1:7">
      <c r="A1517" s="52">
        <v>62.735100000000003</v>
      </c>
      <c r="B1517" s="52">
        <v>63.0991</v>
      </c>
      <c r="C1517" s="52">
        <v>62.234999999999999</v>
      </c>
      <c r="D1517" s="52">
        <v>62.4589</v>
      </c>
      <c r="E1517" s="52">
        <v>29203860</v>
      </c>
      <c r="F1517" s="52" t="s">
        <v>749</v>
      </c>
      <c r="G1517" s="25">
        <f t="shared" si="21"/>
        <v>4.4221079782065242E-3</v>
      </c>
    </row>
    <row r="1518" spans="1:7">
      <c r="A1518" s="52">
        <v>62.7331</v>
      </c>
      <c r="B1518" s="52">
        <v>63.735300000000002</v>
      </c>
      <c r="C1518" s="52">
        <v>62.4818</v>
      </c>
      <c r="D1518" s="52">
        <v>63.496400000000001</v>
      </c>
      <c r="E1518" s="52">
        <v>52654300</v>
      </c>
      <c r="F1518" s="52" t="s">
        <v>748</v>
      </c>
      <c r="G1518" s="25">
        <f t="shared" si="21"/>
        <v>-1.2021153955184882E-2</v>
      </c>
    </row>
    <row r="1519" spans="1:7">
      <c r="A1519" s="52">
        <v>64.142300000000006</v>
      </c>
      <c r="B1519" s="52">
        <v>64.652900000000002</v>
      </c>
      <c r="C1519" s="52">
        <v>63.312800000000003</v>
      </c>
      <c r="D1519" s="52">
        <v>63.4467</v>
      </c>
      <c r="E1519" s="52">
        <v>65428220</v>
      </c>
      <c r="F1519" s="52" t="s">
        <v>747</v>
      </c>
      <c r="G1519" s="25">
        <f t="shared" si="21"/>
        <v>1.0963533170361917E-2</v>
      </c>
    </row>
    <row r="1520" spans="1:7">
      <c r="A1520" s="52">
        <v>62.914200000000001</v>
      </c>
      <c r="B1520" s="52">
        <v>63.098300000000002</v>
      </c>
      <c r="C1520" s="52">
        <v>62.160299999999999</v>
      </c>
      <c r="D1520" s="52">
        <v>62.302100000000003</v>
      </c>
      <c r="E1520" s="52">
        <v>27104960</v>
      </c>
      <c r="F1520" s="52" t="s">
        <v>746</v>
      </c>
      <c r="G1520" s="25">
        <f t="shared" si="21"/>
        <v>9.8247089584460046E-3</v>
      </c>
    </row>
    <row r="1521" spans="1:7">
      <c r="A1521" s="52">
        <v>62.655900000000003</v>
      </c>
      <c r="B1521" s="52">
        <v>62.844499999999996</v>
      </c>
      <c r="C1521" s="52">
        <v>62.319600000000001</v>
      </c>
      <c r="D1521" s="52">
        <v>62.655900000000003</v>
      </c>
      <c r="E1521" s="52">
        <v>22809560</v>
      </c>
      <c r="F1521" s="52" t="s">
        <v>745</v>
      </c>
      <c r="G1521" s="25">
        <f t="shared" si="21"/>
        <v>0</v>
      </c>
    </row>
    <row r="1522" spans="1:7">
      <c r="A1522" s="52">
        <v>62.582299999999996</v>
      </c>
      <c r="B1522" s="52">
        <v>62.602699999999999</v>
      </c>
      <c r="C1522" s="52">
        <v>61.715400000000002</v>
      </c>
      <c r="D1522" s="52">
        <v>61.715400000000002</v>
      </c>
      <c r="E1522" s="52">
        <v>23525620</v>
      </c>
      <c r="F1522" s="52" t="s">
        <v>744</v>
      </c>
      <c r="G1522" s="25">
        <f t="shared" si="21"/>
        <v>1.4046737119098207E-2</v>
      </c>
    </row>
    <row r="1523" spans="1:7">
      <c r="A1523" s="52">
        <v>61.764699999999998</v>
      </c>
      <c r="B1523" s="52">
        <v>62.139400000000002</v>
      </c>
      <c r="C1523" s="52">
        <v>61.697499999999998</v>
      </c>
      <c r="D1523" s="52">
        <v>61.927900000000001</v>
      </c>
      <c r="E1523" s="52">
        <v>25636420</v>
      </c>
      <c r="F1523" s="52" t="s">
        <v>743</v>
      </c>
      <c r="G1523" s="25">
        <f t="shared" si="21"/>
        <v>-2.6353226897731785E-3</v>
      </c>
    </row>
    <row r="1524" spans="1:7">
      <c r="A1524" s="52">
        <v>61.917999999999999</v>
      </c>
      <c r="B1524" s="52">
        <v>62.377299999999998</v>
      </c>
      <c r="C1524" s="52">
        <v>61.704500000000003</v>
      </c>
      <c r="D1524" s="52">
        <v>62.137900000000002</v>
      </c>
      <c r="E1524" s="52">
        <v>20601700</v>
      </c>
      <c r="F1524" s="52" t="s">
        <v>742</v>
      </c>
      <c r="G1524" s="25">
        <f t="shared" si="21"/>
        <v>-3.538902988353354E-3</v>
      </c>
    </row>
    <row r="1525" spans="1:7">
      <c r="A1525" s="52">
        <v>61.924399999999999</v>
      </c>
      <c r="B1525" s="52">
        <v>62.606200000000001</v>
      </c>
      <c r="C1525" s="52">
        <v>61.712000000000003</v>
      </c>
      <c r="D1525" s="52">
        <v>62.436</v>
      </c>
      <c r="E1525" s="52">
        <v>31646400</v>
      </c>
      <c r="F1525" s="52" t="s">
        <v>741</v>
      </c>
      <c r="G1525" s="25">
        <f t="shared" si="21"/>
        <v>-8.1939906464220114E-3</v>
      </c>
    </row>
    <row r="1526" spans="1:7">
      <c r="A1526" s="52">
        <v>62.341900000000003</v>
      </c>
      <c r="B1526" s="52">
        <v>62.886800000000001</v>
      </c>
      <c r="C1526" s="52">
        <v>62.196100000000001</v>
      </c>
      <c r="D1526" s="52">
        <v>62.272300000000001</v>
      </c>
      <c r="E1526" s="52">
        <v>21279620</v>
      </c>
      <c r="F1526" s="52" t="s">
        <v>740</v>
      </c>
      <c r="G1526" s="25">
        <f t="shared" si="21"/>
        <v>1.1176719022742976E-3</v>
      </c>
    </row>
    <row r="1527" spans="1:7">
      <c r="A1527" s="52">
        <v>61.854300000000002</v>
      </c>
      <c r="B1527" s="52">
        <v>62.411099999999998</v>
      </c>
      <c r="C1527" s="52">
        <v>61.631799999999998</v>
      </c>
      <c r="D1527" s="52">
        <v>61.795099999999998</v>
      </c>
      <c r="E1527" s="52">
        <v>23020560</v>
      </c>
      <c r="F1527" s="52" t="s">
        <v>739</v>
      </c>
      <c r="G1527" s="25">
        <f t="shared" si="21"/>
        <v>9.58004760895248E-4</v>
      </c>
    </row>
    <row r="1528" spans="1:7">
      <c r="A1528" s="52">
        <v>61.816499999999998</v>
      </c>
      <c r="B1528" s="52">
        <v>62.0595</v>
      </c>
      <c r="C1528" s="52">
        <v>60.755499999999998</v>
      </c>
      <c r="D1528" s="52">
        <v>60.784399999999998</v>
      </c>
      <c r="E1528" s="52">
        <v>30544320</v>
      </c>
      <c r="F1528" s="52" t="s">
        <v>738</v>
      </c>
      <c r="G1528" s="25">
        <f t="shared" si="21"/>
        <v>1.6979685577220405E-2</v>
      </c>
    </row>
    <row r="1529" spans="1:7">
      <c r="A1529" s="52">
        <v>60.598799999999997</v>
      </c>
      <c r="B1529" s="52">
        <v>61.002400000000002</v>
      </c>
      <c r="C1529" s="52">
        <v>60.305700000000002</v>
      </c>
      <c r="D1529" s="52">
        <v>60.405700000000003</v>
      </c>
      <c r="E1529" s="52">
        <v>13678520</v>
      </c>
      <c r="F1529" s="52" t="s">
        <v>737</v>
      </c>
      <c r="G1529" s="25">
        <f t="shared" si="21"/>
        <v>3.1967181905017128E-3</v>
      </c>
    </row>
    <row r="1530" spans="1:7">
      <c r="A1530" s="52">
        <v>60.496299999999998</v>
      </c>
      <c r="B1530" s="52">
        <v>61.145200000000003</v>
      </c>
      <c r="C1530" s="52">
        <v>60.3932</v>
      </c>
      <c r="D1530" s="52">
        <v>60.910299999999999</v>
      </c>
      <c r="E1530" s="52">
        <v>22529040</v>
      </c>
      <c r="F1530" s="52" t="s">
        <v>736</v>
      </c>
      <c r="G1530" s="25">
        <f t="shared" si="21"/>
        <v>-6.7968800022327747E-3</v>
      </c>
    </row>
    <row r="1531" spans="1:7">
      <c r="A1531" s="52">
        <v>60.1858</v>
      </c>
      <c r="B1531" s="52">
        <v>60.491799999999998</v>
      </c>
      <c r="C1531" s="52">
        <v>59.607999999999997</v>
      </c>
      <c r="D1531" s="52">
        <v>59.644799999999996</v>
      </c>
      <c r="E1531" s="52">
        <v>13364880</v>
      </c>
      <c r="F1531" s="52" t="s">
        <v>735</v>
      </c>
      <c r="G1531" s="25">
        <f t="shared" ref="G1531:G1594" si="22">A1531/D1531-1</f>
        <v>9.0703632169109039E-3</v>
      </c>
    </row>
    <row r="1532" spans="1:7">
      <c r="A1532" s="52">
        <v>59.8339</v>
      </c>
      <c r="B1532" s="52">
        <v>60.1355</v>
      </c>
      <c r="C1532" s="52">
        <v>59.620699999999999</v>
      </c>
      <c r="D1532" s="52">
        <v>59.780700000000003</v>
      </c>
      <c r="E1532" s="52">
        <v>16264320</v>
      </c>
      <c r="F1532" s="52" t="s">
        <v>734</v>
      </c>
      <c r="G1532" s="25">
        <f t="shared" si="22"/>
        <v>8.8991932178772437E-4</v>
      </c>
    </row>
    <row r="1533" spans="1:7">
      <c r="A1533" s="52">
        <v>59.223399999999998</v>
      </c>
      <c r="B1533" s="52">
        <v>60.0563</v>
      </c>
      <c r="C1533" s="52">
        <v>59.191000000000003</v>
      </c>
      <c r="D1533" s="52">
        <v>59.653300000000002</v>
      </c>
      <c r="E1533" s="52">
        <v>20648520</v>
      </c>
      <c r="F1533" s="52" t="s">
        <v>733</v>
      </c>
      <c r="G1533" s="25">
        <f t="shared" si="22"/>
        <v>-7.2066423818968328E-3</v>
      </c>
    </row>
    <row r="1534" spans="1:7">
      <c r="A1534" s="52">
        <v>60.125</v>
      </c>
      <c r="B1534" s="52">
        <v>60.655500000000004</v>
      </c>
      <c r="C1534" s="52">
        <v>59.9315</v>
      </c>
      <c r="D1534" s="52">
        <v>60.062800000000003</v>
      </c>
      <c r="E1534" s="52">
        <v>17580400</v>
      </c>
      <c r="F1534" s="52" t="s">
        <v>732</v>
      </c>
      <c r="G1534" s="25">
        <f t="shared" si="22"/>
        <v>1.0355827567145592E-3</v>
      </c>
    </row>
    <row r="1535" spans="1:7">
      <c r="A1535" s="52">
        <v>60.259900000000002</v>
      </c>
      <c r="B1535" s="52">
        <v>60.334499999999998</v>
      </c>
      <c r="C1535" s="52">
        <v>59.2652</v>
      </c>
      <c r="D1535" s="52">
        <v>59.430399999999999</v>
      </c>
      <c r="E1535" s="52">
        <v>24573720</v>
      </c>
      <c r="F1535" s="52" t="s">
        <v>731</v>
      </c>
      <c r="G1535" s="25">
        <f t="shared" si="22"/>
        <v>1.3957503230669799E-2</v>
      </c>
    </row>
    <row r="1536" spans="1:7">
      <c r="A1536" s="52">
        <v>59.188499999999998</v>
      </c>
      <c r="B1536" s="52">
        <v>59.266599999999997</v>
      </c>
      <c r="C1536" s="52">
        <v>57.880299999999998</v>
      </c>
      <c r="D1536" s="52">
        <v>58.8855</v>
      </c>
      <c r="E1536" s="52">
        <v>29388260</v>
      </c>
      <c r="F1536" s="52" t="s">
        <v>730</v>
      </c>
      <c r="G1536" s="25">
        <f t="shared" si="22"/>
        <v>5.1455791323840039E-3</v>
      </c>
    </row>
    <row r="1537" spans="1:7">
      <c r="A1537" s="52">
        <v>58.6158</v>
      </c>
      <c r="B1537" s="52">
        <v>59.652799999999999</v>
      </c>
      <c r="C1537" s="52">
        <v>58.352499999999999</v>
      </c>
      <c r="D1537" s="52">
        <v>59.540300000000002</v>
      </c>
      <c r="E1537" s="52">
        <v>33495480</v>
      </c>
      <c r="F1537" s="52" t="s">
        <v>729</v>
      </c>
      <c r="G1537" s="25">
        <f t="shared" si="22"/>
        <v>-1.5527298317274174E-2</v>
      </c>
    </row>
    <row r="1538" spans="1:7">
      <c r="A1538" s="52">
        <v>60.013100000000001</v>
      </c>
      <c r="B1538" s="52">
        <v>61.349600000000002</v>
      </c>
      <c r="C1538" s="52">
        <v>59.990699999999997</v>
      </c>
      <c r="D1538" s="52">
        <v>60.8337</v>
      </c>
      <c r="E1538" s="52">
        <v>25654700</v>
      </c>
      <c r="F1538" s="52" t="s">
        <v>728</v>
      </c>
      <c r="G1538" s="25">
        <f t="shared" si="22"/>
        <v>-1.3489233763522512E-2</v>
      </c>
    </row>
    <row r="1539" spans="1:7">
      <c r="A1539" s="52">
        <v>60.766500000000001</v>
      </c>
      <c r="B1539" s="52">
        <v>61.078200000000002</v>
      </c>
      <c r="C1539" s="52">
        <v>60.382300000000001</v>
      </c>
      <c r="D1539" s="52">
        <v>60.739600000000003</v>
      </c>
      <c r="E1539" s="52">
        <v>25892180</v>
      </c>
      <c r="F1539" s="52" t="s">
        <v>727</v>
      </c>
      <c r="G1539" s="25">
        <f t="shared" si="22"/>
        <v>4.4287417105137727E-4</v>
      </c>
    </row>
    <row r="1540" spans="1:7">
      <c r="A1540" s="52">
        <v>61.005800000000001</v>
      </c>
      <c r="B1540" s="52">
        <v>61.953299999999999</v>
      </c>
      <c r="C1540" s="52">
        <v>60.4709</v>
      </c>
      <c r="D1540" s="52">
        <v>61.845799999999997</v>
      </c>
      <c r="E1540" s="52">
        <v>34449620</v>
      </c>
      <c r="F1540" s="52" t="s">
        <v>726</v>
      </c>
      <c r="G1540" s="25">
        <f t="shared" si="22"/>
        <v>-1.3582167261155909E-2</v>
      </c>
    </row>
    <row r="1541" spans="1:7">
      <c r="A1541" s="52">
        <v>61.818899999999999</v>
      </c>
      <c r="B1541" s="52">
        <v>61.937399999999997</v>
      </c>
      <c r="C1541" s="52">
        <v>61.297899999999998</v>
      </c>
      <c r="D1541" s="52">
        <v>61.811500000000002</v>
      </c>
      <c r="E1541" s="52">
        <v>23431540</v>
      </c>
      <c r="F1541" s="52" t="s">
        <v>725</v>
      </c>
      <c r="G1541" s="25">
        <f t="shared" si="22"/>
        <v>1.1971882254924182E-4</v>
      </c>
    </row>
    <row r="1542" spans="1:7">
      <c r="A1542" s="52">
        <v>62.000599999999999</v>
      </c>
      <c r="B1542" s="52">
        <v>62.104100000000003</v>
      </c>
      <c r="C1542" s="52">
        <v>60.1723</v>
      </c>
      <c r="D1542" s="52">
        <v>60.511200000000002</v>
      </c>
      <c r="E1542" s="52">
        <v>27103240</v>
      </c>
      <c r="F1542" s="52" t="s">
        <v>724</v>
      </c>
      <c r="G1542" s="25">
        <f t="shared" si="22"/>
        <v>2.4613625246235449E-2</v>
      </c>
    </row>
    <row r="1543" spans="1:7">
      <c r="A1543" s="52">
        <v>60.626600000000003</v>
      </c>
      <c r="B1543" s="52">
        <v>62.058799999999998</v>
      </c>
      <c r="C1543" s="52">
        <v>60.244199999999999</v>
      </c>
      <c r="D1543" s="52">
        <v>61.704999999999998</v>
      </c>
      <c r="E1543" s="52">
        <v>36714240</v>
      </c>
      <c r="F1543" s="52" t="s">
        <v>723</v>
      </c>
      <c r="G1543" s="25">
        <f t="shared" si="22"/>
        <v>-1.7476703670691096E-2</v>
      </c>
    </row>
    <row r="1544" spans="1:7">
      <c r="A1544" s="52">
        <v>61.440800000000003</v>
      </c>
      <c r="B1544" s="52">
        <v>61.689100000000003</v>
      </c>
      <c r="C1544" s="52">
        <v>60.898000000000003</v>
      </c>
      <c r="D1544" s="52">
        <v>61.036700000000003</v>
      </c>
      <c r="E1544" s="52">
        <v>23941380</v>
      </c>
      <c r="F1544" s="52" t="s">
        <v>722</v>
      </c>
      <c r="G1544" s="25">
        <f t="shared" si="22"/>
        <v>6.6206069463126127E-3</v>
      </c>
    </row>
    <row r="1545" spans="1:7">
      <c r="A1545" s="52">
        <v>61.199399999999997</v>
      </c>
      <c r="B1545" s="52">
        <v>61.844299999999997</v>
      </c>
      <c r="C1545" s="52">
        <v>60.887900000000002</v>
      </c>
      <c r="D1545" s="52">
        <v>61.388500000000001</v>
      </c>
      <c r="E1545" s="52">
        <v>38754860</v>
      </c>
      <c r="F1545" s="52" t="s">
        <v>721</v>
      </c>
      <c r="G1545" s="25">
        <f t="shared" si="22"/>
        <v>-3.0803815046792637E-3</v>
      </c>
    </row>
    <row r="1546" spans="1:7">
      <c r="A1546" s="52">
        <v>61.642800000000001</v>
      </c>
      <c r="B1546" s="52">
        <v>61.920999999999999</v>
      </c>
      <c r="C1546" s="52">
        <v>61.322299999999998</v>
      </c>
      <c r="D1546" s="52">
        <v>61.322800000000001</v>
      </c>
      <c r="E1546" s="52">
        <v>16940040</v>
      </c>
      <c r="F1546" s="52" t="s">
        <v>720</v>
      </c>
      <c r="G1546" s="25">
        <f t="shared" si="22"/>
        <v>5.2182874885033925E-3</v>
      </c>
    </row>
    <row r="1547" spans="1:7">
      <c r="A1547" s="52">
        <v>61.339199999999998</v>
      </c>
      <c r="B1547" s="52">
        <v>61.517899999999997</v>
      </c>
      <c r="C1547" s="52">
        <v>60.534100000000002</v>
      </c>
      <c r="D1547" s="52">
        <v>61.219299999999997</v>
      </c>
      <c r="E1547" s="52">
        <v>17855760</v>
      </c>
      <c r="F1547" s="52" t="s">
        <v>719</v>
      </c>
      <c r="G1547" s="25">
        <f t="shared" si="22"/>
        <v>1.9585326849540508E-3</v>
      </c>
    </row>
    <row r="1548" spans="1:7">
      <c r="A1548" s="52">
        <v>61.2014</v>
      </c>
      <c r="B1548" s="52">
        <v>61.456200000000003</v>
      </c>
      <c r="C1548" s="52">
        <v>60.8765</v>
      </c>
      <c r="D1548" s="52">
        <v>61.288499999999999</v>
      </c>
      <c r="E1548" s="52">
        <v>20944020</v>
      </c>
      <c r="F1548" s="52" t="s">
        <v>718</v>
      </c>
      <c r="G1548" s="25">
        <f t="shared" si="22"/>
        <v>-1.4211475235974547E-3</v>
      </c>
    </row>
    <row r="1549" spans="1:7">
      <c r="A1549" s="52">
        <v>61.288499999999999</v>
      </c>
      <c r="B1549" s="52">
        <v>61.656199999999998</v>
      </c>
      <c r="C1549" s="52">
        <v>60.968000000000004</v>
      </c>
      <c r="D1549" s="52">
        <v>61.229300000000002</v>
      </c>
      <c r="E1549" s="52">
        <v>28217600</v>
      </c>
      <c r="F1549" s="52" t="s">
        <v>717</v>
      </c>
      <c r="G1549" s="25">
        <f t="shared" si="22"/>
        <v>9.6685737057256027E-4</v>
      </c>
    </row>
    <row r="1550" spans="1:7">
      <c r="A1550" s="52">
        <v>61.706499999999998</v>
      </c>
      <c r="B1550" s="52">
        <v>61.757199999999997</v>
      </c>
      <c r="C1550" s="52">
        <v>61.062100000000001</v>
      </c>
      <c r="D1550" s="52">
        <v>61.312399999999997</v>
      </c>
      <c r="E1550" s="52">
        <v>23675240</v>
      </c>
      <c r="F1550" s="52" t="s">
        <v>716</v>
      </c>
      <c r="G1550" s="25">
        <f t="shared" si="22"/>
        <v>6.4277372929457677E-3</v>
      </c>
    </row>
    <row r="1551" spans="1:7">
      <c r="A1551" s="52">
        <v>61.454700000000003</v>
      </c>
      <c r="B1551" s="52">
        <v>61.825200000000002</v>
      </c>
      <c r="C1551" s="52">
        <v>60.8371</v>
      </c>
      <c r="D1551" s="52">
        <v>60.882399999999997</v>
      </c>
      <c r="E1551" s="52">
        <v>31644600</v>
      </c>
      <c r="F1551" s="52" t="s">
        <v>715</v>
      </c>
      <c r="G1551" s="25">
        <f t="shared" si="22"/>
        <v>9.4000893525880702E-3</v>
      </c>
    </row>
    <row r="1552" spans="1:7">
      <c r="A1552" s="52">
        <v>60.709699999999998</v>
      </c>
      <c r="B1552" s="52">
        <v>60.832700000000003</v>
      </c>
      <c r="C1552" s="52">
        <v>59.8277</v>
      </c>
      <c r="D1552" s="52">
        <v>59.908099999999997</v>
      </c>
      <c r="E1552" s="52">
        <v>23521320</v>
      </c>
      <c r="F1552" s="52" t="s">
        <v>714</v>
      </c>
      <c r="G1552" s="25">
        <f t="shared" si="22"/>
        <v>1.3380494457343906E-2</v>
      </c>
    </row>
    <row r="1553" spans="1:7">
      <c r="A1553" s="52">
        <v>59.998199999999997</v>
      </c>
      <c r="B1553" s="52">
        <v>60.2121</v>
      </c>
      <c r="C1553" s="52">
        <v>59.515999999999998</v>
      </c>
      <c r="D1553" s="52">
        <v>59.5199</v>
      </c>
      <c r="E1553" s="52">
        <v>27921540</v>
      </c>
      <c r="F1553" s="52" t="s">
        <v>713</v>
      </c>
      <c r="G1553" s="25">
        <f t="shared" si="22"/>
        <v>8.0359678023651515E-3</v>
      </c>
    </row>
    <row r="1554" spans="1:7">
      <c r="A1554" s="52">
        <v>59.976799999999997</v>
      </c>
      <c r="B1554" s="52">
        <v>60.737099999999998</v>
      </c>
      <c r="C1554" s="52">
        <v>59.374600000000001</v>
      </c>
      <c r="D1554" s="52">
        <v>60.066800000000001</v>
      </c>
      <c r="E1554" s="52">
        <v>31859160</v>
      </c>
      <c r="F1554" s="52" t="s">
        <v>712</v>
      </c>
      <c r="G1554" s="25">
        <f t="shared" si="22"/>
        <v>-1.4983318571990534E-3</v>
      </c>
    </row>
    <row r="1555" spans="1:7">
      <c r="A1555" s="52">
        <v>60.029000000000003</v>
      </c>
      <c r="B1555" s="52">
        <v>60.358699999999999</v>
      </c>
      <c r="C1555" s="52">
        <v>59.8767</v>
      </c>
      <c r="D1555" s="52">
        <v>60.1693</v>
      </c>
      <c r="E1555" s="52">
        <v>18971600</v>
      </c>
      <c r="F1555" s="52" t="s">
        <v>711</v>
      </c>
      <c r="G1555" s="25">
        <f t="shared" si="22"/>
        <v>-2.3317539010757615E-3</v>
      </c>
    </row>
    <row r="1556" spans="1:7">
      <c r="A1556" s="52">
        <v>60.321100000000001</v>
      </c>
      <c r="B1556" s="52">
        <v>60.411200000000001</v>
      </c>
      <c r="C1556" s="52">
        <v>59.350700000000003</v>
      </c>
      <c r="D1556" s="52">
        <v>59.399000000000001</v>
      </c>
      <c r="E1556" s="52">
        <v>26413120</v>
      </c>
      <c r="F1556" s="52" t="s">
        <v>710</v>
      </c>
      <c r="G1556" s="25">
        <f t="shared" si="22"/>
        <v>1.5523830367514702E-2</v>
      </c>
    </row>
    <row r="1557" spans="1:7">
      <c r="A1557" s="52">
        <v>58.8322</v>
      </c>
      <c r="B1557" s="52">
        <v>58.9621</v>
      </c>
      <c r="C1557" s="52">
        <v>58.297800000000002</v>
      </c>
      <c r="D1557" s="52">
        <v>58.691899999999997</v>
      </c>
      <c r="E1557" s="52">
        <v>21313320</v>
      </c>
      <c r="F1557" s="52" t="s">
        <v>709</v>
      </c>
      <c r="G1557" s="25">
        <f t="shared" si="22"/>
        <v>2.3904491079689283E-3</v>
      </c>
    </row>
    <row r="1558" spans="1:7">
      <c r="A1558" s="52">
        <v>58.199300000000001</v>
      </c>
      <c r="B1558" s="52">
        <v>59.171100000000003</v>
      </c>
      <c r="C1558" s="52">
        <v>57.908900000000003</v>
      </c>
      <c r="D1558" s="52">
        <v>58.811300000000003</v>
      </c>
      <c r="E1558" s="52">
        <v>25922320</v>
      </c>
      <c r="F1558" s="52" t="s">
        <v>708</v>
      </c>
      <c r="G1558" s="25">
        <f t="shared" si="22"/>
        <v>-1.0406163441379457E-2</v>
      </c>
    </row>
    <row r="1559" spans="1:7">
      <c r="A1559" s="52">
        <v>59.243299999999998</v>
      </c>
      <c r="B1559" s="52">
        <v>59.731900000000003</v>
      </c>
      <c r="C1559" s="52">
        <v>59.003900000000002</v>
      </c>
      <c r="D1559" s="52">
        <v>59.731900000000003</v>
      </c>
      <c r="E1559" s="52">
        <v>18067500</v>
      </c>
      <c r="F1559" s="52" t="s">
        <v>707</v>
      </c>
      <c r="G1559" s="25">
        <f t="shared" si="22"/>
        <v>-8.1798837806934532E-3</v>
      </c>
    </row>
    <row r="1560" spans="1:7">
      <c r="A1560" s="52">
        <v>59.427900000000001</v>
      </c>
      <c r="B1560" s="52">
        <v>59.674199999999999</v>
      </c>
      <c r="C1560" s="52">
        <v>58.981999999999999</v>
      </c>
      <c r="D1560" s="52">
        <v>59.038699999999999</v>
      </c>
      <c r="E1560" s="52">
        <v>19641960</v>
      </c>
      <c r="F1560" s="52" t="s">
        <v>706</v>
      </c>
      <c r="G1560" s="25">
        <f t="shared" si="22"/>
        <v>6.592286076759768E-3</v>
      </c>
    </row>
    <row r="1561" spans="1:7">
      <c r="A1561" s="52">
        <v>58.408299999999997</v>
      </c>
      <c r="B1561" s="52">
        <v>58.644599999999997</v>
      </c>
      <c r="C1561" s="52">
        <v>57.736499999999999</v>
      </c>
      <c r="D1561" s="52">
        <v>57.9664</v>
      </c>
      <c r="E1561" s="52">
        <v>16816580</v>
      </c>
      <c r="F1561" s="52" t="s">
        <v>705</v>
      </c>
      <c r="G1561" s="25">
        <f t="shared" si="22"/>
        <v>7.6233818211928206E-3</v>
      </c>
    </row>
    <row r="1562" spans="1:7">
      <c r="A1562" s="52">
        <v>58.262500000000003</v>
      </c>
      <c r="B1562" s="52">
        <v>58.9681</v>
      </c>
      <c r="C1562" s="52">
        <v>57.950800000000001</v>
      </c>
      <c r="D1562" s="52">
        <v>58.868600000000001</v>
      </c>
      <c r="E1562" s="52">
        <v>23469780</v>
      </c>
      <c r="F1562" s="52" t="s">
        <v>704</v>
      </c>
      <c r="G1562" s="25">
        <f t="shared" si="22"/>
        <v>-1.0295811349344097E-2</v>
      </c>
    </row>
    <row r="1563" spans="1:7">
      <c r="A1563" s="52">
        <v>58.2804</v>
      </c>
      <c r="B1563" s="52">
        <v>58.3142</v>
      </c>
      <c r="C1563" s="52">
        <v>57.467500000000001</v>
      </c>
      <c r="D1563" s="52">
        <v>57.6967</v>
      </c>
      <c r="E1563" s="52">
        <v>21178520</v>
      </c>
      <c r="F1563" s="52" t="s">
        <v>703</v>
      </c>
      <c r="G1563" s="25">
        <f t="shared" si="22"/>
        <v>1.0116696448843721E-2</v>
      </c>
    </row>
    <row r="1564" spans="1:7">
      <c r="A1564" s="52">
        <v>57.404600000000002</v>
      </c>
      <c r="B1564" s="52">
        <v>59.499000000000002</v>
      </c>
      <c r="C1564" s="52">
        <v>57.226399999999998</v>
      </c>
      <c r="D1564" s="52">
        <v>58.976500000000001</v>
      </c>
      <c r="E1564" s="52">
        <v>36262820</v>
      </c>
      <c r="F1564" s="52" t="s">
        <v>702</v>
      </c>
      <c r="G1564" s="25">
        <f t="shared" si="22"/>
        <v>-2.6652988902359454E-2</v>
      </c>
    </row>
    <row r="1565" spans="1:7">
      <c r="A1565" s="52">
        <v>59.292499999999997</v>
      </c>
      <c r="B1565" s="52">
        <v>59.653799999999997</v>
      </c>
      <c r="C1565" s="52">
        <v>58.664999999999999</v>
      </c>
      <c r="D1565" s="52">
        <v>59.405999999999999</v>
      </c>
      <c r="E1565" s="52">
        <v>17358300</v>
      </c>
      <c r="F1565" s="52" t="s">
        <v>701</v>
      </c>
      <c r="G1565" s="25">
        <f t="shared" si="22"/>
        <v>-1.9105814227519113E-3</v>
      </c>
    </row>
    <row r="1566" spans="1:7">
      <c r="A1566" s="52">
        <v>59.295499999999997</v>
      </c>
      <c r="B1566" s="52">
        <v>59.742199999999997</v>
      </c>
      <c r="C1566" s="52">
        <v>59.113399999999999</v>
      </c>
      <c r="D1566" s="52">
        <v>59.506500000000003</v>
      </c>
      <c r="E1566" s="52">
        <v>14165440</v>
      </c>
      <c r="F1566" s="52" t="s">
        <v>700</v>
      </c>
      <c r="G1566" s="25">
        <f t="shared" si="22"/>
        <v>-3.5458311276920229E-3</v>
      </c>
    </row>
    <row r="1567" spans="1:7">
      <c r="A1567" s="52">
        <v>58.8949</v>
      </c>
      <c r="B1567" s="52">
        <v>59.615000000000002</v>
      </c>
      <c r="C1567" s="52">
        <v>58.870800000000003</v>
      </c>
      <c r="D1567" s="52">
        <v>59.4831</v>
      </c>
      <c r="E1567" s="52">
        <v>20211320</v>
      </c>
      <c r="F1567" s="52" t="s">
        <v>699</v>
      </c>
      <c r="G1567" s="25">
        <f t="shared" si="22"/>
        <v>-9.8885229586218593E-3</v>
      </c>
    </row>
    <row r="1568" spans="1:7">
      <c r="A1568" s="52">
        <v>59.736400000000003</v>
      </c>
      <c r="B1568" s="52">
        <v>60.181800000000003</v>
      </c>
      <c r="C1568" s="52">
        <v>59.236800000000002</v>
      </c>
      <c r="D1568" s="52">
        <v>59.308</v>
      </c>
      <c r="E1568" s="52">
        <v>24457080</v>
      </c>
      <c r="F1568" s="52" t="s">
        <v>698</v>
      </c>
      <c r="G1568" s="25">
        <f t="shared" si="22"/>
        <v>7.2233088284885394E-3</v>
      </c>
    </row>
    <row r="1569" spans="1:7">
      <c r="A1569" s="52">
        <v>58.68</v>
      </c>
      <c r="B1569" s="52">
        <v>58.910400000000003</v>
      </c>
      <c r="C1569" s="52">
        <v>58.370899999999999</v>
      </c>
      <c r="D1569" s="52">
        <v>58.758600000000001</v>
      </c>
      <c r="E1569" s="52">
        <v>25303740</v>
      </c>
      <c r="F1569" s="52" t="s">
        <v>697</v>
      </c>
      <c r="G1569" s="25">
        <f t="shared" si="22"/>
        <v>-1.3376765273509506E-3</v>
      </c>
    </row>
    <row r="1570" spans="1:7">
      <c r="A1570" s="52">
        <v>58.187800000000003</v>
      </c>
      <c r="B1570" s="52">
        <v>58.5411</v>
      </c>
      <c r="C1570" s="52">
        <v>57.8733</v>
      </c>
      <c r="D1570" s="52">
        <v>58.143500000000003</v>
      </c>
      <c r="E1570" s="52">
        <v>28614300</v>
      </c>
      <c r="F1570" s="52" t="s">
        <v>696</v>
      </c>
      <c r="G1570" s="25">
        <f t="shared" si="22"/>
        <v>7.6190803787179462E-4</v>
      </c>
    </row>
    <row r="1571" spans="1:7">
      <c r="A1571" s="52">
        <v>57.935499999999998</v>
      </c>
      <c r="B1571" s="52">
        <v>58.8581</v>
      </c>
      <c r="C1571" s="52">
        <v>57.777299999999997</v>
      </c>
      <c r="D1571" s="52">
        <v>58.523699999999998</v>
      </c>
      <c r="E1571" s="52">
        <v>35430020</v>
      </c>
      <c r="F1571" s="52" t="s">
        <v>695</v>
      </c>
      <c r="G1571" s="25">
        <f t="shared" si="22"/>
        <v>-1.0050629061388761E-2</v>
      </c>
    </row>
    <row r="1572" spans="1:7">
      <c r="A1572" s="52">
        <v>59.5518</v>
      </c>
      <c r="B1572" s="52">
        <v>59.984699999999997</v>
      </c>
      <c r="C1572" s="52">
        <v>58.370699999999999</v>
      </c>
      <c r="D1572" s="52">
        <v>58.438099999999999</v>
      </c>
      <c r="E1572" s="52">
        <v>28604800</v>
      </c>
      <c r="F1572" s="52" t="s">
        <v>694</v>
      </c>
      <c r="G1572" s="25">
        <f t="shared" si="22"/>
        <v>1.9057772241054982E-2</v>
      </c>
    </row>
    <row r="1573" spans="1:7">
      <c r="A1573" s="52">
        <v>58.445599999999999</v>
      </c>
      <c r="B1573" s="52">
        <v>59.8782</v>
      </c>
      <c r="C1573" s="52">
        <v>58.370699999999999</v>
      </c>
      <c r="D1573" s="52">
        <v>58.438099999999999</v>
      </c>
      <c r="E1573" s="52">
        <v>22064860</v>
      </c>
      <c r="F1573" s="52" t="s">
        <v>693</v>
      </c>
      <c r="G1573" s="25">
        <f t="shared" si="22"/>
        <v>1.283409282641923E-4</v>
      </c>
    </row>
    <row r="1574" spans="1:7">
      <c r="A1574" s="52">
        <v>59.162100000000002</v>
      </c>
      <c r="B1574" s="52">
        <v>59.936399999999999</v>
      </c>
      <c r="C1574" s="52">
        <v>58.962600000000002</v>
      </c>
      <c r="D1574" s="52">
        <v>59.714300000000001</v>
      </c>
      <c r="E1574" s="52">
        <v>20418900</v>
      </c>
      <c r="F1574" s="52" t="s">
        <v>692</v>
      </c>
      <c r="G1574" s="25">
        <f t="shared" si="22"/>
        <v>-9.2473662087640962E-3</v>
      </c>
    </row>
    <row r="1575" spans="1:7">
      <c r="A1575" s="52">
        <v>60.022500000000001</v>
      </c>
      <c r="B1575" s="52">
        <v>60.027000000000001</v>
      </c>
      <c r="C1575" s="52">
        <v>58.420699999999997</v>
      </c>
      <c r="D1575" s="52">
        <v>59.039200000000001</v>
      </c>
      <c r="E1575" s="52">
        <v>30116960</v>
      </c>
      <c r="F1575" s="52" t="s">
        <v>691</v>
      </c>
      <c r="G1575" s="25">
        <f t="shared" si="22"/>
        <v>1.6655035976097299E-2</v>
      </c>
    </row>
    <row r="1576" spans="1:7">
      <c r="A1576" s="52">
        <v>58.515700000000002</v>
      </c>
      <c r="B1576" s="52">
        <v>58.712800000000001</v>
      </c>
      <c r="C1576" s="52">
        <v>57.2682</v>
      </c>
      <c r="D1576" s="52">
        <v>57.6145</v>
      </c>
      <c r="E1576" s="52">
        <v>30686940</v>
      </c>
      <c r="F1576" s="52" t="s">
        <v>690</v>
      </c>
      <c r="G1576" s="25">
        <f t="shared" si="22"/>
        <v>1.5641895703338626E-2</v>
      </c>
    </row>
    <row r="1577" spans="1:7">
      <c r="A1577" s="52">
        <v>58.275399999999998</v>
      </c>
      <c r="B1577" s="52">
        <v>58.788899999999998</v>
      </c>
      <c r="C1577" s="52">
        <v>57.799900000000001</v>
      </c>
      <c r="D1577" s="52">
        <v>57.998699999999999</v>
      </c>
      <c r="E1577" s="52">
        <v>36014140</v>
      </c>
      <c r="F1577" s="52" t="s">
        <v>689</v>
      </c>
      <c r="G1577" s="25">
        <f t="shared" si="22"/>
        <v>4.7707965868200031E-3</v>
      </c>
    </row>
    <row r="1578" spans="1:7">
      <c r="A1578" s="52">
        <v>57.462800000000001</v>
      </c>
      <c r="B1578" s="52">
        <v>58.564</v>
      </c>
      <c r="C1578" s="52">
        <v>56.865600000000001</v>
      </c>
      <c r="D1578" s="52">
        <v>58.369399999999999</v>
      </c>
      <c r="E1578" s="52">
        <v>47839440</v>
      </c>
      <c r="F1578" s="52" t="s">
        <v>688</v>
      </c>
      <c r="G1578" s="25">
        <f t="shared" si="22"/>
        <v>-1.5532111003368154E-2</v>
      </c>
    </row>
    <row r="1579" spans="1:7">
      <c r="A1579" s="52">
        <v>59.531399999999998</v>
      </c>
      <c r="B1579" s="52">
        <v>60.187199999999997</v>
      </c>
      <c r="C1579" s="52">
        <v>59.216900000000003</v>
      </c>
      <c r="D1579" s="52">
        <v>59.863799999999998</v>
      </c>
      <c r="E1579" s="52">
        <v>34909000</v>
      </c>
      <c r="F1579" s="52" t="s">
        <v>687</v>
      </c>
      <c r="G1579" s="25">
        <f t="shared" si="22"/>
        <v>-5.5526044120152163E-3</v>
      </c>
    </row>
    <row r="1580" spans="1:7">
      <c r="A1580" s="52">
        <v>60.300699999999999</v>
      </c>
      <c r="B1580" s="52">
        <v>61.520800000000001</v>
      </c>
      <c r="C1580" s="52">
        <v>60.062800000000003</v>
      </c>
      <c r="D1580" s="52">
        <v>60.591799999999999</v>
      </c>
      <c r="E1580" s="52">
        <v>35425420</v>
      </c>
      <c r="F1580" s="52" t="s">
        <v>686</v>
      </c>
      <c r="G1580" s="25">
        <f t="shared" si="22"/>
        <v>-4.8042804471892797E-3</v>
      </c>
    </row>
    <row r="1581" spans="1:7">
      <c r="A1581" s="52">
        <v>60.620199999999997</v>
      </c>
      <c r="B1581" s="52">
        <v>61.451700000000002</v>
      </c>
      <c r="C1581" s="52">
        <v>60.121600000000001</v>
      </c>
      <c r="D1581" s="52">
        <v>60.952100000000002</v>
      </c>
      <c r="E1581" s="52">
        <v>39959980</v>
      </c>
      <c r="F1581" s="52" t="s">
        <v>685</v>
      </c>
      <c r="G1581" s="25">
        <f t="shared" si="22"/>
        <v>-5.4452594742430138E-3</v>
      </c>
    </row>
    <row r="1582" spans="1:7">
      <c r="A1582" s="52">
        <v>61.107799999999997</v>
      </c>
      <c r="B1582" s="52">
        <v>61.551200000000001</v>
      </c>
      <c r="C1582" s="52">
        <v>60.974499999999999</v>
      </c>
      <c r="D1582" s="52">
        <v>61.058100000000003</v>
      </c>
      <c r="E1582" s="52">
        <v>28615500</v>
      </c>
      <c r="F1582" s="52" t="s">
        <v>684</v>
      </c>
      <c r="G1582" s="25">
        <f t="shared" si="22"/>
        <v>8.1397881689726503E-4</v>
      </c>
    </row>
    <row r="1583" spans="1:7">
      <c r="A1583" s="52">
        <v>61.796599999999998</v>
      </c>
      <c r="B1583" s="52">
        <v>62.1526</v>
      </c>
      <c r="C1583" s="52">
        <v>61.217300000000002</v>
      </c>
      <c r="D1583" s="52">
        <v>61.8294</v>
      </c>
      <c r="E1583" s="52">
        <v>41382540</v>
      </c>
      <c r="F1583" s="52" t="s">
        <v>683</v>
      </c>
      <c r="G1583" s="25">
        <f t="shared" si="22"/>
        <v>-5.3049196660492903E-4</v>
      </c>
    </row>
    <row r="1584" spans="1:7">
      <c r="A1584" s="52">
        <v>61.964700000000001</v>
      </c>
      <c r="B1584" s="52">
        <v>63.117899999999999</v>
      </c>
      <c r="C1584" s="52">
        <v>61.107799999999997</v>
      </c>
      <c r="D1584" s="52">
        <v>61.107799999999997</v>
      </c>
      <c r="E1584" s="52">
        <v>121215900</v>
      </c>
      <c r="F1584" s="52" t="s">
        <v>682</v>
      </c>
      <c r="G1584" s="25">
        <f t="shared" si="22"/>
        <v>1.4022759778620886E-2</v>
      </c>
    </row>
    <row r="1585" spans="1:7">
      <c r="A1585" s="52">
        <v>56.526699999999998</v>
      </c>
      <c r="B1585" s="52">
        <v>56.907499999999999</v>
      </c>
      <c r="C1585" s="52">
        <v>55.918199999999999</v>
      </c>
      <c r="D1585" s="52">
        <v>56.676499999999997</v>
      </c>
      <c r="E1585" s="52">
        <v>54762780</v>
      </c>
      <c r="F1585" s="52" t="s">
        <v>681</v>
      </c>
      <c r="G1585" s="25">
        <f t="shared" si="22"/>
        <v>-2.6430707612502546E-3</v>
      </c>
    </row>
    <row r="1586" spans="1:7">
      <c r="A1586" s="52">
        <v>56.715299999999999</v>
      </c>
      <c r="B1586" s="52">
        <v>57.0002</v>
      </c>
      <c r="C1586" s="52">
        <v>56.156999999999996</v>
      </c>
      <c r="D1586" s="52">
        <v>56.361499999999999</v>
      </c>
      <c r="E1586" s="52">
        <v>27199120</v>
      </c>
      <c r="F1586" s="52" t="s">
        <v>680</v>
      </c>
      <c r="G1586" s="25">
        <f t="shared" si="22"/>
        <v>6.2773347054283501E-3</v>
      </c>
    </row>
    <row r="1587" spans="1:7">
      <c r="A1587" s="52">
        <v>57.129399999999997</v>
      </c>
      <c r="B1587" s="52">
        <v>57.169699999999999</v>
      </c>
      <c r="C1587" s="52">
        <v>56.372999999999998</v>
      </c>
      <c r="D1587" s="52">
        <v>56.900500000000001</v>
      </c>
      <c r="E1587" s="52">
        <v>20648760</v>
      </c>
      <c r="F1587" s="52" t="s">
        <v>679</v>
      </c>
      <c r="G1587" s="25">
        <f t="shared" si="22"/>
        <v>4.0228117503360306E-3</v>
      </c>
    </row>
    <row r="1588" spans="1:7">
      <c r="A1588" s="52">
        <v>56.689500000000002</v>
      </c>
      <c r="B1588" s="52">
        <v>56.729799999999997</v>
      </c>
      <c r="C1588" s="52">
        <v>55.992800000000003</v>
      </c>
      <c r="D1588" s="52">
        <v>56.503399999999999</v>
      </c>
      <c r="E1588" s="52">
        <v>28935140</v>
      </c>
      <c r="F1588" s="52" t="s">
        <v>678</v>
      </c>
      <c r="G1588" s="25">
        <f t="shared" si="22"/>
        <v>3.2936071103686348E-3</v>
      </c>
    </row>
    <row r="1589" spans="1:7">
      <c r="A1589" s="52">
        <v>56.308300000000003</v>
      </c>
      <c r="B1589" s="52">
        <v>57.305</v>
      </c>
      <c r="C1589" s="52">
        <v>56.293399999999998</v>
      </c>
      <c r="D1589" s="52">
        <v>57.192599999999999</v>
      </c>
      <c r="E1589" s="52">
        <v>23183060</v>
      </c>
      <c r="F1589" s="52" t="s">
        <v>677</v>
      </c>
      <c r="G1589" s="25">
        <f t="shared" si="22"/>
        <v>-1.5461790511359763E-2</v>
      </c>
    </row>
    <row r="1590" spans="1:7">
      <c r="A1590" s="52">
        <v>57.089100000000002</v>
      </c>
      <c r="B1590" s="52">
        <v>57.135300000000001</v>
      </c>
      <c r="C1590" s="52">
        <v>56.373199999999997</v>
      </c>
      <c r="D1590" s="52">
        <v>56.828299999999999</v>
      </c>
      <c r="E1590" s="52">
        <v>25475380</v>
      </c>
      <c r="F1590" s="52" t="s">
        <v>676</v>
      </c>
      <c r="G1590" s="25">
        <f t="shared" si="22"/>
        <v>4.5892627440906608E-3</v>
      </c>
    </row>
    <row r="1591" spans="1:7">
      <c r="A1591" s="52">
        <v>57.0642</v>
      </c>
      <c r="B1591" s="52">
        <v>57.6464</v>
      </c>
      <c r="C1591" s="52">
        <v>57.058199999999999</v>
      </c>
      <c r="D1591" s="52">
        <v>57.272199999999998</v>
      </c>
      <c r="E1591" s="52">
        <v>19537880</v>
      </c>
      <c r="F1591" s="52" t="s">
        <v>675</v>
      </c>
      <c r="G1591" s="25">
        <f t="shared" si="22"/>
        <v>-3.6317794671759662E-3</v>
      </c>
    </row>
    <row r="1592" spans="1:7">
      <c r="A1592" s="52">
        <v>57.398600000000002</v>
      </c>
      <c r="B1592" s="52">
        <v>57.653399999999998</v>
      </c>
      <c r="C1592" s="52">
        <v>57.063699999999997</v>
      </c>
      <c r="D1592" s="52">
        <v>57.063699999999997</v>
      </c>
      <c r="E1592" s="52">
        <v>25352820</v>
      </c>
      <c r="F1592" s="52" t="s">
        <v>674</v>
      </c>
      <c r="G1592" s="25">
        <f t="shared" si="22"/>
        <v>5.8688798658341756E-3</v>
      </c>
    </row>
    <row r="1593" spans="1:7">
      <c r="A1593" s="52">
        <v>57.251800000000003</v>
      </c>
      <c r="B1593" s="52">
        <v>57.260199999999998</v>
      </c>
      <c r="C1593" s="52">
        <v>56.7288</v>
      </c>
      <c r="D1593" s="52">
        <v>56.994500000000002</v>
      </c>
      <c r="E1593" s="52">
        <v>21168620</v>
      </c>
      <c r="F1593" s="52" t="s">
        <v>673</v>
      </c>
      <c r="G1593" s="25">
        <f t="shared" si="22"/>
        <v>4.5144706945408064E-3</v>
      </c>
    </row>
    <row r="1594" spans="1:7">
      <c r="A1594" s="52">
        <v>56.994500000000002</v>
      </c>
      <c r="B1594" s="52">
        <v>57.101999999999997</v>
      </c>
      <c r="C1594" s="52">
        <v>56.6571</v>
      </c>
      <c r="D1594" s="52">
        <v>56.874600000000001</v>
      </c>
      <c r="E1594" s="52">
        <v>21878660</v>
      </c>
      <c r="F1594" s="52" t="s">
        <v>672</v>
      </c>
      <c r="G1594" s="25">
        <f t="shared" si="22"/>
        <v>2.1081466946581973E-3</v>
      </c>
    </row>
    <row r="1595" spans="1:7">
      <c r="A1595" s="52">
        <v>56.931800000000003</v>
      </c>
      <c r="B1595" s="52">
        <v>57.387599999999999</v>
      </c>
      <c r="C1595" s="52">
        <v>56.705399999999997</v>
      </c>
      <c r="D1595" s="52">
        <v>57.035299999999999</v>
      </c>
      <c r="E1595" s="52">
        <v>26010580</v>
      </c>
      <c r="F1595" s="52" t="s">
        <v>671</v>
      </c>
      <c r="G1595" s="25">
        <f t="shared" ref="G1595:G1658" si="23">A1595/D1595-1</f>
        <v>-1.8146656544280049E-3</v>
      </c>
    </row>
    <row r="1596" spans="1:7">
      <c r="A1596" s="52">
        <v>56.774099999999997</v>
      </c>
      <c r="B1596" s="52">
        <v>56.845199999999998</v>
      </c>
      <c r="C1596" s="52">
        <v>56.264000000000003</v>
      </c>
      <c r="D1596" s="52">
        <v>56.346600000000002</v>
      </c>
      <c r="E1596" s="52">
        <v>30710920</v>
      </c>
      <c r="F1596" s="52" t="s">
        <v>670</v>
      </c>
      <c r="G1596" s="25">
        <f t="shared" si="23"/>
        <v>7.5869706424167571E-3</v>
      </c>
    </row>
    <row r="1597" spans="1:7">
      <c r="A1597" s="52">
        <v>55.947000000000003</v>
      </c>
      <c r="B1597" s="52">
        <v>56.124699999999997</v>
      </c>
      <c r="C1597" s="52">
        <v>55.094099999999997</v>
      </c>
      <c r="D1597" s="52">
        <v>55.251800000000003</v>
      </c>
      <c r="E1597" s="52">
        <v>29472440</v>
      </c>
      <c r="F1597" s="52" t="s">
        <v>669</v>
      </c>
      <c r="G1597" s="25">
        <f t="shared" si="23"/>
        <v>1.2582395505666755E-2</v>
      </c>
    </row>
    <row r="1598" spans="1:7">
      <c r="A1598" s="52">
        <v>55.573799999999999</v>
      </c>
      <c r="B1598" s="52">
        <v>56.092300000000002</v>
      </c>
      <c r="C1598" s="52">
        <v>55.323500000000003</v>
      </c>
      <c r="D1598" s="52">
        <v>56.025599999999997</v>
      </c>
      <c r="E1598" s="52">
        <v>29887420</v>
      </c>
      <c r="F1598" s="52" t="s">
        <v>668</v>
      </c>
      <c r="G1598" s="25">
        <f t="shared" si="23"/>
        <v>-8.0641706648388878E-3</v>
      </c>
    </row>
    <row r="1599" spans="1:7">
      <c r="A1599" s="52">
        <v>56.363799999999998</v>
      </c>
      <c r="B1599" s="52">
        <v>56.462600000000002</v>
      </c>
      <c r="C1599" s="52">
        <v>55.609099999999998</v>
      </c>
      <c r="D1599" s="52">
        <v>55.702199999999998</v>
      </c>
      <c r="E1599" s="52">
        <v>29793560</v>
      </c>
      <c r="F1599" s="52" t="s">
        <v>667</v>
      </c>
      <c r="G1599" s="25">
        <f t="shared" si="23"/>
        <v>1.187744828750037E-2</v>
      </c>
    </row>
    <row r="1600" spans="1:7">
      <c r="A1600" s="52">
        <v>55.882300000000001</v>
      </c>
      <c r="B1600" s="52">
        <v>56.131</v>
      </c>
      <c r="C1600" s="52">
        <v>55.4773</v>
      </c>
      <c r="D1600" s="52">
        <v>55.658900000000003</v>
      </c>
      <c r="E1600" s="52">
        <v>20154360</v>
      </c>
      <c r="F1600" s="52" t="s">
        <v>666</v>
      </c>
      <c r="G1600" s="25">
        <f t="shared" si="23"/>
        <v>4.0137336526593348E-3</v>
      </c>
    </row>
    <row r="1601" spans="1:7">
      <c r="A1601" s="52">
        <v>55.365299999999998</v>
      </c>
      <c r="B1601" s="52">
        <v>55.3797</v>
      </c>
      <c r="C1601" s="52">
        <v>54.721899999999998</v>
      </c>
      <c r="D1601" s="52">
        <v>54.9786</v>
      </c>
      <c r="E1601" s="52">
        <v>20638380</v>
      </c>
      <c r="F1601" s="52" t="s">
        <v>665</v>
      </c>
      <c r="G1601" s="25">
        <f t="shared" si="23"/>
        <v>7.0336458185547013E-3</v>
      </c>
    </row>
    <row r="1602" spans="1:7">
      <c r="A1602" s="52">
        <v>54.738300000000002</v>
      </c>
      <c r="B1602" s="52">
        <v>55.165799999999997</v>
      </c>
      <c r="C1602" s="52">
        <v>54.505899999999997</v>
      </c>
      <c r="D1602" s="52">
        <v>54.790100000000002</v>
      </c>
      <c r="E1602" s="52">
        <v>29288980</v>
      </c>
      <c r="F1602" s="52" t="s">
        <v>664</v>
      </c>
      <c r="G1602" s="25">
        <f t="shared" si="23"/>
        <v>-9.4542627226457121E-4</v>
      </c>
    </row>
    <row r="1603" spans="1:7">
      <c r="A1603" s="52">
        <v>53.882399999999997</v>
      </c>
      <c r="B1603" s="52">
        <v>53.882399999999997</v>
      </c>
      <c r="C1603" s="52">
        <v>53.4345</v>
      </c>
      <c r="D1603" s="52">
        <v>53.605200000000004</v>
      </c>
      <c r="E1603" s="52">
        <v>33671360</v>
      </c>
      <c r="F1603" s="52" t="s">
        <v>663</v>
      </c>
      <c r="G1603" s="25">
        <f t="shared" si="23"/>
        <v>5.1711401132725765E-3</v>
      </c>
    </row>
    <row r="1604" spans="1:7">
      <c r="A1604" s="52">
        <v>53.575400000000002</v>
      </c>
      <c r="B1604" s="52">
        <v>54.164299999999997</v>
      </c>
      <c r="C1604" s="52">
        <v>53.536499999999997</v>
      </c>
      <c r="D1604" s="52">
        <v>54.079000000000001</v>
      </c>
      <c r="E1604" s="52">
        <v>24078280</v>
      </c>
      <c r="F1604" s="52" t="s">
        <v>662</v>
      </c>
      <c r="G1604" s="25">
        <f t="shared" si="23"/>
        <v>-9.3123023724550613E-3</v>
      </c>
    </row>
    <row r="1605" spans="1:7">
      <c r="A1605" s="52">
        <v>53.759</v>
      </c>
      <c r="B1605" s="52">
        <v>54.4955</v>
      </c>
      <c r="C1605" s="52">
        <v>53.428899999999999</v>
      </c>
      <c r="D1605" s="52">
        <v>54.290399999999998</v>
      </c>
      <c r="E1605" s="52">
        <v>34697460</v>
      </c>
      <c r="F1605" s="52" t="s">
        <v>661</v>
      </c>
      <c r="G1605" s="25">
        <f t="shared" si="23"/>
        <v>-9.7881025006262279E-3</v>
      </c>
    </row>
    <row r="1606" spans="1:7">
      <c r="A1606" s="52">
        <v>54.1203</v>
      </c>
      <c r="B1606" s="52">
        <v>55.519599999999997</v>
      </c>
      <c r="C1606" s="52">
        <v>53.972000000000001</v>
      </c>
      <c r="D1606" s="52">
        <v>55.488700000000001</v>
      </c>
      <c r="E1606" s="52">
        <v>31644340</v>
      </c>
      <c r="F1606" s="52" t="s">
        <v>660</v>
      </c>
      <c r="G1606" s="25">
        <f t="shared" si="23"/>
        <v>-2.4660876899260553E-2</v>
      </c>
    </row>
    <row r="1607" spans="1:7">
      <c r="A1607" s="52">
        <v>55.569299999999998</v>
      </c>
      <c r="B1607" s="52">
        <v>55.911200000000001</v>
      </c>
      <c r="C1607" s="52">
        <v>55.400599999999997</v>
      </c>
      <c r="D1607" s="52">
        <v>55.733499999999999</v>
      </c>
      <c r="E1607" s="52">
        <v>24237860</v>
      </c>
      <c r="F1607" s="52" t="s">
        <v>659</v>
      </c>
      <c r="G1607" s="25">
        <f t="shared" si="23"/>
        <v>-2.9461634385065105E-3</v>
      </c>
    </row>
    <row r="1608" spans="1:7">
      <c r="A1608" s="52">
        <v>56.000799999999998</v>
      </c>
      <c r="B1608" s="52">
        <v>56.060499999999998</v>
      </c>
      <c r="C1608" s="52">
        <v>55.222000000000001</v>
      </c>
      <c r="D1608" s="52">
        <v>55.228999999999999</v>
      </c>
      <c r="E1608" s="52">
        <v>50777440</v>
      </c>
      <c r="F1608" s="52" t="s">
        <v>658</v>
      </c>
      <c r="G1608" s="25">
        <f t="shared" si="23"/>
        <v>1.3974542359991959E-2</v>
      </c>
    </row>
    <row r="1609" spans="1:7">
      <c r="A1609" s="52">
        <v>55.395200000000003</v>
      </c>
      <c r="B1609" s="52">
        <v>55.868899999999996</v>
      </c>
      <c r="C1609" s="52">
        <v>55.086599999999997</v>
      </c>
      <c r="D1609" s="52">
        <v>55.818100000000001</v>
      </c>
      <c r="E1609" s="52">
        <v>24018160</v>
      </c>
      <c r="F1609" s="52" t="s">
        <v>657</v>
      </c>
      <c r="G1609" s="25">
        <f t="shared" si="23"/>
        <v>-7.5763954702865455E-3</v>
      </c>
    </row>
    <row r="1610" spans="1:7">
      <c r="A1610" s="52">
        <v>54.962699999999998</v>
      </c>
      <c r="B1610" s="52">
        <v>55.207599999999999</v>
      </c>
      <c r="C1610" s="52">
        <v>54.540700000000001</v>
      </c>
      <c r="D1610" s="52">
        <v>55.098599999999998</v>
      </c>
      <c r="E1610" s="52">
        <v>26720300</v>
      </c>
      <c r="F1610" s="52" t="s">
        <v>656</v>
      </c>
      <c r="G1610" s="25">
        <f t="shared" si="23"/>
        <v>-2.4664873517656893E-3</v>
      </c>
    </row>
    <row r="1611" spans="1:7">
      <c r="A1611" s="52">
        <v>54.999099999999999</v>
      </c>
      <c r="B1611" s="52">
        <v>55.672800000000002</v>
      </c>
      <c r="C1611" s="52">
        <v>54.7776</v>
      </c>
      <c r="D1611" s="52">
        <v>55.310600000000001</v>
      </c>
      <c r="E1611" s="52">
        <v>34526240</v>
      </c>
      <c r="F1611" s="52" t="s">
        <v>655</v>
      </c>
      <c r="G1611" s="25">
        <f t="shared" si="23"/>
        <v>-5.6318318730949057E-3</v>
      </c>
    </row>
    <row r="1612" spans="1:7">
      <c r="A1612" s="52">
        <v>54.4343</v>
      </c>
      <c r="B1612" s="52">
        <v>54.802</v>
      </c>
      <c r="C1612" s="52">
        <v>54.141199999999998</v>
      </c>
      <c r="D1612" s="52">
        <v>54.195900000000002</v>
      </c>
      <c r="E1612" s="52">
        <v>19769820</v>
      </c>
      <c r="F1612" s="52" t="s">
        <v>654</v>
      </c>
      <c r="G1612" s="25">
        <f t="shared" si="23"/>
        <v>4.3988567400854439E-3</v>
      </c>
    </row>
    <row r="1613" spans="1:7">
      <c r="A1613" s="52">
        <v>54.056600000000003</v>
      </c>
      <c r="B1613" s="52">
        <v>54.477499999999999</v>
      </c>
      <c r="C1613" s="52">
        <v>53.816499999999998</v>
      </c>
      <c r="D1613" s="52">
        <v>54.227699999999999</v>
      </c>
      <c r="E1613" s="52">
        <v>24586080</v>
      </c>
      <c r="F1613" s="52" t="s">
        <v>653</v>
      </c>
      <c r="G1613" s="25">
        <f t="shared" si="23"/>
        <v>-3.1552140326805977E-3</v>
      </c>
    </row>
    <row r="1614" spans="1:7">
      <c r="A1614" s="52">
        <v>54.290900000000001</v>
      </c>
      <c r="B1614" s="52">
        <v>54.568600000000004</v>
      </c>
      <c r="C1614" s="52">
        <v>53.870899999999999</v>
      </c>
      <c r="D1614" s="52">
        <v>53.977400000000003</v>
      </c>
      <c r="E1614" s="52">
        <v>20813220</v>
      </c>
      <c r="F1614" s="52" t="s">
        <v>652</v>
      </c>
      <c r="G1614" s="25">
        <f t="shared" si="23"/>
        <v>5.8079863053797087E-3</v>
      </c>
    </row>
    <row r="1615" spans="1:7">
      <c r="A1615" s="52">
        <v>53.698300000000003</v>
      </c>
      <c r="B1615" s="52">
        <v>53.868499999999997</v>
      </c>
      <c r="C1615" s="52">
        <v>53.225499999999997</v>
      </c>
      <c r="D1615" s="52">
        <v>53.740600000000001</v>
      </c>
      <c r="E1615" s="52">
        <v>23673000</v>
      </c>
      <c r="F1615" s="52" t="s">
        <v>651</v>
      </c>
      <c r="G1615" s="25">
        <f t="shared" si="23"/>
        <v>-7.8711439768064384E-4</v>
      </c>
    </row>
    <row r="1616" spans="1:7">
      <c r="A1616" s="52">
        <v>53.794800000000002</v>
      </c>
      <c r="B1616" s="52">
        <v>54.937600000000003</v>
      </c>
      <c r="C1616" s="52">
        <v>53.721699999999998</v>
      </c>
      <c r="D1616" s="52">
        <v>54.588500000000003</v>
      </c>
      <c r="E1616" s="52">
        <v>33516340</v>
      </c>
      <c r="F1616" s="52" t="s">
        <v>650</v>
      </c>
      <c r="G1616" s="25">
        <f t="shared" si="23"/>
        <v>-1.4539692426060458E-2</v>
      </c>
    </row>
    <row r="1617" spans="1:7">
      <c r="A1617" s="52">
        <v>53.880400000000002</v>
      </c>
      <c r="B1617" s="52">
        <v>54.481499999999997</v>
      </c>
      <c r="C1617" s="52">
        <v>53.508299999999998</v>
      </c>
      <c r="D1617" s="52">
        <v>53.593800000000002</v>
      </c>
      <c r="E1617" s="52">
        <v>28509280</v>
      </c>
      <c r="F1617" s="52" t="s">
        <v>649</v>
      </c>
      <c r="G1617" s="25">
        <f t="shared" si="23"/>
        <v>5.3476334949191795E-3</v>
      </c>
    </row>
    <row r="1618" spans="1:7">
      <c r="A1618" s="52">
        <v>53.164299999999997</v>
      </c>
      <c r="B1618" s="52">
        <v>53.4161</v>
      </c>
      <c r="C1618" s="52">
        <v>52.307400000000001</v>
      </c>
      <c r="D1618" s="52">
        <v>52.463200000000001</v>
      </c>
      <c r="E1618" s="52">
        <v>43827140</v>
      </c>
      <c r="F1618" s="52" t="s">
        <v>648</v>
      </c>
      <c r="G1618" s="25">
        <f t="shared" si="23"/>
        <v>1.336365299867337E-2</v>
      </c>
    </row>
    <row r="1619" spans="1:7">
      <c r="A1619" s="52">
        <v>52.1387</v>
      </c>
      <c r="B1619" s="52">
        <v>52.2502</v>
      </c>
      <c r="C1619" s="52">
        <v>51.5291</v>
      </c>
      <c r="D1619" s="52">
        <v>52.061599999999999</v>
      </c>
      <c r="E1619" s="52">
        <v>29020520</v>
      </c>
      <c r="F1619" s="52" t="s">
        <v>647</v>
      </c>
      <c r="G1619" s="25">
        <f t="shared" si="23"/>
        <v>1.4809379657942934E-3</v>
      </c>
    </row>
    <row r="1620" spans="1:7">
      <c r="A1620" s="52">
        <v>51.983499999999999</v>
      </c>
      <c r="B1620" s="52">
        <v>52.589100000000002</v>
      </c>
      <c r="C1620" s="52">
        <v>51.404200000000003</v>
      </c>
      <c r="D1620" s="52">
        <v>52.499000000000002</v>
      </c>
      <c r="E1620" s="52">
        <v>46988720</v>
      </c>
      <c r="F1620" s="52" t="s">
        <v>646</v>
      </c>
      <c r="G1620" s="25">
        <f t="shared" si="23"/>
        <v>-9.8192346520886709E-3</v>
      </c>
    </row>
    <row r="1621" spans="1:7">
      <c r="A1621" s="52">
        <v>52.473599999999998</v>
      </c>
      <c r="B1621" s="52">
        <v>52.67</v>
      </c>
      <c r="C1621" s="52">
        <v>51.555</v>
      </c>
      <c r="D1621" s="52">
        <v>51.975999999999999</v>
      </c>
      <c r="E1621" s="52">
        <v>60511280</v>
      </c>
      <c r="F1621" s="52" t="s">
        <v>645</v>
      </c>
      <c r="G1621" s="25">
        <f t="shared" si="23"/>
        <v>9.5736493766354069E-3</v>
      </c>
    </row>
    <row r="1622" spans="1:7">
      <c r="A1622" s="52">
        <v>51.689900000000002</v>
      </c>
      <c r="B1622" s="52">
        <v>53.0961</v>
      </c>
      <c r="C1622" s="52">
        <v>51.107199999999999</v>
      </c>
      <c r="D1622" s="52">
        <v>53.092700000000001</v>
      </c>
      <c r="E1622" s="52">
        <v>96889600</v>
      </c>
      <c r="F1622" s="52" t="s">
        <v>644</v>
      </c>
      <c r="G1622" s="25">
        <f t="shared" si="23"/>
        <v>-2.6421711459390873E-2</v>
      </c>
    </row>
    <row r="1623" spans="1:7">
      <c r="A1623" s="52">
        <v>55.061799999999998</v>
      </c>
      <c r="B1623" s="52">
        <v>55.405200000000001</v>
      </c>
      <c r="C1623" s="52">
        <v>54.905000000000001</v>
      </c>
      <c r="D1623" s="52">
        <v>55.018999999999998</v>
      </c>
      <c r="E1623" s="52">
        <v>31589620</v>
      </c>
      <c r="F1623" s="52" t="s">
        <v>643</v>
      </c>
      <c r="G1623" s="25">
        <f t="shared" si="23"/>
        <v>7.7791308457086927E-4</v>
      </c>
    </row>
    <row r="1624" spans="1:7">
      <c r="A1624" s="52">
        <v>55.803699999999999</v>
      </c>
      <c r="B1624" s="52">
        <v>56.0717</v>
      </c>
      <c r="C1624" s="52">
        <v>55.529499999999999</v>
      </c>
      <c r="D1624" s="52">
        <v>55.741</v>
      </c>
      <c r="E1624" s="52">
        <v>18088380</v>
      </c>
      <c r="F1624" s="52" t="s">
        <v>642</v>
      </c>
      <c r="G1624" s="25">
        <f t="shared" si="23"/>
        <v>1.1248452665004738E-3</v>
      </c>
    </row>
    <row r="1625" spans="1:7">
      <c r="A1625" s="52">
        <v>55.730600000000003</v>
      </c>
      <c r="B1625" s="52">
        <v>56.48</v>
      </c>
      <c r="C1625" s="52">
        <v>55.332999999999998</v>
      </c>
      <c r="D1625" s="52">
        <v>56.365499999999997</v>
      </c>
      <c r="E1625" s="52">
        <v>36230200</v>
      </c>
      <c r="F1625" s="52" t="s">
        <v>641</v>
      </c>
      <c r="G1625" s="25">
        <f t="shared" si="23"/>
        <v>-1.1263982400581796E-2</v>
      </c>
    </row>
    <row r="1626" spans="1:7">
      <c r="A1626" s="52">
        <v>56.706899999999997</v>
      </c>
      <c r="B1626" s="52">
        <v>57.549399999999999</v>
      </c>
      <c r="C1626" s="52">
        <v>56.662599999999998</v>
      </c>
      <c r="D1626" s="52">
        <v>56.802399999999999</v>
      </c>
      <c r="E1626" s="52">
        <v>20951080</v>
      </c>
      <c r="F1626" s="52" t="s">
        <v>640</v>
      </c>
      <c r="G1626" s="25">
        <f t="shared" si="23"/>
        <v>-1.6812669887188436E-3</v>
      </c>
    </row>
    <row r="1627" spans="1:7">
      <c r="A1627" s="52">
        <v>56.659599999999998</v>
      </c>
      <c r="B1627" s="52">
        <v>57.443399999999997</v>
      </c>
      <c r="C1627" s="52">
        <v>56.565100000000001</v>
      </c>
      <c r="D1627" s="52">
        <v>57.325899999999997</v>
      </c>
      <c r="E1627" s="52">
        <v>18553020</v>
      </c>
      <c r="F1627" s="52" t="s">
        <v>639</v>
      </c>
      <c r="G1627" s="25">
        <f t="shared" si="23"/>
        <v>-1.1623018565779186E-2</v>
      </c>
    </row>
    <row r="1628" spans="1:7">
      <c r="A1628" s="52">
        <v>56.994500000000002</v>
      </c>
      <c r="B1628" s="52">
        <v>57.228900000000003</v>
      </c>
      <c r="C1628" s="52">
        <v>56.388399999999997</v>
      </c>
      <c r="D1628" s="52">
        <v>57.030799999999999</v>
      </c>
      <c r="E1628" s="52">
        <v>25213140</v>
      </c>
      <c r="F1628" s="52" t="s">
        <v>638</v>
      </c>
      <c r="G1628" s="25">
        <f t="shared" si="23"/>
        <v>-6.3649817291699939E-4</v>
      </c>
    </row>
    <row r="1629" spans="1:7">
      <c r="A1629" s="52">
        <v>57.517499999999998</v>
      </c>
      <c r="B1629" s="52">
        <v>57.912100000000002</v>
      </c>
      <c r="C1629" s="52">
        <v>57.276200000000003</v>
      </c>
      <c r="D1629" s="52">
        <v>57.288600000000002</v>
      </c>
      <c r="E1629" s="52">
        <v>18825580</v>
      </c>
      <c r="F1629" s="52" t="s">
        <v>637</v>
      </c>
      <c r="G1629" s="25">
        <f t="shared" si="23"/>
        <v>3.9955593259390909E-3</v>
      </c>
    </row>
    <row r="1630" spans="1:7">
      <c r="A1630" s="52">
        <v>57.447299999999998</v>
      </c>
      <c r="B1630" s="52">
        <v>57.624499999999998</v>
      </c>
      <c r="C1630" s="52">
        <v>56.893500000000003</v>
      </c>
      <c r="D1630" s="52">
        <v>57.449300000000001</v>
      </c>
      <c r="E1630" s="52">
        <v>20564960</v>
      </c>
      <c r="F1630" s="52" t="s">
        <v>636</v>
      </c>
      <c r="G1630" s="25">
        <f t="shared" si="23"/>
        <v>-3.4813304948921875E-5</v>
      </c>
    </row>
    <row r="1631" spans="1:7">
      <c r="A1631" s="52">
        <v>56.960700000000003</v>
      </c>
      <c r="B1631" s="52">
        <v>57.375700000000002</v>
      </c>
      <c r="C1631" s="52">
        <v>56.636000000000003</v>
      </c>
      <c r="D1631" s="52">
        <v>57.375700000000002</v>
      </c>
      <c r="E1631" s="52">
        <v>30602520</v>
      </c>
      <c r="F1631" s="52" t="s">
        <v>635</v>
      </c>
      <c r="G1631" s="25">
        <f t="shared" si="23"/>
        <v>-7.2330272223257719E-3</v>
      </c>
    </row>
    <row r="1632" spans="1:7">
      <c r="A1632" s="52">
        <v>58.160899999999998</v>
      </c>
      <c r="B1632" s="52">
        <v>59.032299999999999</v>
      </c>
      <c r="C1632" s="52">
        <v>58.043500000000002</v>
      </c>
      <c r="D1632" s="52">
        <v>58.511800000000001</v>
      </c>
      <c r="E1632" s="52">
        <v>25361000</v>
      </c>
      <c r="F1632" s="52" t="s">
        <v>634</v>
      </c>
      <c r="G1632" s="25">
        <f t="shared" si="23"/>
        <v>-5.9970809306840733E-3</v>
      </c>
    </row>
    <row r="1633" spans="1:7">
      <c r="A1633" s="52">
        <v>58.943199999999997</v>
      </c>
      <c r="B1633" s="52">
        <v>59.423900000000003</v>
      </c>
      <c r="C1633" s="52">
        <v>58.144500000000001</v>
      </c>
      <c r="D1633" s="52">
        <v>58.313200000000002</v>
      </c>
      <c r="E1633" s="52">
        <v>35307760</v>
      </c>
      <c r="F1633" s="52" t="s">
        <v>633</v>
      </c>
      <c r="G1633" s="25">
        <f t="shared" si="23"/>
        <v>1.0803728829836157E-2</v>
      </c>
    </row>
    <row r="1634" spans="1:7">
      <c r="A1634" s="52">
        <v>58.261499999999998</v>
      </c>
      <c r="B1634" s="52">
        <v>58.634700000000002</v>
      </c>
      <c r="C1634" s="52">
        <v>55.803199999999997</v>
      </c>
      <c r="D1634" s="52">
        <v>55.860399999999998</v>
      </c>
      <c r="E1634" s="52">
        <v>59302340</v>
      </c>
      <c r="F1634" s="52" t="s">
        <v>632</v>
      </c>
      <c r="G1634" s="25">
        <f t="shared" si="23"/>
        <v>4.2983938532484611E-2</v>
      </c>
    </row>
    <row r="1635" spans="1:7">
      <c r="A1635" s="52">
        <v>55.9754</v>
      </c>
      <c r="B1635" s="52">
        <v>56.9709</v>
      </c>
      <c r="C1635" s="52">
        <v>55.909199999999998</v>
      </c>
      <c r="D1635" s="52">
        <v>56.844200000000001</v>
      </c>
      <c r="E1635" s="52">
        <v>40391000</v>
      </c>
      <c r="F1635" s="52" t="s">
        <v>631</v>
      </c>
      <c r="G1635" s="25">
        <f t="shared" si="23"/>
        <v>-1.5283881205118588E-2</v>
      </c>
    </row>
    <row r="1636" spans="1:7">
      <c r="A1636" s="52">
        <v>56.559100000000001</v>
      </c>
      <c r="B1636" s="52">
        <v>57.324399999999997</v>
      </c>
      <c r="C1636" s="52">
        <v>56.007199999999997</v>
      </c>
      <c r="D1636" s="52">
        <v>56.9895</v>
      </c>
      <c r="E1636" s="52">
        <v>45633720</v>
      </c>
      <c r="F1636" s="52" t="s">
        <v>630</v>
      </c>
      <c r="G1636" s="25">
        <f t="shared" si="23"/>
        <v>-7.5522684003193064E-3</v>
      </c>
    </row>
    <row r="1637" spans="1:7">
      <c r="A1637" s="52">
        <v>58.104199999999999</v>
      </c>
      <c r="B1637" s="52">
        <v>58.534199999999998</v>
      </c>
      <c r="C1637" s="52">
        <v>57.0458</v>
      </c>
      <c r="D1637" s="52">
        <v>58.163899999999998</v>
      </c>
      <c r="E1637" s="52">
        <v>31649200</v>
      </c>
      <c r="F1637" s="52" t="s">
        <v>629</v>
      </c>
      <c r="G1637" s="25">
        <f t="shared" si="23"/>
        <v>-1.0264098521591825E-3</v>
      </c>
    </row>
    <row r="1638" spans="1:7">
      <c r="A1638" s="52">
        <v>58.120600000000003</v>
      </c>
      <c r="B1638" s="52">
        <v>58.424199999999999</v>
      </c>
      <c r="C1638" s="52">
        <v>57.457299999999996</v>
      </c>
      <c r="D1638" s="52">
        <v>57.853400000000001</v>
      </c>
      <c r="E1638" s="52">
        <v>29555040</v>
      </c>
      <c r="F1638" s="52" t="s">
        <v>628</v>
      </c>
      <c r="G1638" s="25">
        <f t="shared" si="23"/>
        <v>4.6185703865286865E-3</v>
      </c>
    </row>
    <row r="1639" spans="1:7">
      <c r="A1639" s="52">
        <v>58.2605</v>
      </c>
      <c r="B1639" s="52">
        <v>58.931800000000003</v>
      </c>
      <c r="C1639" s="52">
        <v>58.103700000000003</v>
      </c>
      <c r="D1639" s="52">
        <v>58.584400000000002</v>
      </c>
      <c r="E1639" s="52">
        <v>25520440</v>
      </c>
      <c r="F1639" s="52" t="s">
        <v>627</v>
      </c>
      <c r="G1639" s="25">
        <f t="shared" si="23"/>
        <v>-5.5287755784816373E-3</v>
      </c>
    </row>
    <row r="1640" spans="1:7">
      <c r="A1640" s="52">
        <v>58.662500000000001</v>
      </c>
      <c r="B1640" s="52">
        <v>59.454300000000003</v>
      </c>
      <c r="C1640" s="52">
        <v>57.972799999999999</v>
      </c>
      <c r="D1640" s="52">
        <v>59.008400000000002</v>
      </c>
      <c r="E1640" s="52">
        <v>36604760</v>
      </c>
      <c r="F1640" s="52" t="s">
        <v>626</v>
      </c>
      <c r="G1640" s="25">
        <f t="shared" si="23"/>
        <v>-5.8618772920465689E-3</v>
      </c>
    </row>
    <row r="1641" spans="1:7">
      <c r="A1641" s="52">
        <v>59.389099999999999</v>
      </c>
      <c r="B1641" s="52">
        <v>59.487099999999998</v>
      </c>
      <c r="C1641" s="52">
        <v>58.2791</v>
      </c>
      <c r="D1641" s="52">
        <v>58.321199999999997</v>
      </c>
      <c r="E1641" s="52">
        <v>31773680</v>
      </c>
      <c r="F1641" s="52" t="s">
        <v>625</v>
      </c>
      <c r="G1641" s="25">
        <f t="shared" si="23"/>
        <v>1.8310665761335443E-2</v>
      </c>
    </row>
    <row r="1642" spans="1:7">
      <c r="A1642" s="52">
        <v>59.194499999999998</v>
      </c>
      <c r="B1642" s="52">
        <v>59.2866</v>
      </c>
      <c r="C1642" s="52">
        <v>58.398099999999999</v>
      </c>
      <c r="D1642" s="52">
        <v>58.590400000000002</v>
      </c>
      <c r="E1642" s="52">
        <v>41587520</v>
      </c>
      <c r="F1642" s="52" t="s">
        <v>624</v>
      </c>
      <c r="G1642" s="25">
        <f t="shared" si="23"/>
        <v>1.0310562822578362E-2</v>
      </c>
    </row>
    <row r="1643" spans="1:7">
      <c r="A1643" s="52">
        <v>58.048000000000002</v>
      </c>
      <c r="B1643" s="52">
        <v>58.688400000000001</v>
      </c>
      <c r="C1643" s="52">
        <v>57.640900000000002</v>
      </c>
      <c r="D1643" s="52">
        <v>58.350999999999999</v>
      </c>
      <c r="E1643" s="52">
        <v>45097800</v>
      </c>
      <c r="F1643" s="52" t="s">
        <v>623</v>
      </c>
      <c r="G1643" s="25">
        <f t="shared" si="23"/>
        <v>-5.1927130640434527E-3</v>
      </c>
    </row>
    <row r="1644" spans="1:7">
      <c r="A1644" s="52">
        <v>58.386899999999997</v>
      </c>
      <c r="B1644" s="52">
        <v>59.677199999999999</v>
      </c>
      <c r="C1644" s="52">
        <v>58.305</v>
      </c>
      <c r="D1644" s="52">
        <v>59.5901</v>
      </c>
      <c r="E1644" s="52">
        <v>74340360</v>
      </c>
      <c r="F1644" s="52" t="s">
        <v>622</v>
      </c>
      <c r="G1644" s="25">
        <f t="shared" si="23"/>
        <v>-2.0191273382659247E-2</v>
      </c>
    </row>
    <row r="1645" spans="1:7">
      <c r="A1645" s="52">
        <v>59.662799999999997</v>
      </c>
      <c r="B1645" s="52">
        <v>59.763199999999998</v>
      </c>
      <c r="C1645" s="52">
        <v>58.868600000000001</v>
      </c>
      <c r="D1645" s="52">
        <v>59.248199999999997</v>
      </c>
      <c r="E1645" s="52">
        <v>133177100</v>
      </c>
      <c r="F1645" s="52" t="s">
        <v>621</v>
      </c>
      <c r="G1645" s="25">
        <f t="shared" si="23"/>
        <v>6.997680942205875E-3</v>
      </c>
    </row>
    <row r="1646" spans="1:7">
      <c r="A1646" s="52">
        <v>64.501599999999996</v>
      </c>
      <c r="B1646" s="52">
        <v>64.540199999999999</v>
      </c>
      <c r="C1646" s="52">
        <v>63.282899999999998</v>
      </c>
      <c r="D1646" s="52">
        <v>63.7209</v>
      </c>
      <c r="E1646" s="52">
        <v>72367240</v>
      </c>
      <c r="F1646" s="52" t="s">
        <v>620</v>
      </c>
      <c r="G1646" s="25">
        <f t="shared" si="23"/>
        <v>1.2251867126798155E-2</v>
      </c>
    </row>
    <row r="1647" spans="1:7">
      <c r="A1647" s="52">
        <v>63.567100000000003</v>
      </c>
      <c r="B1647" s="52">
        <v>63.641199999999998</v>
      </c>
      <c r="C1647" s="52">
        <v>62.948999999999998</v>
      </c>
      <c r="D1647" s="52">
        <v>63.366</v>
      </c>
      <c r="E1647" s="52">
        <v>27228380</v>
      </c>
      <c r="F1647" s="52" t="s">
        <v>619</v>
      </c>
      <c r="G1647" s="25">
        <f t="shared" si="23"/>
        <v>3.1736262348893707E-3</v>
      </c>
    </row>
    <row r="1648" spans="1:7">
      <c r="A1648" s="52">
        <v>63.0655</v>
      </c>
      <c r="B1648" s="52">
        <v>63.337200000000003</v>
      </c>
      <c r="C1648" s="52">
        <v>62.600700000000003</v>
      </c>
      <c r="D1648" s="52">
        <v>63.212800000000001</v>
      </c>
      <c r="E1648" s="52">
        <v>31343220</v>
      </c>
      <c r="F1648" s="52" t="s">
        <v>618</v>
      </c>
      <c r="G1648" s="25">
        <f t="shared" si="23"/>
        <v>-2.330224258378033E-3</v>
      </c>
    </row>
    <row r="1649" spans="1:7">
      <c r="A1649" s="52">
        <v>62.7027</v>
      </c>
      <c r="B1649" s="52">
        <v>63.396900000000002</v>
      </c>
      <c r="C1649" s="52">
        <v>62.690800000000003</v>
      </c>
      <c r="D1649" s="52">
        <v>63.227200000000003</v>
      </c>
      <c r="E1649" s="52">
        <v>23395940</v>
      </c>
      <c r="F1649" s="52" t="s">
        <v>617</v>
      </c>
      <c r="G1649" s="25">
        <f t="shared" si="23"/>
        <v>-8.2954804261458071E-3</v>
      </c>
    </row>
    <row r="1650" spans="1:7">
      <c r="A1650" s="52">
        <v>63.227200000000003</v>
      </c>
      <c r="B1650" s="52">
        <v>63.418300000000002</v>
      </c>
      <c r="C1650" s="52">
        <v>62.300899999999999</v>
      </c>
      <c r="D1650" s="52">
        <v>62.533000000000001</v>
      </c>
      <c r="E1650" s="52">
        <v>31868980</v>
      </c>
      <c r="F1650" s="52" t="s">
        <v>616</v>
      </c>
      <c r="G1650" s="25">
        <f t="shared" si="23"/>
        <v>1.1101338493275659E-2</v>
      </c>
    </row>
    <row r="1651" spans="1:7">
      <c r="A1651" s="52">
        <v>62.389699999999998</v>
      </c>
      <c r="B1651" s="52">
        <v>62.418599999999998</v>
      </c>
      <c r="C1651" s="52">
        <v>61.375100000000003</v>
      </c>
      <c r="D1651" s="52">
        <v>61.539299999999997</v>
      </c>
      <c r="E1651" s="52">
        <v>19088380</v>
      </c>
      <c r="F1651" s="52" t="s">
        <v>615</v>
      </c>
      <c r="G1651" s="25">
        <f t="shared" si="23"/>
        <v>1.3818811718690371E-2</v>
      </c>
    </row>
    <row r="1652" spans="1:7">
      <c r="A1652" s="52">
        <v>61.778100000000002</v>
      </c>
      <c r="B1652" s="52">
        <v>62.000599999999999</v>
      </c>
      <c r="C1652" s="52">
        <v>61.675600000000003</v>
      </c>
      <c r="D1652" s="52">
        <v>61.953800000000001</v>
      </c>
      <c r="E1652" s="52">
        <v>24755760</v>
      </c>
      <c r="F1652" s="52" t="s">
        <v>614</v>
      </c>
      <c r="G1652" s="25">
        <f t="shared" si="23"/>
        <v>-2.8359842334125807E-3</v>
      </c>
    </row>
    <row r="1653" spans="1:7">
      <c r="A1653" s="52">
        <v>61.712000000000003</v>
      </c>
      <c r="B1653" s="52">
        <v>61.958500000000001</v>
      </c>
      <c r="C1653" s="52">
        <v>61.351700000000001</v>
      </c>
      <c r="D1653" s="52">
        <v>61.555700000000002</v>
      </c>
      <c r="E1653" s="52">
        <v>30365720</v>
      </c>
      <c r="F1653" s="52" t="s">
        <v>613</v>
      </c>
      <c r="G1653" s="25">
        <f t="shared" si="23"/>
        <v>2.5391637167637704E-3</v>
      </c>
    </row>
    <row r="1654" spans="1:7">
      <c r="A1654" s="52">
        <v>61.302399999999999</v>
      </c>
      <c r="B1654" s="52">
        <v>61.504899999999999</v>
      </c>
      <c r="C1654" s="52">
        <v>60.960599999999999</v>
      </c>
      <c r="D1654" s="52">
        <v>61.2074</v>
      </c>
      <c r="E1654" s="52">
        <v>22621980</v>
      </c>
      <c r="F1654" s="52" t="s">
        <v>612</v>
      </c>
      <c r="G1654" s="25">
        <f t="shared" si="23"/>
        <v>1.5520999094880139E-3</v>
      </c>
    </row>
    <row r="1655" spans="1:7">
      <c r="A1655" s="52">
        <v>61.034700000000001</v>
      </c>
      <c r="B1655" s="52">
        <v>61.1723</v>
      </c>
      <c r="C1655" s="52">
        <v>60.439</v>
      </c>
      <c r="D1655" s="52">
        <v>60.9133</v>
      </c>
      <c r="E1655" s="52">
        <v>23799480</v>
      </c>
      <c r="F1655" s="52" t="s">
        <v>611</v>
      </c>
      <c r="G1655" s="25">
        <f t="shared" si="23"/>
        <v>1.9929966033691571E-3</v>
      </c>
    </row>
    <row r="1656" spans="1:7">
      <c r="A1656" s="52">
        <v>60.845599999999997</v>
      </c>
      <c r="B1656" s="52">
        <v>60.861499999999999</v>
      </c>
      <c r="C1656" s="52">
        <v>60.375799999999998</v>
      </c>
      <c r="D1656" s="52">
        <v>60.491799999999998</v>
      </c>
      <c r="E1656" s="52">
        <v>24312200</v>
      </c>
      <c r="F1656" s="52" t="s">
        <v>610</v>
      </c>
      <c r="G1656" s="25">
        <f t="shared" si="23"/>
        <v>5.8487266042670516E-3</v>
      </c>
    </row>
    <row r="1657" spans="1:7">
      <c r="A1657" s="52">
        <v>60.191699999999997</v>
      </c>
      <c r="B1657" s="52">
        <v>60.348500000000001</v>
      </c>
      <c r="C1657" s="52">
        <v>59.940399999999997</v>
      </c>
      <c r="D1657" s="52">
        <v>60.157400000000003</v>
      </c>
      <c r="E1657" s="52">
        <v>16998940</v>
      </c>
      <c r="F1657" s="52" t="s">
        <v>609</v>
      </c>
      <c r="G1657" s="25">
        <f t="shared" si="23"/>
        <v>5.7017091829103528E-4</v>
      </c>
    </row>
    <row r="1658" spans="1:7">
      <c r="A1658" s="52">
        <v>60.035499999999999</v>
      </c>
      <c r="B1658" s="52">
        <v>60.159300000000002</v>
      </c>
      <c r="C1658" s="52">
        <v>59.747399999999999</v>
      </c>
      <c r="D1658" s="52">
        <v>59.967799999999997</v>
      </c>
      <c r="E1658" s="52">
        <v>15509120</v>
      </c>
      <c r="F1658" s="52" t="s">
        <v>608</v>
      </c>
      <c r="G1658" s="25">
        <f t="shared" si="23"/>
        <v>1.1289391973692275E-3</v>
      </c>
    </row>
    <row r="1659" spans="1:7">
      <c r="A1659" s="52">
        <v>59.848399999999998</v>
      </c>
      <c r="B1659" s="52">
        <v>60.070300000000003</v>
      </c>
      <c r="C1659" s="52">
        <v>59.633899999999997</v>
      </c>
      <c r="D1659" s="52">
        <v>59.808599999999998</v>
      </c>
      <c r="E1659" s="52">
        <v>19676800</v>
      </c>
      <c r="F1659" s="52" t="s">
        <v>607</v>
      </c>
      <c r="G1659" s="25">
        <f t="shared" ref="G1659:G1722" si="24">A1659/D1659-1</f>
        <v>6.6545613841495488E-4</v>
      </c>
    </row>
    <row r="1660" spans="1:7">
      <c r="A1660" s="52">
        <v>60.1265</v>
      </c>
      <c r="B1660" s="52">
        <v>60.408700000000003</v>
      </c>
      <c r="C1660" s="52">
        <v>59.948099999999997</v>
      </c>
      <c r="D1660" s="52">
        <v>60.267400000000002</v>
      </c>
      <c r="E1660" s="52">
        <v>21751760</v>
      </c>
      <c r="F1660" s="52" t="s">
        <v>606</v>
      </c>
      <c r="G1660" s="25">
        <f t="shared" si="24"/>
        <v>-2.3379140298072087E-3</v>
      </c>
    </row>
    <row r="1661" spans="1:7">
      <c r="A1661" s="52">
        <v>60.284300000000002</v>
      </c>
      <c r="B1661" s="52">
        <v>60.729199999999999</v>
      </c>
      <c r="C1661" s="52">
        <v>60.2136</v>
      </c>
      <c r="D1661" s="52">
        <v>60.674900000000001</v>
      </c>
      <c r="E1661" s="52">
        <v>20020880</v>
      </c>
      <c r="F1661" s="52" t="s">
        <v>605</v>
      </c>
      <c r="G1661" s="25">
        <f t="shared" si="24"/>
        <v>-6.4375878658226027E-3</v>
      </c>
    </row>
    <row r="1662" spans="1:7">
      <c r="A1662" s="52">
        <v>60.682400000000001</v>
      </c>
      <c r="B1662" s="52">
        <v>60.737099999999998</v>
      </c>
      <c r="C1662" s="52">
        <v>60.164400000000001</v>
      </c>
      <c r="D1662" s="52">
        <v>60.276299999999999</v>
      </c>
      <c r="E1662" s="52">
        <v>21021780</v>
      </c>
      <c r="F1662" s="52" t="s">
        <v>604</v>
      </c>
      <c r="G1662" s="25">
        <f t="shared" si="24"/>
        <v>6.7373080298558374E-3</v>
      </c>
    </row>
    <row r="1663" spans="1:7">
      <c r="A1663" s="52">
        <v>60.252400000000002</v>
      </c>
      <c r="B1663" s="52">
        <v>60.739600000000003</v>
      </c>
      <c r="C1663" s="52">
        <v>59.967100000000002</v>
      </c>
      <c r="D1663" s="52">
        <v>60.346499999999999</v>
      </c>
      <c r="E1663" s="52">
        <v>22192280</v>
      </c>
      <c r="F1663" s="52" t="s">
        <v>603</v>
      </c>
      <c r="G1663" s="25">
        <f t="shared" si="24"/>
        <v>-1.5593282129037211E-3</v>
      </c>
    </row>
    <row r="1664" spans="1:7">
      <c r="A1664" s="52">
        <v>59.990200000000002</v>
      </c>
      <c r="B1664" s="52">
        <v>60.003599999999999</v>
      </c>
      <c r="C1664" s="52">
        <v>59.278599999999997</v>
      </c>
      <c r="D1664" s="52">
        <v>59.716999999999999</v>
      </c>
      <c r="E1664" s="52">
        <v>18288260</v>
      </c>
      <c r="F1664" s="52" t="s">
        <v>602</v>
      </c>
      <c r="G1664" s="25">
        <f t="shared" si="24"/>
        <v>4.5749116666946588E-3</v>
      </c>
    </row>
    <row r="1665" spans="1:7">
      <c r="A1665" s="52">
        <v>59.663800000000002</v>
      </c>
      <c r="B1665" s="52">
        <v>59.724499999999999</v>
      </c>
      <c r="C1665" s="52">
        <v>59.035800000000002</v>
      </c>
      <c r="D1665" s="52">
        <v>59.094499999999996</v>
      </c>
      <c r="E1665" s="52">
        <v>27711900</v>
      </c>
      <c r="F1665" s="52" t="s">
        <v>601</v>
      </c>
      <c r="G1665" s="25">
        <f t="shared" si="24"/>
        <v>9.6337222584166327E-3</v>
      </c>
    </row>
    <row r="1666" spans="1:7">
      <c r="A1666" s="52">
        <v>58.564500000000002</v>
      </c>
      <c r="B1666" s="52">
        <v>58.916800000000002</v>
      </c>
      <c r="C1666" s="52">
        <v>58.041499999999999</v>
      </c>
      <c r="D1666" s="52">
        <v>58.728200000000001</v>
      </c>
      <c r="E1666" s="52">
        <v>30892300</v>
      </c>
      <c r="F1666" s="52" t="s">
        <v>600</v>
      </c>
      <c r="G1666" s="25">
        <f t="shared" si="24"/>
        <v>-2.7874172884576609E-3</v>
      </c>
    </row>
    <row r="1667" spans="1:7">
      <c r="A1667" s="52">
        <v>58.334600000000002</v>
      </c>
      <c r="B1667" s="52">
        <v>58.5824</v>
      </c>
      <c r="C1667" s="52">
        <v>57.8947</v>
      </c>
      <c r="D1667" s="52">
        <v>58.4953</v>
      </c>
      <c r="E1667" s="52">
        <v>22402440</v>
      </c>
      <c r="F1667" s="52" t="s">
        <v>599</v>
      </c>
      <c r="G1667" s="25">
        <f t="shared" si="24"/>
        <v>-2.7472292645733809E-3</v>
      </c>
    </row>
    <row r="1668" spans="1:7">
      <c r="A1668" s="52">
        <v>58.620199999999997</v>
      </c>
      <c r="B1668" s="52">
        <v>59.312399999999997</v>
      </c>
      <c r="C1668" s="52">
        <v>57.9345</v>
      </c>
      <c r="D1668" s="52">
        <v>59.312399999999997</v>
      </c>
      <c r="E1668" s="52">
        <v>29428040</v>
      </c>
      <c r="F1668" s="52" t="s">
        <v>598</v>
      </c>
      <c r="G1668" s="25">
        <f t="shared" si="24"/>
        <v>-1.1670409560226913E-2</v>
      </c>
    </row>
    <row r="1669" spans="1:7">
      <c r="A1669" s="52">
        <v>59.2089</v>
      </c>
      <c r="B1669" s="52">
        <v>60.095199999999998</v>
      </c>
      <c r="C1669" s="52">
        <v>58.806800000000003</v>
      </c>
      <c r="D1669" s="52">
        <v>59.972799999999999</v>
      </c>
      <c r="E1669" s="52">
        <v>30752120</v>
      </c>
      <c r="F1669" s="52" t="s">
        <v>597</v>
      </c>
      <c r="G1669" s="25">
        <f t="shared" si="24"/>
        <v>-1.2737440973241143E-2</v>
      </c>
    </row>
    <row r="1670" spans="1:7">
      <c r="A1670" s="52">
        <v>59.584099999999999</v>
      </c>
      <c r="B1670" s="52">
        <v>60.1843</v>
      </c>
      <c r="C1670" s="52">
        <v>59.217100000000002</v>
      </c>
      <c r="D1670" s="52">
        <v>59.692599999999999</v>
      </c>
      <c r="E1670" s="52">
        <v>27576980</v>
      </c>
      <c r="F1670" s="52" t="s">
        <v>596</v>
      </c>
      <c r="G1670" s="25">
        <f t="shared" si="24"/>
        <v>-1.8176457383327627E-3</v>
      </c>
    </row>
    <row r="1671" spans="1:7">
      <c r="A1671" s="52">
        <v>60.095199999999998</v>
      </c>
      <c r="B1671" s="52">
        <v>61.387999999999998</v>
      </c>
      <c r="C1671" s="52">
        <v>60.013100000000001</v>
      </c>
      <c r="D1671" s="52">
        <v>61.150100000000002</v>
      </c>
      <c r="E1671" s="52">
        <v>34422660</v>
      </c>
      <c r="F1671" s="52" t="s">
        <v>595</v>
      </c>
      <c r="G1671" s="25">
        <f t="shared" si="24"/>
        <v>-1.7250993865913555E-2</v>
      </c>
    </row>
    <row r="1672" spans="1:7">
      <c r="A1672" s="52">
        <v>61.5124</v>
      </c>
      <c r="B1672" s="52">
        <v>61.527799999999999</v>
      </c>
      <c r="C1672" s="52">
        <v>60.539299999999997</v>
      </c>
      <c r="D1672" s="52">
        <v>60.709699999999998</v>
      </c>
      <c r="E1672" s="52">
        <v>28149600</v>
      </c>
      <c r="F1672" s="52" t="s">
        <v>594</v>
      </c>
      <c r="G1672" s="25">
        <f t="shared" si="24"/>
        <v>1.3221939821807638E-2</v>
      </c>
    </row>
    <row r="1673" spans="1:7">
      <c r="A1673" s="52">
        <v>61.029699999999998</v>
      </c>
      <c r="B1673" s="52">
        <v>61.206899999999997</v>
      </c>
      <c r="C1673" s="52">
        <v>59.694099999999999</v>
      </c>
      <c r="D1673" s="52">
        <v>59.784199999999998</v>
      </c>
      <c r="E1673" s="52">
        <v>41508840</v>
      </c>
      <c r="F1673" s="52" t="s">
        <v>593</v>
      </c>
      <c r="G1673" s="25">
        <f t="shared" si="24"/>
        <v>2.0833263638218691E-2</v>
      </c>
    </row>
    <row r="1674" spans="1:7">
      <c r="A1674" s="52">
        <v>59.8369</v>
      </c>
      <c r="B1674" s="52">
        <v>59.883899999999997</v>
      </c>
      <c r="C1674" s="52">
        <v>59.189799999999998</v>
      </c>
      <c r="D1674" s="52">
        <v>59.302500000000002</v>
      </c>
      <c r="E1674" s="52">
        <v>29788140</v>
      </c>
      <c r="F1674" s="52" t="s">
        <v>592</v>
      </c>
      <c r="G1674" s="25">
        <f t="shared" si="24"/>
        <v>9.011424476202512E-3</v>
      </c>
    </row>
    <row r="1675" spans="1:7">
      <c r="A1675" s="52">
        <v>59.1447</v>
      </c>
      <c r="B1675" s="52">
        <v>59.463200000000001</v>
      </c>
      <c r="C1675" s="52">
        <v>58.792700000000004</v>
      </c>
      <c r="D1675" s="52">
        <v>59.201500000000003</v>
      </c>
      <c r="E1675" s="52">
        <v>24444060</v>
      </c>
      <c r="F1675" s="52" t="s">
        <v>591</v>
      </c>
      <c r="G1675" s="25">
        <f t="shared" si="24"/>
        <v>-9.5943514944729635E-4</v>
      </c>
    </row>
    <row r="1676" spans="1:7">
      <c r="A1676" s="52">
        <v>59.2318</v>
      </c>
      <c r="B1676" s="52">
        <v>59.8003</v>
      </c>
      <c r="C1676" s="52">
        <v>59.068100000000001</v>
      </c>
      <c r="D1676" s="52">
        <v>59.615000000000002</v>
      </c>
      <c r="E1676" s="52">
        <v>51866760</v>
      </c>
      <c r="F1676" s="52" t="s">
        <v>590</v>
      </c>
      <c r="G1676" s="25">
        <f t="shared" si="24"/>
        <v>-6.4279124381447783E-3</v>
      </c>
    </row>
    <row r="1677" spans="1:7">
      <c r="A1677" s="52">
        <v>59.342799999999997</v>
      </c>
      <c r="B1677" s="52">
        <v>59.948399999999999</v>
      </c>
      <c r="C1677" s="52">
        <v>59.278100000000002</v>
      </c>
      <c r="D1677" s="52">
        <v>59.665700000000001</v>
      </c>
      <c r="E1677" s="52">
        <v>27301440</v>
      </c>
      <c r="F1677" s="52" t="s">
        <v>589</v>
      </c>
      <c r="G1677" s="25">
        <f t="shared" si="24"/>
        <v>-5.4118195210984821E-3</v>
      </c>
    </row>
    <row r="1678" spans="1:7">
      <c r="A1678" s="52">
        <v>59.667700000000004</v>
      </c>
      <c r="B1678" s="52">
        <v>60.069000000000003</v>
      </c>
      <c r="C1678" s="52">
        <v>59.610500000000002</v>
      </c>
      <c r="D1678" s="52">
        <v>60.009599999999999</v>
      </c>
      <c r="E1678" s="52">
        <v>25887080</v>
      </c>
      <c r="F1678" s="52" t="s">
        <v>588</v>
      </c>
      <c r="G1678" s="25">
        <f t="shared" si="24"/>
        <v>-5.69742174585397E-3</v>
      </c>
    </row>
    <row r="1679" spans="1:7">
      <c r="A1679" s="52">
        <v>59.5777</v>
      </c>
      <c r="B1679" s="52">
        <v>59.998600000000003</v>
      </c>
      <c r="C1679" s="52">
        <v>58.8337</v>
      </c>
      <c r="D1679" s="52">
        <v>58.8337</v>
      </c>
      <c r="E1679" s="52">
        <v>42219580</v>
      </c>
      <c r="F1679" s="52" t="s">
        <v>587</v>
      </c>
      <c r="G1679" s="25">
        <f t="shared" si="24"/>
        <v>1.2645813538839201E-2</v>
      </c>
    </row>
    <row r="1680" spans="1:7">
      <c r="A1680" s="52">
        <v>58.682400000000001</v>
      </c>
      <c r="B1680" s="52">
        <v>58.714799999999997</v>
      </c>
      <c r="C1680" s="52">
        <v>57.304499999999997</v>
      </c>
      <c r="D1680" s="52">
        <v>57.325899999999997</v>
      </c>
      <c r="E1680" s="52">
        <v>30032660</v>
      </c>
      <c r="F1680" s="52" t="s">
        <v>586</v>
      </c>
      <c r="G1680" s="25">
        <f t="shared" si="24"/>
        <v>2.3662951650126773E-2</v>
      </c>
    </row>
    <row r="1681" spans="1:7">
      <c r="A1681" s="52">
        <v>57.224899999999998</v>
      </c>
      <c r="B1681" s="52">
        <v>57.398099999999999</v>
      </c>
      <c r="C1681" s="52">
        <v>56.241100000000003</v>
      </c>
      <c r="D1681" s="52">
        <v>56.425199999999997</v>
      </c>
      <c r="E1681" s="52">
        <v>23694640</v>
      </c>
      <c r="F1681" s="52" t="s">
        <v>585</v>
      </c>
      <c r="G1681" s="25">
        <f t="shared" si="24"/>
        <v>1.417274551087111E-2</v>
      </c>
    </row>
    <row r="1682" spans="1:7">
      <c r="A1682" s="52">
        <v>57.268700000000003</v>
      </c>
      <c r="B1682" s="52">
        <v>57.902200000000001</v>
      </c>
      <c r="C1682" s="52">
        <v>56.814100000000003</v>
      </c>
      <c r="D1682" s="52">
        <v>57.748899999999999</v>
      </c>
      <c r="E1682" s="52">
        <v>30086560</v>
      </c>
      <c r="F1682" s="52" t="s">
        <v>584</v>
      </c>
      <c r="G1682" s="25">
        <f t="shared" si="24"/>
        <v>-8.3153099020066845E-3</v>
      </c>
    </row>
    <row r="1683" spans="1:7">
      <c r="A1683" s="52">
        <v>57.969799999999999</v>
      </c>
      <c r="B1683" s="52">
        <v>58.457500000000003</v>
      </c>
      <c r="C1683" s="52">
        <v>57.875799999999998</v>
      </c>
      <c r="D1683" s="52">
        <v>58.309199999999997</v>
      </c>
      <c r="E1683" s="52">
        <v>23601040</v>
      </c>
      <c r="F1683" s="52" t="s">
        <v>583</v>
      </c>
      <c r="G1683" s="25">
        <f t="shared" si="24"/>
        <v>-5.8206938184711676E-3</v>
      </c>
    </row>
    <row r="1684" spans="1:7">
      <c r="A1684" s="52">
        <v>58.1813</v>
      </c>
      <c r="B1684" s="52">
        <v>58.544600000000003</v>
      </c>
      <c r="C1684" s="52">
        <v>57.3767</v>
      </c>
      <c r="D1684" s="52">
        <v>57.524999999999999</v>
      </c>
      <c r="E1684" s="52">
        <v>40094460</v>
      </c>
      <c r="F1684" s="52" t="s">
        <v>582</v>
      </c>
      <c r="G1684" s="25">
        <f t="shared" si="24"/>
        <v>1.1408952629291536E-2</v>
      </c>
    </row>
    <row r="1685" spans="1:7">
      <c r="A1685" s="52">
        <v>57.396599999999999</v>
      </c>
      <c r="B1685" s="52">
        <v>57.998699999999999</v>
      </c>
      <c r="C1685" s="52">
        <v>56.6417</v>
      </c>
      <c r="D1685" s="52">
        <v>57.453299999999999</v>
      </c>
      <c r="E1685" s="52">
        <v>35489340</v>
      </c>
      <c r="F1685" s="52" t="s">
        <v>581</v>
      </c>
      <c r="G1685" s="25">
        <f t="shared" si="24"/>
        <v>-9.8688848160155551E-4</v>
      </c>
    </row>
    <row r="1686" spans="1:7">
      <c r="A1686" s="52">
        <v>57.152799999999999</v>
      </c>
      <c r="B1686" s="52">
        <v>57.226399999999998</v>
      </c>
      <c r="C1686" s="52">
        <v>56.280900000000003</v>
      </c>
      <c r="D1686" s="52">
        <v>56.280900000000003</v>
      </c>
      <c r="E1686" s="52">
        <v>34085160</v>
      </c>
      <c r="F1686" s="52" t="s">
        <v>580</v>
      </c>
      <c r="G1686" s="25">
        <f t="shared" si="24"/>
        <v>1.5491934208585745E-2</v>
      </c>
    </row>
    <row r="1687" spans="1:7">
      <c r="A1687" s="52">
        <v>56.0595</v>
      </c>
      <c r="B1687" s="52">
        <v>56.429699999999997</v>
      </c>
      <c r="C1687" s="52">
        <v>55.654400000000003</v>
      </c>
      <c r="D1687" s="52">
        <v>55.683799999999998</v>
      </c>
      <c r="E1687" s="52">
        <v>27427100</v>
      </c>
      <c r="F1687" s="52" t="s">
        <v>579</v>
      </c>
      <c r="G1687" s="25">
        <f t="shared" si="24"/>
        <v>6.7470251671042369E-3</v>
      </c>
    </row>
    <row r="1688" spans="1:7">
      <c r="A1688" s="52">
        <v>55.877400000000002</v>
      </c>
      <c r="B1688" s="52">
        <v>56.018700000000003</v>
      </c>
      <c r="C1688" s="52">
        <v>55.164299999999997</v>
      </c>
      <c r="D1688" s="52">
        <v>55.435499999999998</v>
      </c>
      <c r="E1688" s="52">
        <v>22097620</v>
      </c>
      <c r="F1688" s="52" t="s">
        <v>578</v>
      </c>
      <c r="G1688" s="25">
        <f t="shared" si="24"/>
        <v>7.9714262521308754E-3</v>
      </c>
    </row>
    <row r="1689" spans="1:7">
      <c r="A1689" s="52">
        <v>55.833599999999997</v>
      </c>
      <c r="B1689" s="52">
        <v>56.053800000000003</v>
      </c>
      <c r="C1689" s="52">
        <v>55.0717</v>
      </c>
      <c r="D1689" s="52">
        <v>55.453400000000002</v>
      </c>
      <c r="E1689" s="52">
        <v>35025220</v>
      </c>
      <c r="F1689" s="52" t="s">
        <v>577</v>
      </c>
      <c r="G1689" s="25">
        <f t="shared" si="24"/>
        <v>6.8562071937878777E-3</v>
      </c>
    </row>
    <row r="1690" spans="1:7">
      <c r="A1690" s="52">
        <v>55.600700000000003</v>
      </c>
      <c r="B1690" s="52">
        <v>56.002299999999998</v>
      </c>
      <c r="C1690" s="52">
        <v>55.440399999999997</v>
      </c>
      <c r="D1690" s="52">
        <v>55.829599999999999</v>
      </c>
      <c r="E1690" s="52">
        <v>26207240</v>
      </c>
      <c r="F1690" s="52" t="s">
        <v>576</v>
      </c>
      <c r="G1690" s="25">
        <f t="shared" si="24"/>
        <v>-4.099975640162179E-3</v>
      </c>
    </row>
    <row r="1691" spans="1:7">
      <c r="A1691" s="52">
        <v>55.562399999999997</v>
      </c>
      <c r="B1691" s="52">
        <v>55.596699999999998</v>
      </c>
      <c r="C1691" s="52">
        <v>54.763199999999998</v>
      </c>
      <c r="D1691" s="52">
        <v>55.220999999999997</v>
      </c>
      <c r="E1691" s="52">
        <v>29435660</v>
      </c>
      <c r="F1691" s="52" t="s">
        <v>575</v>
      </c>
      <c r="G1691" s="25">
        <f t="shared" si="24"/>
        <v>6.1824305970554772E-3</v>
      </c>
    </row>
    <row r="1692" spans="1:7">
      <c r="A1692" s="52">
        <v>54.947800000000001</v>
      </c>
      <c r="B1692" s="52">
        <v>55.691200000000002</v>
      </c>
      <c r="C1692" s="52">
        <v>54.637799999999999</v>
      </c>
      <c r="D1692" s="52">
        <v>55.672800000000002</v>
      </c>
      <c r="E1692" s="52">
        <v>33279600</v>
      </c>
      <c r="F1692" s="52" t="s">
        <v>574</v>
      </c>
      <c r="G1692" s="25">
        <f t="shared" si="24"/>
        <v>-1.3022517279533297E-2</v>
      </c>
    </row>
    <row r="1693" spans="1:7">
      <c r="A1693" s="52">
        <v>55.762900000000002</v>
      </c>
      <c r="B1693" s="52">
        <v>56.2774</v>
      </c>
      <c r="C1693" s="52">
        <v>55.323</v>
      </c>
      <c r="D1693" s="52">
        <v>56.175400000000003</v>
      </c>
      <c r="E1693" s="52">
        <v>24090660</v>
      </c>
      <c r="F1693" s="52" t="s">
        <v>573</v>
      </c>
      <c r="G1693" s="25">
        <f t="shared" si="24"/>
        <v>-7.3430718784379678E-3</v>
      </c>
    </row>
    <row r="1694" spans="1:7">
      <c r="A1694" s="52">
        <v>56.057499999999997</v>
      </c>
      <c r="B1694" s="52">
        <v>56.213200000000001</v>
      </c>
      <c r="C1694" s="52">
        <v>55.566299999999998</v>
      </c>
      <c r="D1694" s="52">
        <v>55.566299999999998</v>
      </c>
      <c r="E1694" s="52">
        <v>21985180</v>
      </c>
      <c r="F1694" s="52" t="s">
        <v>572</v>
      </c>
      <c r="G1694" s="25">
        <f t="shared" si="24"/>
        <v>8.8398903652033844E-3</v>
      </c>
    </row>
    <row r="1695" spans="1:7">
      <c r="A1695" s="52">
        <v>55.7151</v>
      </c>
      <c r="B1695" s="52">
        <v>56.693899999999999</v>
      </c>
      <c r="C1695" s="52">
        <v>55.570300000000003</v>
      </c>
      <c r="D1695" s="52">
        <v>56.693899999999999</v>
      </c>
      <c r="E1695" s="52">
        <v>27826960</v>
      </c>
      <c r="F1695" s="52" t="s">
        <v>571</v>
      </c>
      <c r="G1695" s="25">
        <f t="shared" si="24"/>
        <v>-1.7264643991681594E-2</v>
      </c>
    </row>
    <row r="1696" spans="1:7">
      <c r="A1696" s="52">
        <v>56.191400000000002</v>
      </c>
      <c r="B1696" s="52">
        <v>56.536200000000001</v>
      </c>
      <c r="C1696" s="52">
        <v>55.588700000000003</v>
      </c>
      <c r="D1696" s="52">
        <v>55.982399999999998</v>
      </c>
      <c r="E1696" s="52">
        <v>21105940</v>
      </c>
      <c r="F1696" s="52" t="s">
        <v>570</v>
      </c>
      <c r="G1696" s="25">
        <f t="shared" si="24"/>
        <v>3.7333161850867658E-3</v>
      </c>
    </row>
    <row r="1697" spans="1:7">
      <c r="A1697" s="52">
        <v>56.162999999999997</v>
      </c>
      <c r="B1697" s="52">
        <v>56.870600000000003</v>
      </c>
      <c r="C1697" s="52">
        <v>56.0321</v>
      </c>
      <c r="D1697" s="52">
        <v>56.382399999999997</v>
      </c>
      <c r="E1697" s="52">
        <v>28041740</v>
      </c>
      <c r="F1697" s="52" t="s">
        <v>569</v>
      </c>
      <c r="G1697" s="25">
        <f t="shared" si="24"/>
        <v>-3.8912852237578122E-3</v>
      </c>
    </row>
    <row r="1698" spans="1:7">
      <c r="A1698" s="52">
        <v>56.110700000000001</v>
      </c>
      <c r="B1698" s="52">
        <v>56.3735</v>
      </c>
      <c r="C1698" s="52">
        <v>55.286200000000001</v>
      </c>
      <c r="D1698" s="52">
        <v>55.286200000000001</v>
      </c>
      <c r="E1698" s="52">
        <v>35035420</v>
      </c>
      <c r="F1698" s="52" t="s">
        <v>568</v>
      </c>
      <c r="G1698" s="25">
        <f t="shared" si="24"/>
        <v>1.4913305671216293E-2</v>
      </c>
    </row>
    <row r="1699" spans="1:7">
      <c r="A1699" s="52">
        <v>54.843800000000002</v>
      </c>
      <c r="B1699" s="52">
        <v>55.406599999999997</v>
      </c>
      <c r="C1699" s="52">
        <v>54.738300000000002</v>
      </c>
      <c r="D1699" s="52">
        <v>54.924900000000001</v>
      </c>
      <c r="E1699" s="52">
        <v>18497620</v>
      </c>
      <c r="F1699" s="52" t="s">
        <v>567</v>
      </c>
      <c r="G1699" s="25">
        <f t="shared" si="24"/>
        <v>-1.4765616323380026E-3</v>
      </c>
    </row>
    <row r="1700" spans="1:7">
      <c r="A1700" s="52">
        <v>54.856699999999996</v>
      </c>
      <c r="B1700" s="52">
        <v>54.991799999999998</v>
      </c>
      <c r="C1700" s="52">
        <v>54.451700000000002</v>
      </c>
      <c r="D1700" s="52">
        <v>54.483499999999999</v>
      </c>
      <c r="E1700" s="52">
        <v>21766540</v>
      </c>
      <c r="F1700" s="52" t="s">
        <v>566</v>
      </c>
      <c r="G1700" s="25">
        <f t="shared" si="24"/>
        <v>6.8497802086868731E-3</v>
      </c>
    </row>
    <row r="1701" spans="1:7">
      <c r="A1701" s="52">
        <v>55.032400000000003</v>
      </c>
      <c r="B1701" s="52">
        <v>55.334899999999998</v>
      </c>
      <c r="C1701" s="52">
        <v>54.4193</v>
      </c>
      <c r="D1701" s="52">
        <v>55.326500000000003</v>
      </c>
      <c r="E1701" s="52">
        <v>38297540</v>
      </c>
      <c r="F1701" s="52" t="s">
        <v>565</v>
      </c>
      <c r="G1701" s="25">
        <f t="shared" si="24"/>
        <v>-5.3157166999538985E-3</v>
      </c>
    </row>
    <row r="1702" spans="1:7">
      <c r="A1702" s="52">
        <v>55.877400000000002</v>
      </c>
      <c r="B1702" s="52">
        <v>57.4255</v>
      </c>
      <c r="C1702" s="52">
        <v>55.651899999999998</v>
      </c>
      <c r="D1702" s="52">
        <v>57.190100000000001</v>
      </c>
      <c r="E1702" s="52">
        <v>48256400</v>
      </c>
      <c r="F1702" s="52" t="s">
        <v>564</v>
      </c>
      <c r="G1702" s="25">
        <f t="shared" si="24"/>
        <v>-2.2953273381232098E-2</v>
      </c>
    </row>
    <row r="1703" spans="1:7">
      <c r="A1703" s="52">
        <v>57.319499999999998</v>
      </c>
      <c r="B1703" s="52">
        <v>57.364199999999997</v>
      </c>
      <c r="C1703" s="52">
        <v>55.912700000000001</v>
      </c>
      <c r="D1703" s="52">
        <v>56.212699999999998</v>
      </c>
      <c r="E1703" s="52">
        <v>82295800</v>
      </c>
      <c r="F1703" s="52" t="s">
        <v>563</v>
      </c>
      <c r="G1703" s="25">
        <f t="shared" si="24"/>
        <v>1.9689500771178148E-2</v>
      </c>
    </row>
    <row r="1704" spans="1:7">
      <c r="A1704" s="52">
        <v>56.799399999999999</v>
      </c>
      <c r="B1704" s="52">
        <v>56.845199999999998</v>
      </c>
      <c r="C1704" s="52">
        <v>55.6096</v>
      </c>
      <c r="D1704" s="52">
        <v>55.6843</v>
      </c>
      <c r="E1704" s="52">
        <v>78411820</v>
      </c>
      <c r="F1704" s="52" t="s">
        <v>562</v>
      </c>
      <c r="G1704" s="25">
        <f t="shared" si="24"/>
        <v>2.0025393153905169E-2</v>
      </c>
    </row>
    <row r="1705" spans="1:7">
      <c r="A1705" s="52">
        <v>55.664900000000003</v>
      </c>
      <c r="B1705" s="52">
        <v>56.450099999999999</v>
      </c>
      <c r="C1705" s="52">
        <v>55.447400000000002</v>
      </c>
      <c r="D1705" s="52">
        <v>55.847499999999997</v>
      </c>
      <c r="E1705" s="52">
        <v>33116260</v>
      </c>
      <c r="F1705" s="52" t="s">
        <v>561</v>
      </c>
      <c r="G1705" s="25">
        <f t="shared" si="24"/>
        <v>-3.2696181565869953E-3</v>
      </c>
    </row>
    <row r="1706" spans="1:7">
      <c r="A1706" s="52">
        <v>56.026600000000002</v>
      </c>
      <c r="B1706" s="52">
        <v>56.115200000000002</v>
      </c>
      <c r="C1706" s="52">
        <v>54.999499999999998</v>
      </c>
      <c r="D1706" s="52">
        <v>55.3474</v>
      </c>
      <c r="E1706" s="52">
        <v>40231440</v>
      </c>
      <c r="F1706" s="52" t="s">
        <v>560</v>
      </c>
      <c r="G1706" s="25">
        <f t="shared" si="24"/>
        <v>1.2271579152769663E-2</v>
      </c>
    </row>
    <row r="1707" spans="1:7">
      <c r="A1707" s="52">
        <v>54.638300000000001</v>
      </c>
      <c r="B1707" s="52">
        <v>54.714399999999998</v>
      </c>
      <c r="C1707" s="52">
        <v>53.575899999999997</v>
      </c>
      <c r="D1707" s="52">
        <v>53.611699999999999</v>
      </c>
      <c r="E1707" s="52">
        <v>29452940</v>
      </c>
      <c r="F1707" s="52" t="s">
        <v>559</v>
      </c>
      <c r="G1707" s="25">
        <f t="shared" si="24"/>
        <v>1.9148805204834085E-2</v>
      </c>
    </row>
    <row r="1708" spans="1:7">
      <c r="A1708" s="52">
        <v>53.248399999999997</v>
      </c>
      <c r="B1708" s="52">
        <v>53.978400000000001</v>
      </c>
      <c r="C1708" s="52">
        <v>53.047400000000003</v>
      </c>
      <c r="D1708" s="52">
        <v>53.794800000000002</v>
      </c>
      <c r="E1708" s="52">
        <v>19704960</v>
      </c>
      <c r="F1708" s="52" t="s">
        <v>558</v>
      </c>
      <c r="G1708" s="25">
        <f t="shared" si="24"/>
        <v>-1.0157115557637653E-2</v>
      </c>
    </row>
    <row r="1709" spans="1:7">
      <c r="A1709" s="52">
        <v>53.7361</v>
      </c>
      <c r="B1709" s="52">
        <v>54.408099999999997</v>
      </c>
      <c r="C1709" s="52">
        <v>53.474800000000002</v>
      </c>
      <c r="D1709" s="52">
        <v>54.244199999999999</v>
      </c>
      <c r="E1709" s="52">
        <v>29334280</v>
      </c>
      <c r="F1709" s="52" t="s">
        <v>557</v>
      </c>
      <c r="G1709" s="25">
        <f t="shared" si="24"/>
        <v>-9.3669000556740878E-3</v>
      </c>
    </row>
    <row r="1710" spans="1:7">
      <c r="A1710" s="52">
        <v>54.813400000000001</v>
      </c>
      <c r="B1710" s="52">
        <v>54.905500000000004</v>
      </c>
      <c r="C1710" s="52">
        <v>54.330300000000001</v>
      </c>
      <c r="D1710" s="52">
        <v>54.4512</v>
      </c>
      <c r="E1710" s="52">
        <v>23275760</v>
      </c>
      <c r="F1710" s="52" t="s">
        <v>556</v>
      </c>
      <c r="G1710" s="25">
        <f t="shared" si="24"/>
        <v>6.6518276915843444E-3</v>
      </c>
    </row>
    <row r="1711" spans="1:7">
      <c r="A1711" s="52">
        <v>53.942100000000003</v>
      </c>
      <c r="B1711" s="52">
        <v>54.141199999999998</v>
      </c>
      <c r="C1711" s="52">
        <v>53.246400000000001</v>
      </c>
      <c r="D1711" s="52">
        <v>53.868000000000002</v>
      </c>
      <c r="E1711" s="52">
        <v>29118960</v>
      </c>
      <c r="F1711" s="52" t="s">
        <v>555</v>
      </c>
      <c r="G1711" s="25">
        <f t="shared" si="24"/>
        <v>1.3755847627534568E-3</v>
      </c>
    </row>
    <row r="1712" spans="1:7">
      <c r="A1712" s="52">
        <v>53.962499999999999</v>
      </c>
      <c r="B1712" s="52">
        <v>54.387500000000003</v>
      </c>
      <c r="C1712" s="52">
        <v>53.124499999999998</v>
      </c>
      <c r="D1712" s="52">
        <v>54.084400000000002</v>
      </c>
      <c r="E1712" s="52">
        <v>25194760</v>
      </c>
      <c r="F1712" s="52" t="s">
        <v>554</v>
      </c>
      <c r="G1712" s="25">
        <f t="shared" si="24"/>
        <v>-2.2538846691467773E-3</v>
      </c>
    </row>
    <row r="1713" spans="1:7">
      <c r="A1713" s="52">
        <v>53.674900000000001</v>
      </c>
      <c r="B1713" s="52">
        <v>54.686999999999998</v>
      </c>
      <c r="C1713" s="52">
        <v>53.289700000000003</v>
      </c>
      <c r="D1713" s="52">
        <v>54.539299999999997</v>
      </c>
      <c r="E1713" s="52">
        <v>39631880</v>
      </c>
      <c r="F1713" s="52" t="s">
        <v>553</v>
      </c>
      <c r="G1713" s="25">
        <f t="shared" si="24"/>
        <v>-1.5849121642558583E-2</v>
      </c>
    </row>
    <row r="1714" spans="1:7">
      <c r="A1714" s="52">
        <v>55.101599999999998</v>
      </c>
      <c r="B1714" s="52">
        <v>55.634</v>
      </c>
      <c r="C1714" s="52">
        <v>54.702599999999997</v>
      </c>
      <c r="D1714" s="52">
        <v>55.165799999999997</v>
      </c>
      <c r="E1714" s="52">
        <v>44891380</v>
      </c>
      <c r="F1714" s="52" t="s">
        <v>552</v>
      </c>
      <c r="G1714" s="25">
        <f t="shared" si="24"/>
        <v>-1.163764506270204E-3</v>
      </c>
    </row>
    <row r="1715" spans="1:7">
      <c r="A1715" s="52">
        <v>54.694499999999998</v>
      </c>
      <c r="B1715" s="52">
        <v>54.773099999999999</v>
      </c>
      <c r="C1715" s="52">
        <v>53.905000000000001</v>
      </c>
      <c r="D1715" s="52">
        <v>54.140700000000002</v>
      </c>
      <c r="E1715" s="52">
        <v>24896020</v>
      </c>
      <c r="F1715" s="52" t="s">
        <v>551</v>
      </c>
      <c r="G1715" s="25">
        <f t="shared" si="24"/>
        <v>1.0228903579007964E-2</v>
      </c>
    </row>
    <row r="1716" spans="1:7">
      <c r="A1716" s="52">
        <v>54.216299999999997</v>
      </c>
      <c r="B1716" s="52">
        <v>54.855699999999999</v>
      </c>
      <c r="C1716" s="52">
        <v>54.1417</v>
      </c>
      <c r="D1716" s="52">
        <v>54.240699999999997</v>
      </c>
      <c r="E1716" s="52">
        <v>38280820</v>
      </c>
      <c r="F1716" s="52" t="s">
        <v>550</v>
      </c>
      <c r="G1716" s="25">
        <f t="shared" si="24"/>
        <v>-4.498467018309027E-4</v>
      </c>
    </row>
    <row r="1717" spans="1:7">
      <c r="A1717" s="52">
        <v>54.067</v>
      </c>
      <c r="B1717" s="52">
        <v>54.154600000000002</v>
      </c>
      <c r="C1717" s="52">
        <v>52.4711</v>
      </c>
      <c r="D1717" s="52">
        <v>52.648800000000001</v>
      </c>
      <c r="E1717" s="52">
        <v>37517040</v>
      </c>
      <c r="F1717" s="52" t="s">
        <v>549</v>
      </c>
      <c r="G1717" s="25">
        <f t="shared" si="24"/>
        <v>2.6936986218109471E-2</v>
      </c>
    </row>
    <row r="1718" spans="1:7">
      <c r="A1718" s="52">
        <v>52.325299999999999</v>
      </c>
      <c r="B1718" s="52">
        <v>52.670699999999997</v>
      </c>
      <c r="C1718" s="52">
        <v>52.177999999999997</v>
      </c>
      <c r="D1718" s="52">
        <v>52.416400000000003</v>
      </c>
      <c r="E1718" s="52">
        <v>28489720</v>
      </c>
      <c r="F1718" s="52" t="s">
        <v>548</v>
      </c>
      <c r="G1718" s="25">
        <f t="shared" si="24"/>
        <v>-1.7380056623500506E-3</v>
      </c>
    </row>
    <row r="1719" spans="1:7">
      <c r="A1719" s="52">
        <v>52.970300000000002</v>
      </c>
      <c r="B1719" s="52">
        <v>53.4131</v>
      </c>
      <c r="C1719" s="52">
        <v>52.5702</v>
      </c>
      <c r="D1719" s="52">
        <v>53.240499999999997</v>
      </c>
      <c r="E1719" s="52">
        <v>30864760</v>
      </c>
      <c r="F1719" s="52" t="s">
        <v>547</v>
      </c>
      <c r="G1719" s="25">
        <f t="shared" si="24"/>
        <v>-5.0750838177702207E-3</v>
      </c>
    </row>
    <row r="1720" spans="1:7">
      <c r="A1720" s="52">
        <v>53.684800000000003</v>
      </c>
      <c r="B1720" s="52">
        <v>53.733600000000003</v>
      </c>
      <c r="C1720" s="52">
        <v>52.980699999999999</v>
      </c>
      <c r="D1720" s="52">
        <v>53.491300000000003</v>
      </c>
      <c r="E1720" s="52">
        <v>26597220</v>
      </c>
      <c r="F1720" s="52" t="s">
        <v>546</v>
      </c>
      <c r="G1720" s="25">
        <f t="shared" si="24"/>
        <v>3.6174106817370433E-3</v>
      </c>
    </row>
    <row r="1721" spans="1:7">
      <c r="A1721" s="52">
        <v>53.825200000000002</v>
      </c>
      <c r="B1721" s="52">
        <v>54.322299999999998</v>
      </c>
      <c r="C1721" s="52">
        <v>53.462899999999998</v>
      </c>
      <c r="D1721" s="52">
        <v>54.140700000000002</v>
      </c>
      <c r="E1721" s="52">
        <v>26998240</v>
      </c>
      <c r="F1721" s="52" t="s">
        <v>545</v>
      </c>
      <c r="G1721" s="25">
        <f t="shared" si="24"/>
        <v>-5.8274089548159269E-3</v>
      </c>
    </row>
    <row r="1722" spans="1:7">
      <c r="A1722" s="52">
        <v>54.010300000000001</v>
      </c>
      <c r="B1722" s="52">
        <v>54.407400000000003</v>
      </c>
      <c r="C1722" s="52">
        <v>53.1633</v>
      </c>
      <c r="D1722" s="52">
        <v>54.041600000000003</v>
      </c>
      <c r="E1722" s="52">
        <v>35413080</v>
      </c>
      <c r="F1722" s="52" t="s">
        <v>544</v>
      </c>
      <c r="G1722" s="25">
        <f t="shared" si="24"/>
        <v>-5.7918344386553855E-4</v>
      </c>
    </row>
    <row r="1723" spans="1:7">
      <c r="A1723" s="52">
        <v>53.54</v>
      </c>
      <c r="B1723" s="52">
        <v>53.877400000000002</v>
      </c>
      <c r="C1723" s="52">
        <v>52.879199999999997</v>
      </c>
      <c r="D1723" s="52">
        <v>53.7913</v>
      </c>
      <c r="E1723" s="52">
        <v>47453340</v>
      </c>
      <c r="F1723" s="52" t="s">
        <v>543</v>
      </c>
      <c r="G1723" s="25">
        <f t="shared" ref="G1723:G1786" si="25">A1723/D1723-1</f>
        <v>-4.6717591878240317E-3</v>
      </c>
    </row>
    <row r="1724" spans="1:7">
      <c r="A1724" s="52">
        <v>53.646999999999998</v>
      </c>
      <c r="B1724" s="52">
        <v>53.743099999999998</v>
      </c>
      <c r="C1724" s="52">
        <v>51.596299999999999</v>
      </c>
      <c r="D1724" s="52">
        <v>51.88</v>
      </c>
      <c r="E1724" s="52">
        <v>46028560</v>
      </c>
      <c r="F1724" s="52" t="s">
        <v>542</v>
      </c>
      <c r="G1724" s="25">
        <f t="shared" si="25"/>
        <v>3.4059367771780868E-2</v>
      </c>
    </row>
    <row r="1725" spans="1:7">
      <c r="A1725" s="52">
        <v>51.029499999999999</v>
      </c>
      <c r="B1725" s="52">
        <v>53.0593</v>
      </c>
      <c r="C1725" s="52">
        <v>50.875300000000003</v>
      </c>
      <c r="D1725" s="52">
        <v>52.283499999999997</v>
      </c>
      <c r="E1725" s="52">
        <v>41959140</v>
      </c>
      <c r="F1725" s="52" t="s">
        <v>541</v>
      </c>
      <c r="G1725" s="25">
        <f t="shared" si="25"/>
        <v>-2.3984622299578207E-2</v>
      </c>
    </row>
    <row r="1726" spans="1:7">
      <c r="A1726" s="52">
        <v>52.4831</v>
      </c>
      <c r="B1726" s="52">
        <v>52.787100000000002</v>
      </c>
      <c r="C1726" s="52">
        <v>51.019799999999996</v>
      </c>
      <c r="D1726" s="52">
        <v>51.115600000000001</v>
      </c>
      <c r="E1726" s="52">
        <v>31867900</v>
      </c>
      <c r="F1726" s="52" t="s">
        <v>540</v>
      </c>
      <c r="G1726" s="25">
        <f t="shared" si="25"/>
        <v>2.6753085163824686E-2</v>
      </c>
    </row>
    <row r="1727" spans="1:7">
      <c r="A1727" s="52">
        <v>51.999400000000001</v>
      </c>
      <c r="B1727" s="52">
        <v>52.896599999999999</v>
      </c>
      <c r="C1727" s="52">
        <v>51.406199999999998</v>
      </c>
      <c r="D1727" s="52">
        <v>52.639800000000001</v>
      </c>
      <c r="E1727" s="52">
        <v>33110080</v>
      </c>
      <c r="F1727" s="52" t="s">
        <v>539</v>
      </c>
      <c r="G1727" s="25">
        <f t="shared" si="25"/>
        <v>-1.2165699717704093E-2</v>
      </c>
    </row>
    <row r="1728" spans="1:7">
      <c r="A1728" s="52">
        <v>52.085000000000001</v>
      </c>
      <c r="B1728" s="52">
        <v>52.958300000000001</v>
      </c>
      <c r="C1728" s="52">
        <v>51.8521</v>
      </c>
      <c r="D1728" s="52">
        <v>52.722900000000003</v>
      </c>
      <c r="E1728" s="52">
        <v>34367040</v>
      </c>
      <c r="F1728" s="52" t="s">
        <v>538</v>
      </c>
      <c r="G1728" s="25">
        <f t="shared" si="25"/>
        <v>-1.2099106839722484E-2</v>
      </c>
    </row>
    <row r="1729" spans="1:7">
      <c r="A1729" s="52">
        <v>52.394500000000001</v>
      </c>
      <c r="B1729" s="52">
        <v>52.416400000000003</v>
      </c>
      <c r="C1729" s="52">
        <v>50.110399999999998</v>
      </c>
      <c r="D1729" s="52">
        <v>51.065899999999999</v>
      </c>
      <c r="E1729" s="52">
        <v>45996120</v>
      </c>
      <c r="F1729" s="52" t="s">
        <v>537</v>
      </c>
      <c r="G1729" s="25">
        <f t="shared" si="25"/>
        <v>2.6017361879453915E-2</v>
      </c>
    </row>
    <row r="1730" spans="1:7">
      <c r="A1730" s="52">
        <v>52.1432</v>
      </c>
      <c r="B1730" s="52">
        <v>52.173099999999998</v>
      </c>
      <c r="C1730" s="52">
        <v>49.396099999999997</v>
      </c>
      <c r="D1730" s="52">
        <v>49.662100000000002</v>
      </c>
      <c r="E1730" s="52">
        <v>46317240</v>
      </c>
      <c r="F1730" s="52" t="s">
        <v>536</v>
      </c>
      <c r="G1730" s="25">
        <f t="shared" si="25"/>
        <v>4.9959627160349518E-2</v>
      </c>
    </row>
    <row r="1731" spans="1:7">
      <c r="A1731" s="52">
        <v>48.999200000000002</v>
      </c>
      <c r="B1731" s="52">
        <v>50.365200000000002</v>
      </c>
      <c r="C1731" s="52">
        <v>48.650399999999998</v>
      </c>
      <c r="D1731" s="52">
        <v>48.9818</v>
      </c>
      <c r="E1731" s="52">
        <v>36359100</v>
      </c>
      <c r="F1731" s="52" t="s">
        <v>535</v>
      </c>
      <c r="G1731" s="25">
        <f t="shared" si="25"/>
        <v>3.5523398486780877E-4</v>
      </c>
    </row>
    <row r="1732" spans="1:7">
      <c r="A1732" s="52">
        <v>49.326700000000002</v>
      </c>
      <c r="B1732" s="52">
        <v>51.636600000000001</v>
      </c>
      <c r="C1732" s="52">
        <v>48.826099999999997</v>
      </c>
      <c r="D1732" s="52">
        <v>51.356499999999997</v>
      </c>
      <c r="E1732" s="52">
        <v>104649800</v>
      </c>
      <c r="F1732" s="52" t="s">
        <v>534</v>
      </c>
      <c r="G1732" s="25">
        <f t="shared" si="25"/>
        <v>-3.9523721437403125E-2</v>
      </c>
    </row>
    <row r="1733" spans="1:7">
      <c r="A1733" s="52">
        <v>50.935499999999998</v>
      </c>
      <c r="B1733" s="52">
        <v>52.122799999999998</v>
      </c>
      <c r="C1733" s="52">
        <v>50.153500000000001</v>
      </c>
      <c r="D1733" s="52">
        <v>51.055900000000001</v>
      </c>
      <c r="E1733" s="52">
        <v>53673400</v>
      </c>
      <c r="F1733" s="52" t="s">
        <v>533</v>
      </c>
      <c r="G1733" s="25">
        <f t="shared" si="25"/>
        <v>-2.3581995420706159E-3</v>
      </c>
    </row>
    <row r="1734" spans="1:7">
      <c r="A1734" s="52">
        <v>51.526699999999998</v>
      </c>
      <c r="B1734" s="52">
        <v>53.529600000000002</v>
      </c>
      <c r="C1734" s="52">
        <v>50.728999999999999</v>
      </c>
      <c r="D1734" s="52">
        <v>52.115299999999998</v>
      </c>
      <c r="E1734" s="52">
        <v>58264740</v>
      </c>
      <c r="F1734" s="52" t="s">
        <v>532</v>
      </c>
      <c r="G1734" s="25">
        <f t="shared" si="25"/>
        <v>-1.1294188079124523E-2</v>
      </c>
    </row>
    <row r="1735" spans="1:7">
      <c r="A1735" s="52">
        <v>51.9223</v>
      </c>
      <c r="B1735" s="52">
        <v>52.732399999999998</v>
      </c>
      <c r="C1735" s="52">
        <v>51.278799999999997</v>
      </c>
      <c r="D1735" s="52">
        <v>51.454000000000001</v>
      </c>
      <c r="E1735" s="52">
        <v>43640380</v>
      </c>
      <c r="F1735" s="52" t="s">
        <v>531</v>
      </c>
      <c r="G1735" s="25">
        <f t="shared" si="25"/>
        <v>9.1013332296807636E-3</v>
      </c>
    </row>
    <row r="1736" spans="1:7">
      <c r="A1736" s="52">
        <v>51.038499999999999</v>
      </c>
      <c r="B1736" s="52">
        <v>52.866199999999999</v>
      </c>
      <c r="C1736" s="52">
        <v>50.589599999999997</v>
      </c>
      <c r="D1736" s="52">
        <v>52.101399999999998</v>
      </c>
      <c r="E1736" s="52">
        <v>49931020</v>
      </c>
      <c r="F1736" s="52" t="s">
        <v>530</v>
      </c>
      <c r="G1736" s="25">
        <f t="shared" si="25"/>
        <v>-2.0400603438679221E-2</v>
      </c>
    </row>
    <row r="1737" spans="1:7">
      <c r="A1737" s="52">
        <v>52.335299999999997</v>
      </c>
      <c r="B1737" s="52">
        <v>53.331000000000003</v>
      </c>
      <c r="C1737" s="52">
        <v>52.218800000000002</v>
      </c>
      <c r="D1737" s="52">
        <v>52.748800000000003</v>
      </c>
      <c r="E1737" s="52">
        <v>36358980</v>
      </c>
      <c r="F1737" s="52" t="s">
        <v>529</v>
      </c>
      <c r="G1737" s="25">
        <f t="shared" si="25"/>
        <v>-7.8390408881340301E-3</v>
      </c>
    </row>
    <row r="1738" spans="1:7">
      <c r="A1738" s="52">
        <v>53.421599999999998</v>
      </c>
      <c r="B1738" s="52">
        <v>54.162100000000002</v>
      </c>
      <c r="C1738" s="52">
        <v>52.996299999999998</v>
      </c>
      <c r="D1738" s="52">
        <v>53.5276</v>
      </c>
      <c r="E1738" s="52">
        <v>24988060</v>
      </c>
      <c r="F1738" s="52" t="s">
        <v>528</v>
      </c>
      <c r="G1738" s="25">
        <f t="shared" si="25"/>
        <v>-1.980286805311704E-3</v>
      </c>
    </row>
    <row r="1739" spans="1:7">
      <c r="A1739" s="52">
        <v>53.430999999999997</v>
      </c>
      <c r="B1739" s="52">
        <v>54.326900000000002</v>
      </c>
      <c r="C1739" s="52">
        <v>53.343499999999999</v>
      </c>
      <c r="D1739" s="52">
        <v>53.597799999999999</v>
      </c>
      <c r="E1739" s="52">
        <v>28959460</v>
      </c>
      <c r="F1739" s="52" t="s">
        <v>527</v>
      </c>
      <c r="G1739" s="25">
        <f t="shared" si="25"/>
        <v>-3.1120680326431893E-3</v>
      </c>
    </row>
    <row r="1740" spans="1:7">
      <c r="A1740" s="52">
        <v>52.829900000000002</v>
      </c>
      <c r="B1740" s="52">
        <v>53.265300000000003</v>
      </c>
      <c r="C1740" s="52">
        <v>52.255200000000002</v>
      </c>
      <c r="D1740" s="52">
        <v>53.093200000000003</v>
      </c>
      <c r="E1740" s="52">
        <v>33851520</v>
      </c>
      <c r="F1740" s="52" t="s">
        <v>526</v>
      </c>
      <c r="G1740" s="25">
        <f t="shared" si="25"/>
        <v>-4.9592038151778928E-3</v>
      </c>
    </row>
    <row r="1741" spans="1:7">
      <c r="A1741" s="52">
        <v>52.4084</v>
      </c>
      <c r="B1741" s="52">
        <v>52.727899999999998</v>
      </c>
      <c r="C1741" s="52">
        <v>51.404200000000003</v>
      </c>
      <c r="D1741" s="52">
        <v>51.898899999999998</v>
      </c>
      <c r="E1741" s="52">
        <v>33652920</v>
      </c>
      <c r="F1741" s="52" t="s">
        <v>525</v>
      </c>
      <c r="G1741" s="25">
        <f t="shared" si="25"/>
        <v>9.8171637549158142E-3</v>
      </c>
    </row>
    <row r="1742" spans="1:7">
      <c r="A1742" s="52">
        <v>52.08</v>
      </c>
      <c r="B1742" s="52">
        <v>53.993400000000001</v>
      </c>
      <c r="C1742" s="52">
        <v>51.721200000000003</v>
      </c>
      <c r="D1742" s="52">
        <v>53.356400000000001</v>
      </c>
      <c r="E1742" s="52">
        <v>42682220</v>
      </c>
      <c r="F1742" s="52" t="s">
        <v>524</v>
      </c>
      <c r="G1742" s="25">
        <f t="shared" si="25"/>
        <v>-2.3922153668538448E-2</v>
      </c>
    </row>
    <row r="1743" spans="1:7">
      <c r="A1743" s="52">
        <v>53.647500000000001</v>
      </c>
      <c r="B1743" s="52">
        <v>53.714199999999998</v>
      </c>
      <c r="C1743" s="52">
        <v>51.875999999999998</v>
      </c>
      <c r="D1743" s="52">
        <v>52.001399999999997</v>
      </c>
      <c r="E1743" s="52">
        <v>47436500</v>
      </c>
      <c r="F1743" s="52" t="s">
        <v>523</v>
      </c>
      <c r="G1743" s="25">
        <f t="shared" si="25"/>
        <v>3.1654916983004489E-2</v>
      </c>
    </row>
    <row r="1744" spans="1:7">
      <c r="A1744" s="52">
        <v>52.870699999999999</v>
      </c>
      <c r="B1744" s="52">
        <v>55.446899999999999</v>
      </c>
      <c r="C1744" s="52">
        <v>52.7864</v>
      </c>
      <c r="D1744" s="52">
        <v>55.384700000000002</v>
      </c>
      <c r="E1744" s="52">
        <v>45629700</v>
      </c>
      <c r="F1744" s="52" t="s">
        <v>522</v>
      </c>
      <c r="G1744" s="25">
        <f t="shared" si="25"/>
        <v>-4.539159731839304E-2</v>
      </c>
    </row>
    <row r="1745" spans="1:7">
      <c r="A1745" s="52">
        <v>55.552399999999999</v>
      </c>
      <c r="B1745" s="52">
        <v>56.48</v>
      </c>
      <c r="C1745" s="52">
        <v>55.322000000000003</v>
      </c>
      <c r="D1745" s="52">
        <v>56.3386</v>
      </c>
      <c r="E1745" s="52">
        <v>57528980</v>
      </c>
      <c r="F1745" s="52" t="s">
        <v>521</v>
      </c>
      <c r="G1745" s="25">
        <f t="shared" si="25"/>
        <v>-1.3954908357680207E-2</v>
      </c>
    </row>
    <row r="1746" spans="1:7">
      <c r="A1746" s="52">
        <v>55.218499999999999</v>
      </c>
      <c r="B1746" s="52">
        <v>55.218499999999999</v>
      </c>
      <c r="C1746" s="52">
        <v>53.901299999999999</v>
      </c>
      <c r="D1746" s="52">
        <v>54.520800000000001</v>
      </c>
      <c r="E1746" s="52">
        <v>59666800</v>
      </c>
      <c r="F1746" s="52" t="s">
        <v>520</v>
      </c>
      <c r="G1746" s="25">
        <f t="shared" si="25"/>
        <v>1.2796950888468217E-2</v>
      </c>
    </row>
    <row r="1747" spans="1:7">
      <c r="A1747" s="52">
        <v>54.468600000000002</v>
      </c>
      <c r="B1747" s="52">
        <v>54.745800000000003</v>
      </c>
      <c r="C1747" s="52">
        <v>53.842599999999997</v>
      </c>
      <c r="D1747" s="52">
        <v>53.918700000000001</v>
      </c>
      <c r="E1747" s="52">
        <v>31010460</v>
      </c>
      <c r="F1747" s="52" t="s">
        <v>519</v>
      </c>
      <c r="G1747" s="25">
        <f t="shared" si="25"/>
        <v>1.0198688024748437E-2</v>
      </c>
    </row>
    <row r="1748" spans="1:7">
      <c r="A1748" s="52">
        <v>54.329799999999999</v>
      </c>
      <c r="B1748" s="52">
        <v>54.382899999999999</v>
      </c>
      <c r="C1748" s="52">
        <v>51.8994</v>
      </c>
      <c r="D1748" s="52">
        <v>52.621400000000001</v>
      </c>
      <c r="E1748" s="52">
        <v>46042420</v>
      </c>
      <c r="F1748" s="52" t="s">
        <v>518</v>
      </c>
      <c r="G1748" s="25">
        <f t="shared" si="25"/>
        <v>3.2465878900979295E-2</v>
      </c>
    </row>
    <row r="1749" spans="1:7">
      <c r="A1749" s="52">
        <v>52.363700000000001</v>
      </c>
      <c r="B1749" s="52">
        <v>53.084200000000003</v>
      </c>
      <c r="C1749" s="52">
        <v>52.026299999999999</v>
      </c>
      <c r="D1749" s="52">
        <v>52.316899999999997</v>
      </c>
      <c r="E1749" s="52">
        <v>33048660</v>
      </c>
      <c r="F1749" s="52" t="s">
        <v>517</v>
      </c>
      <c r="G1749" s="25">
        <f t="shared" si="25"/>
        <v>8.9454841552161213E-4</v>
      </c>
    </row>
    <row r="1750" spans="1:7">
      <c r="A1750" s="52">
        <v>52.5458</v>
      </c>
      <c r="B1750" s="52">
        <v>52.598500000000001</v>
      </c>
      <c r="C1750" s="52">
        <v>51.741100000000003</v>
      </c>
      <c r="D1750" s="52">
        <v>51.951599999999999</v>
      </c>
      <c r="E1750" s="52">
        <v>31558820</v>
      </c>
      <c r="F1750" s="52" t="s">
        <v>516</v>
      </c>
      <c r="G1750" s="25">
        <f t="shared" si="25"/>
        <v>1.1437568814050003E-2</v>
      </c>
    </row>
    <row r="1751" spans="1:7">
      <c r="A1751" s="52">
        <v>51.259900000000002</v>
      </c>
      <c r="B1751" s="52">
        <v>51.901899999999998</v>
      </c>
      <c r="C1751" s="52">
        <v>51.1813</v>
      </c>
      <c r="D1751" s="52">
        <v>51.429099999999998</v>
      </c>
      <c r="E1751" s="52">
        <v>14177180</v>
      </c>
      <c r="F1751" s="52" t="s">
        <v>515</v>
      </c>
      <c r="G1751" s="25">
        <f t="shared" si="25"/>
        <v>-3.2899661864586038E-3</v>
      </c>
    </row>
    <row r="1752" spans="1:7">
      <c r="A1752" s="52">
        <v>51.923299999999998</v>
      </c>
      <c r="B1752" s="52">
        <v>52.484299999999998</v>
      </c>
      <c r="C1752" s="52">
        <v>51.725499999999997</v>
      </c>
      <c r="D1752" s="52">
        <v>52.016800000000003</v>
      </c>
      <c r="E1752" s="52">
        <v>29703440</v>
      </c>
      <c r="F1752" s="52" t="s">
        <v>514</v>
      </c>
      <c r="G1752" s="25">
        <f t="shared" si="25"/>
        <v>-1.7974961935376399E-3</v>
      </c>
    </row>
    <row r="1753" spans="1:7">
      <c r="A1753" s="52">
        <v>51.277299999999997</v>
      </c>
      <c r="B1753" s="52">
        <v>51.620699999999999</v>
      </c>
      <c r="C1753" s="52">
        <v>49.872100000000003</v>
      </c>
      <c r="D1753" s="52">
        <v>50.124899999999997</v>
      </c>
      <c r="E1753" s="52">
        <v>54458680</v>
      </c>
      <c r="F1753" s="52" t="s">
        <v>513</v>
      </c>
      <c r="G1753" s="25">
        <f t="shared" si="25"/>
        <v>2.2990569557246099E-2</v>
      </c>
    </row>
    <row r="1754" spans="1:7">
      <c r="A1754" s="52">
        <v>51.126600000000003</v>
      </c>
      <c r="B1754" s="52">
        <v>53.145899999999997</v>
      </c>
      <c r="C1754" s="52">
        <v>50.900100000000002</v>
      </c>
      <c r="D1754" s="52">
        <v>52.916499999999999</v>
      </c>
      <c r="E1754" s="52">
        <v>45683820</v>
      </c>
      <c r="F1754" s="52" t="s">
        <v>512</v>
      </c>
      <c r="G1754" s="25">
        <f t="shared" si="25"/>
        <v>-3.3824988425160352E-2</v>
      </c>
    </row>
    <row r="1755" spans="1:7">
      <c r="A1755" s="52">
        <v>53.159300000000002</v>
      </c>
      <c r="B1755" s="52">
        <v>53.366900000000001</v>
      </c>
      <c r="C1755" s="52">
        <v>52.494</v>
      </c>
      <c r="D1755" s="52">
        <v>53.008099999999999</v>
      </c>
      <c r="E1755" s="52">
        <v>35366160</v>
      </c>
      <c r="F1755" s="52" t="s">
        <v>511</v>
      </c>
      <c r="G1755" s="25">
        <f t="shared" si="25"/>
        <v>2.8523942567268978E-3</v>
      </c>
    </row>
    <row r="1756" spans="1:7">
      <c r="A1756" s="52">
        <v>53.297699999999999</v>
      </c>
      <c r="B1756" s="52">
        <v>53.686799999999998</v>
      </c>
      <c r="C1756" s="52">
        <v>51.816899999999997</v>
      </c>
      <c r="D1756" s="52">
        <v>52.322800000000001</v>
      </c>
      <c r="E1756" s="52">
        <v>41583080</v>
      </c>
      <c r="F1756" s="52" t="s">
        <v>510</v>
      </c>
      <c r="G1756" s="25">
        <f t="shared" si="25"/>
        <v>1.8632412638467377E-2</v>
      </c>
    </row>
    <row r="1757" spans="1:7">
      <c r="A1757" s="52">
        <v>52.478099999999998</v>
      </c>
      <c r="B1757" s="52">
        <v>53.035899999999998</v>
      </c>
      <c r="C1757" s="52">
        <v>51.8078</v>
      </c>
      <c r="D1757" s="52">
        <v>52.747799999999998</v>
      </c>
      <c r="E1757" s="52">
        <v>34666040</v>
      </c>
      <c r="F1757" s="52" t="s">
        <v>509</v>
      </c>
      <c r="G1757" s="25">
        <f t="shared" si="25"/>
        <v>-5.1130094525269065E-3</v>
      </c>
    </row>
    <row r="1758" spans="1:7">
      <c r="A1758" s="52">
        <v>52.1492</v>
      </c>
      <c r="B1758" s="52">
        <v>53.079500000000003</v>
      </c>
      <c r="C1758" s="52">
        <v>51.772500000000001</v>
      </c>
      <c r="D1758" s="52">
        <v>52.4895</v>
      </c>
      <c r="E1758" s="52">
        <v>25749500</v>
      </c>
      <c r="F1758" s="52" t="s">
        <v>508</v>
      </c>
      <c r="G1758" s="25">
        <f t="shared" si="25"/>
        <v>-6.483201402185168E-3</v>
      </c>
    </row>
    <row r="1759" spans="1:7">
      <c r="A1759" s="52">
        <v>52.218299999999999</v>
      </c>
      <c r="B1759" s="52">
        <v>53.4495</v>
      </c>
      <c r="C1759" s="52">
        <v>51.77</v>
      </c>
      <c r="D1759" s="52">
        <v>53.401200000000003</v>
      </c>
      <c r="E1759" s="52">
        <v>34001820</v>
      </c>
      <c r="F1759" s="52" t="s">
        <v>507</v>
      </c>
      <c r="G1759" s="25">
        <f t="shared" si="25"/>
        <v>-2.2151187613761558E-2</v>
      </c>
    </row>
    <row r="1760" spans="1:7">
      <c r="A1760" s="52">
        <v>53.594799999999999</v>
      </c>
      <c r="B1760" s="52">
        <v>54.1586</v>
      </c>
      <c r="C1760" s="52">
        <v>52.959800000000001</v>
      </c>
      <c r="D1760" s="52">
        <v>53.943100000000001</v>
      </c>
      <c r="E1760" s="52">
        <v>34865960</v>
      </c>
      <c r="F1760" s="52" t="s">
        <v>506</v>
      </c>
      <c r="G1760" s="25">
        <f t="shared" si="25"/>
        <v>-6.4568035578229654E-3</v>
      </c>
    </row>
    <row r="1761" spans="1:7">
      <c r="A1761" s="52">
        <v>54.4711</v>
      </c>
      <c r="B1761" s="52">
        <v>55.147300000000001</v>
      </c>
      <c r="C1761" s="52">
        <v>53.96</v>
      </c>
      <c r="D1761" s="52">
        <v>55.101599999999998</v>
      </c>
      <c r="E1761" s="52">
        <v>33703860</v>
      </c>
      <c r="F1761" s="52" t="s">
        <v>505</v>
      </c>
      <c r="G1761" s="25">
        <f t="shared" si="25"/>
        <v>-1.1442498947398905E-2</v>
      </c>
    </row>
    <row r="1762" spans="1:7">
      <c r="A1762" s="52">
        <v>55.148299999999999</v>
      </c>
      <c r="B1762" s="52">
        <v>55.232399999999998</v>
      </c>
      <c r="C1762" s="52">
        <v>53.772399999999998</v>
      </c>
      <c r="D1762" s="52">
        <v>53.916699999999999</v>
      </c>
      <c r="E1762" s="52">
        <v>43387840</v>
      </c>
      <c r="F1762" s="52" t="s">
        <v>504</v>
      </c>
      <c r="G1762" s="25">
        <f t="shared" si="25"/>
        <v>2.2842644301301895E-2</v>
      </c>
    </row>
    <row r="1763" spans="1:7">
      <c r="A1763" s="52">
        <v>53.223999999999997</v>
      </c>
      <c r="B1763" s="52">
        <v>53.734099999999998</v>
      </c>
      <c r="C1763" s="52">
        <v>52.4298</v>
      </c>
      <c r="D1763" s="52">
        <v>52.5</v>
      </c>
      <c r="E1763" s="52">
        <v>28660260</v>
      </c>
      <c r="F1763" s="52" t="s">
        <v>503</v>
      </c>
      <c r="G1763" s="25">
        <f t="shared" si="25"/>
        <v>1.3790476190476131E-2</v>
      </c>
    </row>
    <row r="1764" spans="1:7">
      <c r="A1764" s="52">
        <v>52.535299999999999</v>
      </c>
      <c r="B1764" s="52">
        <v>53.412100000000002</v>
      </c>
      <c r="C1764" s="52">
        <v>51.454000000000001</v>
      </c>
      <c r="D1764" s="52">
        <v>53.371299999999998</v>
      </c>
      <c r="E1764" s="52">
        <v>45357400</v>
      </c>
      <c r="F1764" s="52" t="s">
        <v>502</v>
      </c>
      <c r="G1764" s="25">
        <f t="shared" si="25"/>
        <v>-1.5663849297281485E-2</v>
      </c>
    </row>
    <row r="1765" spans="1:7">
      <c r="A1765" s="52">
        <v>53.319600000000001</v>
      </c>
      <c r="B1765" s="52">
        <v>54.638800000000003</v>
      </c>
      <c r="C1765" s="52">
        <v>53.128999999999998</v>
      </c>
      <c r="D1765" s="52">
        <v>54.190899999999999</v>
      </c>
      <c r="E1765" s="52">
        <v>43444300</v>
      </c>
      <c r="F1765" s="52" t="s">
        <v>501</v>
      </c>
      <c r="G1765" s="25">
        <f t="shared" si="25"/>
        <v>-1.6078345257229509E-2</v>
      </c>
    </row>
    <row r="1766" spans="1:7">
      <c r="A1766" s="52">
        <v>54.040599999999998</v>
      </c>
      <c r="B1766" s="52">
        <v>54.7333</v>
      </c>
      <c r="C1766" s="52">
        <v>53.634599999999999</v>
      </c>
      <c r="D1766" s="52">
        <v>54.310299999999998</v>
      </c>
      <c r="E1766" s="52">
        <v>40131500</v>
      </c>
      <c r="F1766" s="52" t="s">
        <v>500</v>
      </c>
      <c r="G1766" s="25">
        <f t="shared" si="25"/>
        <v>-4.9659088607502122E-3</v>
      </c>
    </row>
    <row r="1767" spans="1:7">
      <c r="A1767" s="52">
        <v>54.269500000000001</v>
      </c>
      <c r="B1767" s="52">
        <v>55.136400000000002</v>
      </c>
      <c r="C1767" s="52">
        <v>53.155900000000003</v>
      </c>
      <c r="D1767" s="52">
        <v>53.155900000000003</v>
      </c>
      <c r="E1767" s="52">
        <v>70916420</v>
      </c>
      <c r="F1767" s="52" t="s">
        <v>499</v>
      </c>
      <c r="G1767" s="25">
        <f t="shared" si="25"/>
        <v>2.0949697023284308E-2</v>
      </c>
    </row>
    <row r="1768" spans="1:7">
      <c r="A1768" s="52">
        <v>52.2258</v>
      </c>
      <c r="B1768" s="52">
        <v>52.295000000000002</v>
      </c>
      <c r="C1768" s="52">
        <v>50.457299999999996</v>
      </c>
      <c r="D1768" s="52">
        <v>50.757800000000003</v>
      </c>
      <c r="E1768" s="52">
        <v>59768360</v>
      </c>
      <c r="F1768" s="52" t="s">
        <v>498</v>
      </c>
      <c r="G1768" s="25">
        <f t="shared" si="25"/>
        <v>2.8921663271457732E-2</v>
      </c>
    </row>
    <row r="1769" spans="1:7">
      <c r="A1769" s="52">
        <v>51.490299999999998</v>
      </c>
      <c r="B1769" s="52">
        <v>55.177700000000002</v>
      </c>
      <c r="C1769" s="52">
        <v>50.120399999999997</v>
      </c>
      <c r="D1769" s="52">
        <v>54.566099999999999</v>
      </c>
      <c r="E1769" s="52">
        <v>81289040</v>
      </c>
      <c r="F1769" s="52" t="s">
        <v>497</v>
      </c>
      <c r="G1769" s="25">
        <f t="shared" si="25"/>
        <v>-5.6368331253287329E-2</v>
      </c>
    </row>
    <row r="1770" spans="1:7">
      <c r="A1770" s="52">
        <v>53.929699999999997</v>
      </c>
      <c r="B1770" s="52">
        <v>55.584299999999999</v>
      </c>
      <c r="C1770" s="52">
        <v>51.863500000000002</v>
      </c>
      <c r="D1770" s="52">
        <v>52.167099999999998</v>
      </c>
      <c r="E1770" s="52">
        <v>106437660</v>
      </c>
      <c r="F1770" s="52" t="s">
        <v>496</v>
      </c>
      <c r="G1770" s="25">
        <f t="shared" si="25"/>
        <v>3.3787578761326653E-2</v>
      </c>
    </row>
    <row r="1771" spans="1:7">
      <c r="A1771" s="52">
        <v>54.916899999999998</v>
      </c>
      <c r="B1771" s="52">
        <v>55.625100000000003</v>
      </c>
      <c r="C1771" s="52">
        <v>53.5214</v>
      </c>
      <c r="D1771" s="52">
        <v>53.758000000000003</v>
      </c>
      <c r="E1771" s="52">
        <v>72956280</v>
      </c>
      <c r="F1771" s="52" t="s">
        <v>495</v>
      </c>
      <c r="G1771" s="25">
        <f t="shared" si="25"/>
        <v>2.1557721641429994E-2</v>
      </c>
    </row>
    <row r="1772" spans="1:7">
      <c r="A1772" s="52">
        <v>52.604500000000002</v>
      </c>
      <c r="B1772" s="52">
        <v>55.565300000000001</v>
      </c>
      <c r="C1772" s="52">
        <v>52.502000000000002</v>
      </c>
      <c r="D1772" s="52">
        <v>55.484699999999997</v>
      </c>
      <c r="E1772" s="52">
        <v>49285900</v>
      </c>
      <c r="F1772" s="52" t="s">
        <v>494</v>
      </c>
      <c r="G1772" s="25">
        <f t="shared" si="25"/>
        <v>-5.1909805766274242E-2</v>
      </c>
    </row>
    <row r="1773" spans="1:7">
      <c r="A1773" s="52">
        <v>55.4803</v>
      </c>
      <c r="B1773" s="52">
        <v>55.634</v>
      </c>
      <c r="C1773" s="52">
        <v>53.693800000000003</v>
      </c>
      <c r="D1773" s="52">
        <v>54.304900000000004</v>
      </c>
      <c r="E1773" s="52">
        <v>37685100</v>
      </c>
      <c r="F1773" s="52" t="s">
        <v>493</v>
      </c>
      <c r="G1773" s="25">
        <f t="shared" si="25"/>
        <v>2.1644455656856021E-2</v>
      </c>
    </row>
    <row r="1774" spans="1:7">
      <c r="A1774" s="52">
        <v>55.304099999999998</v>
      </c>
      <c r="B1774" s="52">
        <v>55.817599999999999</v>
      </c>
      <c r="C1774" s="52">
        <v>54.738300000000002</v>
      </c>
      <c r="D1774" s="52">
        <v>55.360799999999998</v>
      </c>
      <c r="E1774" s="52">
        <v>27116840</v>
      </c>
      <c r="F1774" s="52" t="s">
        <v>492</v>
      </c>
      <c r="G1774" s="25">
        <f t="shared" si="25"/>
        <v>-1.0241904018727377E-3</v>
      </c>
    </row>
    <row r="1775" spans="1:7">
      <c r="A1775" s="52">
        <v>54.996099999999998</v>
      </c>
      <c r="B1775" s="52">
        <v>55.780799999999999</v>
      </c>
      <c r="C1775" s="52">
        <v>54.590499999999999</v>
      </c>
      <c r="D1775" s="52">
        <v>54.922899999999998</v>
      </c>
      <c r="E1775" s="52">
        <v>41285780</v>
      </c>
      <c r="F1775" s="52" t="s">
        <v>491</v>
      </c>
      <c r="G1775" s="25">
        <f t="shared" si="25"/>
        <v>1.3327774025042594E-3</v>
      </c>
    </row>
    <row r="1776" spans="1:7">
      <c r="A1776" s="52">
        <v>54.634300000000003</v>
      </c>
      <c r="B1776" s="52">
        <v>56.348100000000002</v>
      </c>
      <c r="C1776" s="52">
        <v>54.058500000000002</v>
      </c>
      <c r="D1776" s="52">
        <v>56.231200000000001</v>
      </c>
      <c r="E1776" s="52">
        <v>46151920</v>
      </c>
      <c r="F1776" s="52" t="s">
        <v>490</v>
      </c>
      <c r="G1776" s="25">
        <f t="shared" si="25"/>
        <v>-2.8398824851683768E-2</v>
      </c>
    </row>
    <row r="1777" spans="1:7">
      <c r="A1777" s="52">
        <v>56.111199999999997</v>
      </c>
      <c r="B1777" s="52">
        <v>57.077100000000002</v>
      </c>
      <c r="C1777" s="52">
        <v>55.435000000000002</v>
      </c>
      <c r="D1777" s="52">
        <v>56.7288</v>
      </c>
      <c r="E1777" s="52">
        <v>35652280</v>
      </c>
      <c r="F1777" s="52" t="s">
        <v>489</v>
      </c>
      <c r="G1777" s="25">
        <f t="shared" si="25"/>
        <v>-1.0886886378700167E-2</v>
      </c>
    </row>
    <row r="1778" spans="1:7">
      <c r="A1778" s="52">
        <v>56.384399999999999</v>
      </c>
      <c r="B1778" s="52">
        <v>56.548099999999998</v>
      </c>
      <c r="C1778" s="52">
        <v>55.323</v>
      </c>
      <c r="D1778" s="52">
        <v>55.409100000000002</v>
      </c>
      <c r="E1778" s="52">
        <v>38377580</v>
      </c>
      <c r="F1778" s="52" t="s">
        <v>488</v>
      </c>
      <c r="G1778" s="25">
        <f t="shared" si="25"/>
        <v>1.7601801870089862E-2</v>
      </c>
    </row>
    <row r="1779" spans="1:7">
      <c r="A1779" s="52">
        <v>54.859699999999997</v>
      </c>
      <c r="B1779" s="52">
        <v>55.822899999999997</v>
      </c>
      <c r="C1779" s="52">
        <v>54.649700000000003</v>
      </c>
      <c r="D1779" s="52">
        <v>55.634</v>
      </c>
      <c r="E1779" s="52">
        <v>30079120</v>
      </c>
      <c r="F1779" s="52" t="s">
        <v>487</v>
      </c>
      <c r="G1779" s="25">
        <f t="shared" si="25"/>
        <v>-1.3917748139626873E-2</v>
      </c>
    </row>
    <row r="1780" spans="1:7">
      <c r="A1780" s="52">
        <v>55.760399999999997</v>
      </c>
      <c r="B1780" s="52">
        <v>56.023600000000002</v>
      </c>
      <c r="C1780" s="52">
        <v>54.490699999999997</v>
      </c>
      <c r="D1780" s="52">
        <v>55.715600000000002</v>
      </c>
      <c r="E1780" s="52">
        <v>49378400</v>
      </c>
      <c r="F1780" s="52" t="s">
        <v>486</v>
      </c>
      <c r="G1780" s="25">
        <f t="shared" si="25"/>
        <v>8.0408359597661239E-4</v>
      </c>
    </row>
    <row r="1781" spans="1:7">
      <c r="A1781" s="52">
        <v>54.277500000000003</v>
      </c>
      <c r="B1781" s="52">
        <v>55.537199999999999</v>
      </c>
      <c r="C1781" s="52">
        <v>53.538499999999999</v>
      </c>
      <c r="D1781" s="52">
        <v>53.695300000000003</v>
      </c>
      <c r="E1781" s="52">
        <v>67695500</v>
      </c>
      <c r="F1781" s="52" t="s">
        <v>485</v>
      </c>
      <c r="G1781" s="25">
        <f t="shared" si="25"/>
        <v>1.0842662206934417E-2</v>
      </c>
    </row>
    <row r="1782" spans="1:7">
      <c r="A1782" s="52">
        <v>54.348199999999999</v>
      </c>
      <c r="B1782" s="52">
        <v>56.580500000000001</v>
      </c>
      <c r="C1782" s="52">
        <v>54.315800000000003</v>
      </c>
      <c r="D1782" s="52">
        <v>56.549599999999998</v>
      </c>
      <c r="E1782" s="52">
        <v>58980120</v>
      </c>
      <c r="F1782" s="52" t="s">
        <v>484</v>
      </c>
      <c r="G1782" s="25">
        <f t="shared" si="25"/>
        <v>-3.8928657320299376E-2</v>
      </c>
    </row>
    <row r="1783" spans="1:7">
      <c r="A1783" s="52">
        <v>56.9861</v>
      </c>
      <c r="B1783" s="52">
        <v>57.801200000000001</v>
      </c>
      <c r="C1783" s="52">
        <v>56.936300000000003</v>
      </c>
      <c r="D1783" s="52">
        <v>57.291600000000003</v>
      </c>
      <c r="E1783" s="52">
        <v>33694560</v>
      </c>
      <c r="F1783" s="52" t="s">
        <v>483</v>
      </c>
      <c r="G1783" s="25">
        <f t="shared" si="25"/>
        <v>-5.3323698413031417E-3</v>
      </c>
    </row>
    <row r="1784" spans="1:7">
      <c r="A1784" s="52">
        <v>57.521000000000001</v>
      </c>
      <c r="B1784" s="52">
        <v>58.513300000000001</v>
      </c>
      <c r="C1784" s="52">
        <v>56.499899999999997</v>
      </c>
      <c r="D1784" s="52">
        <v>57.723999999999997</v>
      </c>
      <c r="E1784" s="52">
        <v>46190780</v>
      </c>
      <c r="F1784" s="52" t="s">
        <v>482</v>
      </c>
      <c r="G1784" s="25">
        <f t="shared" si="25"/>
        <v>-3.5167348070126447E-3</v>
      </c>
    </row>
    <row r="1785" spans="1:7">
      <c r="A1785" s="52">
        <v>58.113700000000001</v>
      </c>
      <c r="B1785" s="52">
        <v>58.818800000000003</v>
      </c>
      <c r="C1785" s="52">
        <v>57.441400000000002</v>
      </c>
      <c r="D1785" s="52">
        <v>58.520200000000003</v>
      </c>
      <c r="E1785" s="52">
        <v>31860240</v>
      </c>
      <c r="F1785" s="52" t="s">
        <v>481</v>
      </c>
      <c r="G1785" s="25">
        <f t="shared" si="25"/>
        <v>-6.9463193905694443E-3</v>
      </c>
    </row>
    <row r="1786" spans="1:7">
      <c r="A1786" s="52">
        <v>58.573500000000003</v>
      </c>
      <c r="B1786" s="52">
        <v>60.008099999999999</v>
      </c>
      <c r="C1786" s="52">
        <v>57.915399999999998</v>
      </c>
      <c r="D1786" s="52">
        <v>59.964799999999997</v>
      </c>
      <c r="E1786" s="52">
        <v>46575560</v>
      </c>
      <c r="F1786" s="52" t="s">
        <v>480</v>
      </c>
      <c r="G1786" s="25">
        <f t="shared" si="25"/>
        <v>-2.3201945141149372E-2</v>
      </c>
    </row>
    <row r="1787" spans="1:7">
      <c r="A1787" s="52">
        <v>60.2883</v>
      </c>
      <c r="B1787" s="52">
        <v>60.420099999999998</v>
      </c>
      <c r="C1787" s="52">
        <v>59.8215</v>
      </c>
      <c r="D1787" s="52">
        <v>60.311700000000002</v>
      </c>
      <c r="E1787" s="52">
        <v>26253720</v>
      </c>
      <c r="F1787" s="52" t="s">
        <v>479</v>
      </c>
      <c r="G1787" s="25">
        <f t="shared" ref="G1787:G1850" si="26">A1787/D1787-1</f>
        <v>-3.8798442093324059E-4</v>
      </c>
    </row>
    <row r="1788" spans="1:7">
      <c r="A1788" s="52">
        <v>60.094700000000003</v>
      </c>
      <c r="B1788" s="52">
        <v>60.934699999999999</v>
      </c>
      <c r="C1788" s="52">
        <v>59.697600000000001</v>
      </c>
      <c r="D1788" s="52">
        <v>60.046399999999998</v>
      </c>
      <c r="E1788" s="52">
        <v>40179120</v>
      </c>
      <c r="F1788" s="52" t="s">
        <v>478</v>
      </c>
      <c r="G1788" s="25">
        <f t="shared" si="26"/>
        <v>8.0437794772048044E-4</v>
      </c>
    </row>
    <row r="1789" spans="1:7">
      <c r="A1789" s="52">
        <v>60.139000000000003</v>
      </c>
      <c r="B1789" s="52">
        <v>60.918799999999997</v>
      </c>
      <c r="C1789" s="52">
        <v>59.873199999999997</v>
      </c>
      <c r="D1789" s="52">
        <v>60.361400000000003</v>
      </c>
      <c r="E1789" s="52">
        <v>33187280</v>
      </c>
      <c r="F1789" s="52" t="s">
        <v>477</v>
      </c>
      <c r="G1789" s="25">
        <f t="shared" si="26"/>
        <v>-3.6844738524951515E-3</v>
      </c>
    </row>
    <row r="1790" spans="1:7">
      <c r="A1790" s="52">
        <v>60.066800000000001</v>
      </c>
      <c r="B1790" s="52">
        <v>60.134999999999998</v>
      </c>
      <c r="C1790" s="52">
        <v>59.606499999999997</v>
      </c>
      <c r="D1790" s="52">
        <v>59.917999999999999</v>
      </c>
      <c r="E1790" s="52">
        <v>35615180</v>
      </c>
      <c r="F1790" s="52" t="s">
        <v>476</v>
      </c>
      <c r="G1790" s="25">
        <f t="shared" si="26"/>
        <v>2.4833939717614495E-3</v>
      </c>
    </row>
    <row r="1791" spans="1:7">
      <c r="A1791" s="52">
        <v>60.080800000000004</v>
      </c>
      <c r="B1791" s="52">
        <v>60.5535</v>
      </c>
      <c r="C1791" s="52">
        <v>59.6175</v>
      </c>
      <c r="D1791" s="52">
        <v>59.714500000000001</v>
      </c>
      <c r="E1791" s="52">
        <v>36273040</v>
      </c>
      <c r="F1791" s="52" t="s">
        <v>475</v>
      </c>
      <c r="G1791" s="25">
        <f t="shared" si="26"/>
        <v>6.1341885136776408E-3</v>
      </c>
    </row>
    <row r="1792" spans="1:7">
      <c r="A1792" s="52">
        <v>59.418900000000001</v>
      </c>
      <c r="B1792" s="52">
        <v>60.074800000000003</v>
      </c>
      <c r="C1792" s="52">
        <v>58.9878</v>
      </c>
      <c r="D1792" s="52">
        <v>59.400500000000001</v>
      </c>
      <c r="E1792" s="52">
        <v>37650480</v>
      </c>
      <c r="F1792" s="52" t="s">
        <v>474</v>
      </c>
      <c r="G1792" s="25">
        <f t="shared" si="26"/>
        <v>3.0976170234264799E-4</v>
      </c>
    </row>
    <row r="1793" spans="1:7">
      <c r="A1793" s="52">
        <v>59.410499999999999</v>
      </c>
      <c r="B1793" s="52">
        <v>59.558199999999999</v>
      </c>
      <c r="C1793" s="52">
        <v>58.425199999999997</v>
      </c>
      <c r="D1793" s="52">
        <v>58.930799999999998</v>
      </c>
      <c r="E1793" s="52">
        <v>33156180</v>
      </c>
      <c r="F1793" s="52" t="s">
        <v>473</v>
      </c>
      <c r="G1793" s="25">
        <f t="shared" si="26"/>
        <v>8.1400557942536977E-3</v>
      </c>
    </row>
    <row r="1794" spans="1:7">
      <c r="A1794" s="52">
        <v>58.697400000000002</v>
      </c>
      <c r="B1794" s="52">
        <v>58.977499999999999</v>
      </c>
      <c r="C1794" s="52">
        <v>57.301000000000002</v>
      </c>
      <c r="D1794" s="52">
        <v>57.694699999999997</v>
      </c>
      <c r="E1794" s="52">
        <v>31149580</v>
      </c>
      <c r="F1794" s="52" t="s">
        <v>472</v>
      </c>
      <c r="G1794" s="25">
        <f t="shared" si="26"/>
        <v>1.7379412667021477E-2</v>
      </c>
    </row>
    <row r="1795" spans="1:7">
      <c r="A1795" s="52">
        <v>58.327100000000002</v>
      </c>
      <c r="B1795" s="52">
        <v>59.5443</v>
      </c>
      <c r="C1795" s="52">
        <v>58.324199999999998</v>
      </c>
      <c r="D1795" s="52">
        <v>59.4617</v>
      </c>
      <c r="E1795" s="52">
        <v>91222380</v>
      </c>
      <c r="F1795" s="52" t="s">
        <v>471</v>
      </c>
      <c r="G1795" s="25">
        <f t="shared" si="26"/>
        <v>-1.9081190076973953E-2</v>
      </c>
    </row>
    <row r="1796" spans="1:7">
      <c r="A1796" s="52">
        <v>59.295000000000002</v>
      </c>
      <c r="B1796" s="52">
        <v>59.415900000000001</v>
      </c>
      <c r="C1796" s="52">
        <v>58.532699999999998</v>
      </c>
      <c r="D1796" s="52">
        <v>58.752600000000001</v>
      </c>
      <c r="E1796" s="52">
        <v>29249100</v>
      </c>
      <c r="F1796" s="52" t="s">
        <v>470</v>
      </c>
      <c r="G1796" s="25">
        <f t="shared" si="26"/>
        <v>9.2319318634408454E-3</v>
      </c>
    </row>
    <row r="1797" spans="1:7">
      <c r="A1797" s="52">
        <v>58.434100000000001</v>
      </c>
      <c r="B1797" s="52">
        <v>58.533700000000003</v>
      </c>
      <c r="C1797" s="52">
        <v>57.655099999999997</v>
      </c>
      <c r="D1797" s="52">
        <v>58.169899999999998</v>
      </c>
      <c r="E1797" s="52">
        <v>25961680</v>
      </c>
      <c r="F1797" s="52" t="s">
        <v>469</v>
      </c>
      <c r="G1797" s="25">
        <f t="shared" si="26"/>
        <v>4.541867873247174E-3</v>
      </c>
    </row>
    <row r="1798" spans="1:7">
      <c r="A1798" s="52">
        <v>58.077800000000003</v>
      </c>
      <c r="B1798" s="52">
        <v>58.785400000000003</v>
      </c>
      <c r="C1798" s="52">
        <v>57.794899999999998</v>
      </c>
      <c r="D1798" s="52">
        <v>57.856400000000001</v>
      </c>
      <c r="E1798" s="52">
        <v>32314020</v>
      </c>
      <c r="F1798" s="52" t="s">
        <v>468</v>
      </c>
      <c r="G1798" s="25">
        <f t="shared" si="26"/>
        <v>3.8267157998077561E-3</v>
      </c>
    </row>
    <row r="1799" spans="1:7">
      <c r="A1799" s="52">
        <v>57.715600000000002</v>
      </c>
      <c r="B1799" s="52">
        <v>58.809800000000003</v>
      </c>
      <c r="C1799" s="52">
        <v>57.647100000000002</v>
      </c>
      <c r="D1799" s="52">
        <v>58.6083</v>
      </c>
      <c r="E1799" s="52">
        <v>34095800</v>
      </c>
      <c r="F1799" s="52" t="s">
        <v>467</v>
      </c>
      <c r="G1799" s="25">
        <f t="shared" si="26"/>
        <v>-1.5231631014719693E-2</v>
      </c>
    </row>
    <row r="1800" spans="1:7">
      <c r="A1800" s="52">
        <v>58.618699999999997</v>
      </c>
      <c r="B1800" s="52">
        <v>59.117400000000004</v>
      </c>
      <c r="C1800" s="52">
        <v>58.396799999999999</v>
      </c>
      <c r="D1800" s="52">
        <v>59.117400000000004</v>
      </c>
      <c r="E1800" s="52">
        <v>24175340</v>
      </c>
      <c r="F1800" s="52" t="s">
        <v>466</v>
      </c>
      <c r="G1800" s="25">
        <f t="shared" si="26"/>
        <v>-8.4357566469432932E-3</v>
      </c>
    </row>
    <row r="1801" spans="1:7">
      <c r="A1801" s="52">
        <v>58.825800000000001</v>
      </c>
      <c r="B1801" s="52">
        <v>59.110399999999998</v>
      </c>
      <c r="C1801" s="52">
        <v>58.1828</v>
      </c>
      <c r="D1801" s="52">
        <v>58.704300000000003</v>
      </c>
      <c r="E1801" s="52">
        <v>40068360</v>
      </c>
      <c r="F1801" s="52" t="s">
        <v>465</v>
      </c>
      <c r="G1801" s="25">
        <f t="shared" si="26"/>
        <v>2.0696950649270462E-3</v>
      </c>
    </row>
    <row r="1802" spans="1:7">
      <c r="A1802" s="52">
        <v>58.301299999999998</v>
      </c>
      <c r="B1802" s="52">
        <v>59.251399999999997</v>
      </c>
      <c r="C1802" s="52">
        <v>58.0306</v>
      </c>
      <c r="D1802" s="52">
        <v>58.818800000000003</v>
      </c>
      <c r="E1802" s="52">
        <v>35716660</v>
      </c>
      <c r="F1802" s="52" t="s">
        <v>464</v>
      </c>
      <c r="G1802" s="25">
        <f t="shared" si="26"/>
        <v>-8.7982073758731127E-3</v>
      </c>
    </row>
    <row r="1803" spans="1:7">
      <c r="A1803" s="52">
        <v>59.2164</v>
      </c>
      <c r="B1803" s="52">
        <v>59.2637</v>
      </c>
      <c r="C1803" s="52">
        <v>58.020099999999999</v>
      </c>
      <c r="D1803" s="52">
        <v>58.276400000000002</v>
      </c>
      <c r="E1803" s="52">
        <v>29253760</v>
      </c>
      <c r="F1803" s="52" t="s">
        <v>463</v>
      </c>
      <c r="G1803" s="25">
        <f t="shared" si="26"/>
        <v>1.6130028622221015E-2</v>
      </c>
    </row>
    <row r="1804" spans="1:7">
      <c r="A1804" s="52">
        <v>58.473399999999998</v>
      </c>
      <c r="B1804" s="52">
        <v>59.050699999999999</v>
      </c>
      <c r="C1804" s="52">
        <v>58.252000000000002</v>
      </c>
      <c r="D1804" s="52">
        <v>58.9283</v>
      </c>
      <c r="E1804" s="52">
        <v>27678760</v>
      </c>
      <c r="F1804" s="52" t="s">
        <v>462</v>
      </c>
      <c r="G1804" s="25">
        <f t="shared" si="26"/>
        <v>-7.7195507082336023E-3</v>
      </c>
    </row>
    <row r="1805" spans="1:7">
      <c r="A1805" s="52">
        <v>58.599299999999999</v>
      </c>
      <c r="B1805" s="52">
        <v>59.144500000000001</v>
      </c>
      <c r="C1805" s="52">
        <v>58.185299999999998</v>
      </c>
      <c r="D1805" s="52">
        <v>58.321199999999997</v>
      </c>
      <c r="E1805" s="52">
        <v>32663800</v>
      </c>
      <c r="F1805" s="52" t="s">
        <v>461</v>
      </c>
      <c r="G1805" s="25">
        <f t="shared" si="26"/>
        <v>4.7684204028723975E-3</v>
      </c>
    </row>
    <row r="1806" spans="1:7">
      <c r="A1806" s="52">
        <v>58.9178</v>
      </c>
      <c r="B1806" s="52">
        <v>59.664099999999998</v>
      </c>
      <c r="C1806" s="52">
        <v>57.903700000000001</v>
      </c>
      <c r="D1806" s="52">
        <v>59.643300000000004</v>
      </c>
      <c r="E1806" s="52">
        <v>46854440</v>
      </c>
      <c r="F1806" s="52" t="s">
        <v>460</v>
      </c>
      <c r="G1806" s="25">
        <f t="shared" si="26"/>
        <v>-1.2163981536903568E-2</v>
      </c>
    </row>
    <row r="1807" spans="1:7">
      <c r="A1807" s="52">
        <v>59.669699999999999</v>
      </c>
      <c r="B1807" s="52">
        <v>60.454500000000003</v>
      </c>
      <c r="C1807" s="52">
        <v>58.487400000000001</v>
      </c>
      <c r="D1807" s="52">
        <v>60.173299999999998</v>
      </c>
      <c r="E1807" s="52">
        <v>53987880</v>
      </c>
      <c r="F1807" s="52" t="s">
        <v>459</v>
      </c>
      <c r="G1807" s="25">
        <f t="shared" si="26"/>
        <v>-8.3691604083538929E-3</v>
      </c>
    </row>
    <row r="1808" spans="1:7">
      <c r="A1808" s="52">
        <v>60.277299999999997</v>
      </c>
      <c r="B1808" s="52">
        <v>61.101399999999998</v>
      </c>
      <c r="C1808" s="52">
        <v>60.040900000000001</v>
      </c>
      <c r="D1808" s="52">
        <v>60.8352</v>
      </c>
      <c r="E1808" s="52">
        <v>41457380</v>
      </c>
      <c r="F1808" s="52" t="s">
        <v>458</v>
      </c>
      <c r="G1808" s="25">
        <f t="shared" si="26"/>
        <v>-9.1706775024985587E-3</v>
      </c>
    </row>
    <row r="1809" spans="1:7">
      <c r="A1809" s="52">
        <v>61.296900000000001</v>
      </c>
      <c r="B1809" s="52">
        <v>62.329300000000003</v>
      </c>
      <c r="C1809" s="52">
        <v>60.996099999999998</v>
      </c>
      <c r="D1809" s="52">
        <v>62.312600000000003</v>
      </c>
      <c r="E1809" s="52">
        <v>42308480</v>
      </c>
      <c r="F1809" s="52" t="s">
        <v>457</v>
      </c>
      <c r="G1809" s="25">
        <f t="shared" si="26"/>
        <v>-1.6300074142308385E-2</v>
      </c>
    </row>
    <row r="1810" spans="1:7">
      <c r="A1810" s="52">
        <v>62.4236</v>
      </c>
      <c r="B1810" s="52">
        <v>63.172499999999999</v>
      </c>
      <c r="C1810" s="52">
        <v>62.063800000000001</v>
      </c>
      <c r="D1810" s="52">
        <v>62.869399999999999</v>
      </c>
      <c r="E1810" s="52">
        <v>30104380</v>
      </c>
      <c r="F1810" s="52" t="s">
        <v>456</v>
      </c>
      <c r="G1810" s="25">
        <f t="shared" si="26"/>
        <v>-7.0908900037219835E-3</v>
      </c>
    </row>
    <row r="1811" spans="1:7">
      <c r="A1811" s="52">
        <v>62.931600000000003</v>
      </c>
      <c r="B1811" s="52">
        <v>63.057000000000002</v>
      </c>
      <c r="C1811" s="52">
        <v>62.341900000000003</v>
      </c>
      <c r="D1811" s="52">
        <v>62.4514</v>
      </c>
      <c r="E1811" s="52">
        <v>36932300</v>
      </c>
      <c r="F1811" s="52" t="s">
        <v>455</v>
      </c>
      <c r="G1811" s="25">
        <f t="shared" si="26"/>
        <v>7.6891791056725722E-3</v>
      </c>
    </row>
    <row r="1812" spans="1:7">
      <c r="A1812" s="52">
        <v>61.996600000000001</v>
      </c>
      <c r="B1812" s="52">
        <v>62.5291</v>
      </c>
      <c r="C1812" s="52">
        <v>61.852800000000002</v>
      </c>
      <c r="D1812" s="52">
        <v>62.496200000000002</v>
      </c>
      <c r="E1812" s="52">
        <v>27330320</v>
      </c>
      <c r="F1812" s="52" t="s">
        <v>454</v>
      </c>
      <c r="G1812" s="25">
        <f t="shared" si="26"/>
        <v>-7.9940860404312808E-3</v>
      </c>
    </row>
    <row r="1813" spans="1:7">
      <c r="A1813" s="52">
        <v>62.514600000000002</v>
      </c>
      <c r="B1813" s="52">
        <v>62.594200000000001</v>
      </c>
      <c r="C1813" s="52">
        <v>61.738799999999998</v>
      </c>
      <c r="D1813" s="52">
        <v>61.911000000000001</v>
      </c>
      <c r="E1813" s="52">
        <v>28579840</v>
      </c>
      <c r="F1813" s="52" t="s">
        <v>453</v>
      </c>
      <c r="G1813" s="25">
        <f t="shared" si="26"/>
        <v>9.7494790909531392E-3</v>
      </c>
    </row>
    <row r="1814" spans="1:7">
      <c r="A1814" s="52">
        <v>61.543300000000002</v>
      </c>
      <c r="B1814" s="52">
        <v>61.575600000000001</v>
      </c>
      <c r="C1814" s="52">
        <v>60.7804</v>
      </c>
      <c r="D1814" s="52">
        <v>61.008299999999998</v>
      </c>
      <c r="E1814" s="52">
        <v>24453060</v>
      </c>
      <c r="F1814" s="52" t="s">
        <v>452</v>
      </c>
      <c r="G1814" s="25">
        <f t="shared" si="26"/>
        <v>8.7692986036327358E-3</v>
      </c>
    </row>
    <row r="1815" spans="1:7">
      <c r="A1815" s="52">
        <v>60.767499999999998</v>
      </c>
      <c r="B1815" s="52">
        <v>61.464599999999997</v>
      </c>
      <c r="C1815" s="52">
        <v>60.677300000000002</v>
      </c>
      <c r="D1815" s="52">
        <v>60.703800000000001</v>
      </c>
      <c r="E1815" s="52">
        <v>24666940</v>
      </c>
      <c r="F1815" s="52" t="s">
        <v>451</v>
      </c>
      <c r="G1815" s="25">
        <f t="shared" si="26"/>
        <v>1.0493577008359178E-3</v>
      </c>
    </row>
    <row r="1816" spans="1:7">
      <c r="A1816" s="52">
        <v>60.796799999999998</v>
      </c>
      <c r="B1816" s="52">
        <v>61.034700000000001</v>
      </c>
      <c r="C1816" s="52">
        <v>60.372399999999999</v>
      </c>
      <c r="D1816" s="52">
        <v>60.4221</v>
      </c>
      <c r="E1816" s="52">
        <v>22296640</v>
      </c>
      <c r="F1816" s="52" t="s">
        <v>450</v>
      </c>
      <c r="G1816" s="25">
        <f t="shared" si="26"/>
        <v>6.2013733385630765E-3</v>
      </c>
    </row>
    <row r="1817" spans="1:7">
      <c r="A1817" s="52">
        <v>60.5809</v>
      </c>
      <c r="B1817" s="52">
        <v>61.344700000000003</v>
      </c>
      <c r="C1817" s="52">
        <v>60.462400000000002</v>
      </c>
      <c r="D1817" s="52">
        <v>60.86</v>
      </c>
      <c r="E1817" s="52">
        <v>23081860</v>
      </c>
      <c r="F1817" s="52" t="s">
        <v>449</v>
      </c>
      <c r="G1817" s="25">
        <f t="shared" si="26"/>
        <v>-4.5859349326322629E-3</v>
      </c>
    </row>
    <row r="1818" spans="1:7">
      <c r="A1818" s="52">
        <v>60.806800000000003</v>
      </c>
      <c r="B1818" s="52">
        <v>61.003799999999998</v>
      </c>
      <c r="C1818" s="52">
        <v>60.147399999999998</v>
      </c>
      <c r="D1818" s="52">
        <v>60.742600000000003</v>
      </c>
      <c r="E1818" s="52">
        <v>22223460</v>
      </c>
      <c r="F1818" s="52" t="s">
        <v>448</v>
      </c>
      <c r="G1818" s="25">
        <f t="shared" si="26"/>
        <v>1.0569188674833807E-3</v>
      </c>
    </row>
    <row r="1819" spans="1:7">
      <c r="A1819" s="52">
        <v>60.5032</v>
      </c>
      <c r="B1819" s="52">
        <v>61.055799999999998</v>
      </c>
      <c r="C1819" s="52">
        <v>59.913600000000002</v>
      </c>
      <c r="D1819" s="52">
        <v>60.811300000000003</v>
      </c>
      <c r="E1819" s="52">
        <v>33092580</v>
      </c>
      <c r="F1819" s="52" t="s">
        <v>447</v>
      </c>
      <c r="G1819" s="25">
        <f t="shared" si="26"/>
        <v>-5.0664925762152757E-3</v>
      </c>
    </row>
    <row r="1820" spans="1:7">
      <c r="A1820" s="52">
        <v>60.911799999999999</v>
      </c>
      <c r="B1820" s="52">
        <v>61.889000000000003</v>
      </c>
      <c r="C1820" s="52">
        <v>60.691299999999998</v>
      </c>
      <c r="D1820" s="52">
        <v>61.804000000000002</v>
      </c>
      <c r="E1820" s="52">
        <v>32175980</v>
      </c>
      <c r="F1820" s="52" t="s">
        <v>446</v>
      </c>
      <c r="G1820" s="25">
        <f t="shared" si="26"/>
        <v>-1.4435958837615726E-2</v>
      </c>
    </row>
    <row r="1821" spans="1:7">
      <c r="A1821" s="52">
        <v>61.317799999999998</v>
      </c>
      <c r="B1821" s="52">
        <v>62.301099999999998</v>
      </c>
      <c r="C1821" s="52">
        <v>61.020499999999998</v>
      </c>
      <c r="D1821" s="52">
        <v>61.917999999999999</v>
      </c>
      <c r="E1821" s="52">
        <v>37051160</v>
      </c>
      <c r="F1821" s="52" t="s">
        <v>445</v>
      </c>
      <c r="G1821" s="25">
        <f t="shared" si="26"/>
        <v>-9.6934655512128653E-3</v>
      </c>
    </row>
    <row r="1822" spans="1:7">
      <c r="A1822" s="52">
        <v>62.607700000000001</v>
      </c>
      <c r="B1822" s="52">
        <v>62.729599999999998</v>
      </c>
      <c r="C1822" s="52">
        <v>61.682099999999998</v>
      </c>
      <c r="D1822" s="52">
        <v>62.326999999999998</v>
      </c>
      <c r="E1822" s="52">
        <v>28079820</v>
      </c>
      <c r="F1822" s="52" t="s">
        <v>444</v>
      </c>
      <c r="G1822" s="25">
        <f t="shared" si="26"/>
        <v>4.5036661478974338E-3</v>
      </c>
    </row>
    <row r="1823" spans="1:7">
      <c r="A1823" s="52">
        <v>62.134900000000002</v>
      </c>
      <c r="B1823" s="52">
        <v>62.997300000000003</v>
      </c>
      <c r="C1823" s="52">
        <v>62.0548</v>
      </c>
      <c r="D1823" s="52">
        <v>62.262300000000003</v>
      </c>
      <c r="E1823" s="52">
        <v>27617640</v>
      </c>
      <c r="F1823" s="52" t="s">
        <v>443</v>
      </c>
      <c r="G1823" s="25">
        <f t="shared" si="26"/>
        <v>-2.0461820395327734E-3</v>
      </c>
    </row>
    <row r="1824" spans="1:7">
      <c r="A1824" s="52">
        <v>62.327500000000001</v>
      </c>
      <c r="B1824" s="52">
        <v>62.759900000000002</v>
      </c>
      <c r="C1824" s="52">
        <v>62.061500000000002</v>
      </c>
      <c r="D1824" s="52">
        <v>62.659399999999998</v>
      </c>
      <c r="E1824" s="52">
        <v>26687740</v>
      </c>
      <c r="F1824" s="52" t="s">
        <v>442</v>
      </c>
      <c r="G1824" s="25">
        <f t="shared" si="26"/>
        <v>-5.2968908096789891E-3</v>
      </c>
    </row>
    <row r="1825" spans="1:7">
      <c r="A1825" s="52">
        <v>62.922199999999997</v>
      </c>
      <c r="B1825" s="52">
        <v>63.2956</v>
      </c>
      <c r="C1825" s="52">
        <v>62.705300000000001</v>
      </c>
      <c r="D1825" s="52">
        <v>62.836100000000002</v>
      </c>
      <c r="E1825" s="52">
        <v>27326360</v>
      </c>
      <c r="F1825" s="52" t="s">
        <v>441</v>
      </c>
      <c r="G1825" s="25">
        <f t="shared" si="26"/>
        <v>1.3702314433898799E-3</v>
      </c>
    </row>
    <row r="1826" spans="1:7">
      <c r="A1826" s="52">
        <v>62.766399999999997</v>
      </c>
      <c r="B1826" s="52">
        <v>63.2834</v>
      </c>
      <c r="C1826" s="52">
        <v>62.308100000000003</v>
      </c>
      <c r="D1826" s="52">
        <v>62.536999999999999</v>
      </c>
      <c r="E1826" s="52">
        <v>34373280</v>
      </c>
      <c r="F1826" s="52" t="s">
        <v>440</v>
      </c>
      <c r="G1826" s="25">
        <f t="shared" si="26"/>
        <v>3.6682284087818928E-3</v>
      </c>
    </row>
    <row r="1827" spans="1:7">
      <c r="A1827" s="52">
        <v>62.493200000000002</v>
      </c>
      <c r="B1827" s="52">
        <v>63.002800000000001</v>
      </c>
      <c r="C1827" s="52">
        <v>62.292200000000001</v>
      </c>
      <c r="D1827" s="52">
        <v>62.302599999999998</v>
      </c>
      <c r="E1827" s="52">
        <v>42505120</v>
      </c>
      <c r="F1827" s="52" t="s">
        <v>439</v>
      </c>
      <c r="G1827" s="25">
        <f t="shared" si="26"/>
        <v>3.0592623742828895E-3</v>
      </c>
    </row>
    <row r="1828" spans="1:7">
      <c r="A1828" s="52">
        <v>61.588999999999999</v>
      </c>
      <c r="B1828" s="52">
        <v>61.827500000000001</v>
      </c>
      <c r="C1828" s="52">
        <v>61.233699999999999</v>
      </c>
      <c r="D1828" s="52">
        <v>61.7851</v>
      </c>
      <c r="E1828" s="52">
        <v>22118320</v>
      </c>
      <c r="F1828" s="52" t="s">
        <v>438</v>
      </c>
      <c r="G1828" s="25">
        <f t="shared" si="26"/>
        <v>-3.1739043879511764E-3</v>
      </c>
    </row>
    <row r="1829" spans="1:7">
      <c r="A1829" s="52">
        <v>61.613399999999999</v>
      </c>
      <c r="B1829" s="52">
        <v>62.029400000000003</v>
      </c>
      <c r="C1829" s="52">
        <v>61.1785</v>
      </c>
      <c r="D1829" s="52">
        <v>61.962800000000001</v>
      </c>
      <c r="E1829" s="52">
        <v>21264880</v>
      </c>
      <c r="F1829" s="52" t="s">
        <v>437</v>
      </c>
      <c r="G1829" s="25">
        <f t="shared" si="26"/>
        <v>-5.6388671912825927E-3</v>
      </c>
    </row>
    <row r="1830" spans="1:7">
      <c r="A1830" s="52">
        <v>61.761200000000002</v>
      </c>
      <c r="B1830" s="52">
        <v>61.924399999999999</v>
      </c>
      <c r="C1830" s="52">
        <v>60.613199999999999</v>
      </c>
      <c r="D1830" s="52">
        <v>60.635100000000001</v>
      </c>
      <c r="E1830" s="52">
        <v>34703600</v>
      </c>
      <c r="F1830" s="52" t="s">
        <v>436</v>
      </c>
      <c r="G1830" s="25">
        <f t="shared" si="26"/>
        <v>1.8571751345342946E-2</v>
      </c>
    </row>
    <row r="1831" spans="1:7">
      <c r="A1831" s="52">
        <v>61.356200000000001</v>
      </c>
      <c r="B1831" s="52">
        <v>61.998600000000003</v>
      </c>
      <c r="C1831" s="52">
        <v>60.955599999999997</v>
      </c>
      <c r="D1831" s="52">
        <v>61.660699999999999</v>
      </c>
      <c r="E1831" s="52">
        <v>36994800</v>
      </c>
      <c r="F1831" s="52" t="s">
        <v>435</v>
      </c>
      <c r="G1831" s="25">
        <f t="shared" si="26"/>
        <v>-4.9383156532442074E-3</v>
      </c>
    </row>
    <row r="1832" spans="1:7">
      <c r="A1832" s="52">
        <v>61.069000000000003</v>
      </c>
      <c r="B1832" s="52">
        <v>61.7652</v>
      </c>
      <c r="C1832" s="52">
        <v>60.520200000000003</v>
      </c>
      <c r="D1832" s="52">
        <v>61.292499999999997</v>
      </c>
      <c r="E1832" s="52">
        <v>39382220</v>
      </c>
      <c r="F1832" s="52" t="s">
        <v>434</v>
      </c>
      <c r="G1832" s="25">
        <f t="shared" si="26"/>
        <v>-3.6464494024553984E-3</v>
      </c>
    </row>
    <row r="1833" spans="1:7">
      <c r="A1833" s="52">
        <v>61.209400000000002</v>
      </c>
      <c r="B1833" s="52">
        <v>62.346400000000003</v>
      </c>
      <c r="C1833" s="52">
        <v>60.917299999999997</v>
      </c>
      <c r="D1833" s="52">
        <v>61.956299999999999</v>
      </c>
      <c r="E1833" s="52">
        <v>43896740</v>
      </c>
      <c r="F1833" s="52" t="s">
        <v>433</v>
      </c>
      <c r="G1833" s="25">
        <f t="shared" si="26"/>
        <v>-1.2055271215356544E-2</v>
      </c>
    </row>
    <row r="1834" spans="1:7">
      <c r="A1834" s="52">
        <v>62.346400000000003</v>
      </c>
      <c r="B1834" s="52">
        <v>64.264799999999994</v>
      </c>
      <c r="C1834" s="52">
        <v>61.928699999999999</v>
      </c>
      <c r="D1834" s="52">
        <v>64.149299999999997</v>
      </c>
      <c r="E1834" s="52">
        <v>48361800</v>
      </c>
      <c r="F1834" s="52" t="s">
        <v>432</v>
      </c>
      <c r="G1834" s="25">
        <f t="shared" si="26"/>
        <v>-2.8104749389315176E-2</v>
      </c>
    </row>
    <row r="1835" spans="1:7">
      <c r="A1835" s="52">
        <v>63.969200000000001</v>
      </c>
      <c r="B1835" s="52">
        <v>64.063699999999997</v>
      </c>
      <c r="C1835" s="52">
        <v>62.849499999999999</v>
      </c>
      <c r="D1835" s="52">
        <v>63.057499999999997</v>
      </c>
      <c r="E1835" s="52">
        <v>54686040</v>
      </c>
      <c r="F1835" s="52" t="s">
        <v>431</v>
      </c>
      <c r="G1835" s="25">
        <f t="shared" si="26"/>
        <v>1.4458232565515594E-2</v>
      </c>
    </row>
    <row r="1836" spans="1:7">
      <c r="A1836" s="52">
        <v>63.493400000000001</v>
      </c>
      <c r="B1836" s="52">
        <v>63.607900000000001</v>
      </c>
      <c r="C1836" s="52">
        <v>62.155299999999997</v>
      </c>
      <c r="D1836" s="52">
        <v>62.332999999999998</v>
      </c>
      <c r="E1836" s="52">
        <v>51508740</v>
      </c>
      <c r="F1836" s="52" t="s">
        <v>430</v>
      </c>
      <c r="G1836" s="25">
        <f t="shared" si="26"/>
        <v>1.8616142332311902E-2</v>
      </c>
    </row>
    <row r="1837" spans="1:7">
      <c r="A1837" s="52">
        <v>62.608199999999997</v>
      </c>
      <c r="B1837" s="52">
        <v>63.4467</v>
      </c>
      <c r="C1837" s="52">
        <v>61.911000000000001</v>
      </c>
      <c r="D1837" s="52">
        <v>63.247599999999998</v>
      </c>
      <c r="E1837" s="52">
        <v>107600640</v>
      </c>
      <c r="F1837" s="52" t="s">
        <v>429</v>
      </c>
      <c r="G1837" s="25">
        <f t="shared" si="26"/>
        <v>-1.0109474509704786E-2</v>
      </c>
    </row>
    <row r="1838" spans="1:7">
      <c r="A1838" s="52">
        <v>60.261899999999997</v>
      </c>
      <c r="B1838" s="52">
        <v>60.465899999999998</v>
      </c>
      <c r="C1838" s="52">
        <v>59.316899999999997</v>
      </c>
      <c r="D1838" s="52">
        <v>59.4985</v>
      </c>
      <c r="E1838" s="52">
        <v>65446080</v>
      </c>
      <c r="F1838" s="52" t="s">
        <v>428</v>
      </c>
      <c r="G1838" s="25">
        <f t="shared" si="26"/>
        <v>1.2830575560728308E-2</v>
      </c>
    </row>
    <row r="1839" spans="1:7">
      <c r="A1839" s="52">
        <v>59.609000000000002</v>
      </c>
      <c r="B1839" s="52">
        <v>60.2502</v>
      </c>
      <c r="C1839" s="52">
        <v>59.544800000000002</v>
      </c>
      <c r="D1839" s="52">
        <v>59.676699999999997</v>
      </c>
      <c r="E1839" s="52">
        <v>37967520</v>
      </c>
      <c r="F1839" s="52" t="s">
        <v>427</v>
      </c>
      <c r="G1839" s="25">
        <f t="shared" si="26"/>
        <v>-1.1344461071070011E-3</v>
      </c>
    </row>
    <row r="1840" spans="1:7">
      <c r="A1840" s="52">
        <v>59.669699999999999</v>
      </c>
      <c r="B1840" s="52">
        <v>60.534599999999998</v>
      </c>
      <c r="C1840" s="52">
        <v>59.601799999999997</v>
      </c>
      <c r="D1840" s="52">
        <v>60.045400000000001</v>
      </c>
      <c r="E1840" s="52">
        <v>38337840</v>
      </c>
      <c r="F1840" s="52" t="s">
        <v>426</v>
      </c>
      <c r="G1840" s="25">
        <f t="shared" si="26"/>
        <v>-6.2569322545940054E-3</v>
      </c>
    </row>
    <row r="1841" spans="1:7">
      <c r="A1841" s="52">
        <v>60.356900000000003</v>
      </c>
      <c r="B1841" s="52">
        <v>60.788899999999998</v>
      </c>
      <c r="C1841" s="52">
        <v>59.941400000000002</v>
      </c>
      <c r="D1841" s="52">
        <v>60.139000000000003</v>
      </c>
      <c r="E1841" s="52">
        <v>38947940</v>
      </c>
      <c r="F1841" s="52" t="s">
        <v>425</v>
      </c>
      <c r="G1841" s="25">
        <f t="shared" si="26"/>
        <v>3.6232727514591279E-3</v>
      </c>
    </row>
    <row r="1842" spans="1:7">
      <c r="A1842" s="52">
        <v>60.365400000000001</v>
      </c>
      <c r="B1842" s="52">
        <v>60.648000000000003</v>
      </c>
      <c r="C1842" s="52">
        <v>58.818800000000003</v>
      </c>
      <c r="D1842" s="52">
        <v>58.855600000000003</v>
      </c>
      <c r="E1842" s="52">
        <v>40162660</v>
      </c>
      <c r="F1842" s="52" t="s">
        <v>424</v>
      </c>
      <c r="G1842" s="25">
        <f t="shared" si="26"/>
        <v>2.5652614194741075E-2</v>
      </c>
    </row>
    <row r="1843" spans="1:7">
      <c r="A1843" s="52">
        <v>59.540799999999997</v>
      </c>
      <c r="B1843" s="52">
        <v>60.1479</v>
      </c>
      <c r="C1843" s="52">
        <v>59.386099999999999</v>
      </c>
      <c r="D1843" s="52">
        <v>59.9041</v>
      </c>
      <c r="E1843" s="52">
        <v>26784740</v>
      </c>
      <c r="F1843" s="52" t="s">
        <v>423</v>
      </c>
      <c r="G1843" s="25">
        <f t="shared" si="26"/>
        <v>-6.0646934016203025E-3</v>
      </c>
    </row>
    <row r="1844" spans="1:7">
      <c r="A1844" s="52">
        <v>59.9345</v>
      </c>
      <c r="B1844" s="52">
        <v>60.234000000000002</v>
      </c>
      <c r="C1844" s="52">
        <v>59.4801</v>
      </c>
      <c r="D1844" s="52">
        <v>59.8538</v>
      </c>
      <c r="E1844" s="52">
        <v>32637140</v>
      </c>
      <c r="F1844" s="52" t="s">
        <v>422</v>
      </c>
      <c r="G1844" s="25">
        <f t="shared" si="26"/>
        <v>1.3482853219011215E-3</v>
      </c>
    </row>
    <row r="1845" spans="1:7">
      <c r="A1845" s="52">
        <v>59.777200000000001</v>
      </c>
      <c r="B1845" s="52">
        <v>59.813299999999998</v>
      </c>
      <c r="C1845" s="52">
        <v>58.375900000000001</v>
      </c>
      <c r="D1845" s="52">
        <v>58.463500000000003</v>
      </c>
      <c r="E1845" s="52">
        <v>44148620</v>
      </c>
      <c r="F1845" s="52" t="s">
        <v>421</v>
      </c>
      <c r="G1845" s="25">
        <f t="shared" si="26"/>
        <v>2.2470430268457964E-2</v>
      </c>
    </row>
    <row r="1846" spans="1:7">
      <c r="A1846" s="52">
        <v>58.2943</v>
      </c>
      <c r="B1846" s="52">
        <v>58.741199999999999</v>
      </c>
      <c r="C1846" s="52">
        <v>57.4938</v>
      </c>
      <c r="D1846" s="52">
        <v>57.506100000000004</v>
      </c>
      <c r="E1846" s="52">
        <v>33252660</v>
      </c>
      <c r="F1846" s="52" t="s">
        <v>420</v>
      </c>
      <c r="G1846" s="25">
        <f t="shared" si="26"/>
        <v>1.3706372019663959E-2</v>
      </c>
    </row>
    <row r="1847" spans="1:7">
      <c r="A1847" s="52">
        <v>58.079300000000003</v>
      </c>
      <c r="B1847" s="52">
        <v>58.395800000000001</v>
      </c>
      <c r="C1847" s="52">
        <v>57.851399999999998</v>
      </c>
      <c r="D1847" s="52">
        <v>58.2211</v>
      </c>
      <c r="E1847" s="52">
        <v>21334080</v>
      </c>
      <c r="F1847" s="52" t="s">
        <v>419</v>
      </c>
      <c r="G1847" s="25">
        <f t="shared" si="26"/>
        <v>-2.4355431278350048E-3</v>
      </c>
    </row>
    <row r="1848" spans="1:7">
      <c r="A1848" s="52">
        <v>58.086300000000001</v>
      </c>
      <c r="B1848" s="52">
        <v>58.118600000000001</v>
      </c>
      <c r="C1848" s="52">
        <v>57.586399999999998</v>
      </c>
      <c r="D1848" s="52">
        <v>57.723999999999997</v>
      </c>
      <c r="E1848" s="52">
        <v>21584020</v>
      </c>
      <c r="F1848" s="52" t="s">
        <v>418</v>
      </c>
      <c r="G1848" s="25">
        <f t="shared" si="26"/>
        <v>6.2764188205945981E-3</v>
      </c>
    </row>
    <row r="1849" spans="1:7">
      <c r="A1849" s="52">
        <v>57.479199999999999</v>
      </c>
      <c r="B1849" s="52">
        <v>57.5349</v>
      </c>
      <c r="C1849" s="52">
        <v>56.5914</v>
      </c>
      <c r="D1849" s="52">
        <v>56.816899999999997</v>
      </c>
      <c r="E1849" s="52">
        <v>21819340</v>
      </c>
      <c r="F1849" s="52" t="s">
        <v>417</v>
      </c>
      <c r="G1849" s="25">
        <f t="shared" si="26"/>
        <v>1.1656742976121626E-2</v>
      </c>
    </row>
    <row r="1850" spans="1:7">
      <c r="A1850" s="52">
        <v>56.792999999999999</v>
      </c>
      <c r="B1850" s="52">
        <v>56.934800000000003</v>
      </c>
      <c r="C1850" s="52">
        <v>55.888800000000003</v>
      </c>
      <c r="D1850" s="52">
        <v>55.962400000000002</v>
      </c>
      <c r="E1850" s="52">
        <v>28594200</v>
      </c>
      <c r="F1850" s="52" t="s">
        <v>416</v>
      </c>
      <c r="G1850" s="25">
        <f t="shared" si="26"/>
        <v>1.4842108272697274E-2</v>
      </c>
    </row>
    <row r="1851" spans="1:7">
      <c r="A1851" s="52">
        <v>55.548400000000001</v>
      </c>
      <c r="B1851" s="52">
        <v>57.221899999999998</v>
      </c>
      <c r="C1851" s="52">
        <v>55.456400000000002</v>
      </c>
      <c r="D1851" s="52">
        <v>57.197499999999998</v>
      </c>
      <c r="E1851" s="52">
        <v>16447880</v>
      </c>
      <c r="F1851" s="52" t="s">
        <v>415</v>
      </c>
      <c r="G1851" s="25">
        <f t="shared" ref="G1851:G1881" si="27">A1851/D1851-1</f>
        <v>-2.8831679706280866E-2</v>
      </c>
    </row>
    <row r="1852" spans="1:7">
      <c r="A1852" s="52">
        <v>56.833799999999997</v>
      </c>
      <c r="B1852" s="52">
        <v>56.877600000000001</v>
      </c>
      <c r="C1852" s="52">
        <v>55.066699999999997</v>
      </c>
      <c r="D1852" s="52">
        <v>55.502099999999999</v>
      </c>
      <c r="E1852" s="52">
        <v>23220800</v>
      </c>
      <c r="F1852" s="52" t="s">
        <v>414</v>
      </c>
      <c r="G1852" s="25">
        <f t="shared" si="27"/>
        <v>2.3993686725367169E-2</v>
      </c>
    </row>
    <row r="1853" spans="1:7">
      <c r="A1853" s="52">
        <v>56.190899999999999</v>
      </c>
      <c r="B1853" s="52">
        <v>56.796399999999998</v>
      </c>
      <c r="C1853" s="52">
        <v>56.082900000000002</v>
      </c>
      <c r="D1853" s="52">
        <v>56.3461</v>
      </c>
      <c r="E1853" s="52">
        <v>31562320</v>
      </c>
      <c r="F1853" s="52" t="s">
        <v>413</v>
      </c>
      <c r="G1853" s="25">
        <f t="shared" si="27"/>
        <v>-2.7544053625716547E-3</v>
      </c>
    </row>
    <row r="1854" spans="1:7">
      <c r="A1854" s="52">
        <v>56.070900000000002</v>
      </c>
      <c r="B1854" s="52">
        <v>56.430199999999999</v>
      </c>
      <c r="C1854" s="52">
        <v>55.040500000000002</v>
      </c>
      <c r="D1854" s="52">
        <v>55.354900000000001</v>
      </c>
      <c r="E1854" s="52">
        <v>29733500</v>
      </c>
      <c r="F1854" s="52" t="s">
        <v>412</v>
      </c>
      <c r="G1854" s="25">
        <f t="shared" si="27"/>
        <v>1.2934717613074964E-2</v>
      </c>
    </row>
    <row r="1855" spans="1:7">
      <c r="A1855" s="52">
        <v>55.581299999999999</v>
      </c>
      <c r="B1855" s="52">
        <v>57.037799999999997</v>
      </c>
      <c r="C1855" s="52">
        <v>55.569299999999998</v>
      </c>
      <c r="D1855" s="52">
        <v>56.529699999999998</v>
      </c>
      <c r="E1855" s="52">
        <v>34537320</v>
      </c>
      <c r="F1855" s="52" t="s">
        <v>411</v>
      </c>
      <c r="G1855" s="25">
        <f t="shared" si="27"/>
        <v>-1.6777021636414147E-2</v>
      </c>
    </row>
    <row r="1856" spans="1:7">
      <c r="A1856" s="52">
        <v>56.361499999999999</v>
      </c>
      <c r="B1856" s="52">
        <v>57.070599999999999</v>
      </c>
      <c r="C1856" s="52">
        <v>56.181399999999996</v>
      </c>
      <c r="D1856" s="52">
        <v>56.934800000000003</v>
      </c>
      <c r="E1856" s="52">
        <v>34688280</v>
      </c>
      <c r="F1856" s="52" t="s">
        <v>410</v>
      </c>
      <c r="G1856" s="25">
        <f t="shared" si="27"/>
        <v>-1.0069412731756433E-2</v>
      </c>
    </row>
    <row r="1857" spans="1:7">
      <c r="A1857" s="52">
        <v>56.692999999999998</v>
      </c>
      <c r="B1857" s="52">
        <v>57.524500000000003</v>
      </c>
      <c r="C1857" s="52">
        <v>55.7286</v>
      </c>
      <c r="D1857" s="52">
        <v>57.475200000000001</v>
      </c>
      <c r="E1857" s="52">
        <v>57682620</v>
      </c>
      <c r="F1857" s="52" t="s">
        <v>409</v>
      </c>
      <c r="G1857" s="25">
        <f t="shared" si="27"/>
        <v>-1.360934803184688E-2</v>
      </c>
    </row>
    <row r="1858" spans="1:7">
      <c r="A1858" s="52">
        <v>58.186300000000003</v>
      </c>
      <c r="B1858" s="52">
        <v>58.470500000000001</v>
      </c>
      <c r="C1858" s="52">
        <v>57.706600000000002</v>
      </c>
      <c r="D1858" s="52">
        <v>58.295999999999999</v>
      </c>
      <c r="E1858" s="52">
        <v>34220060</v>
      </c>
      <c r="F1858" s="52" t="s">
        <v>408</v>
      </c>
      <c r="G1858" s="25">
        <f t="shared" si="27"/>
        <v>-1.881775765060989E-3</v>
      </c>
    </row>
    <row r="1859" spans="1:7">
      <c r="A1859" s="52">
        <v>58.193800000000003</v>
      </c>
      <c r="B1859" s="52">
        <v>59.233499999999999</v>
      </c>
      <c r="C1859" s="52">
        <v>57.897199999999998</v>
      </c>
      <c r="D1859" s="52">
        <v>58.993499999999997</v>
      </c>
      <c r="E1859" s="52">
        <v>44965540</v>
      </c>
      <c r="F1859" s="52" t="s">
        <v>407</v>
      </c>
      <c r="G1859" s="25">
        <f t="shared" si="27"/>
        <v>-1.3555730716095726E-2</v>
      </c>
    </row>
    <row r="1860" spans="1:7">
      <c r="A1860" s="52">
        <v>58.921799999999998</v>
      </c>
      <c r="B1860" s="52">
        <v>59.788699999999999</v>
      </c>
      <c r="C1860" s="52">
        <v>58.820300000000003</v>
      </c>
      <c r="D1860" s="52">
        <v>58.883499999999998</v>
      </c>
      <c r="E1860" s="52">
        <v>51685200</v>
      </c>
      <c r="F1860" s="52" t="s">
        <v>406</v>
      </c>
      <c r="G1860" s="25">
        <f t="shared" si="27"/>
        <v>6.5043687960120167E-4</v>
      </c>
    </row>
    <row r="1861" spans="1:7">
      <c r="A1861" s="52">
        <v>58.6541</v>
      </c>
      <c r="B1861" s="52">
        <v>58.859099999999998</v>
      </c>
      <c r="C1861" s="52">
        <v>57.804099999999998</v>
      </c>
      <c r="D1861" s="52">
        <v>58.2271</v>
      </c>
      <c r="E1861" s="52">
        <v>47282540</v>
      </c>
      <c r="F1861" s="52" t="s">
        <v>405</v>
      </c>
      <c r="G1861" s="25">
        <f t="shared" si="27"/>
        <v>7.3333550872360931E-3</v>
      </c>
    </row>
    <row r="1862" spans="1:7">
      <c r="A1862" s="52">
        <v>58.897399999999998</v>
      </c>
      <c r="B1862" s="52">
        <v>58.924799999999998</v>
      </c>
      <c r="C1862" s="52">
        <v>57.276200000000003</v>
      </c>
      <c r="D1862" s="52">
        <v>57.360300000000002</v>
      </c>
      <c r="E1862" s="52">
        <v>33038260</v>
      </c>
      <c r="F1862" s="52" t="s">
        <v>404</v>
      </c>
      <c r="G1862" s="25">
        <f t="shared" si="27"/>
        <v>2.679727965160561E-2</v>
      </c>
    </row>
    <row r="1863" spans="1:7">
      <c r="A1863" s="52">
        <v>57.6877</v>
      </c>
      <c r="B1863" s="52">
        <v>57.918500000000002</v>
      </c>
      <c r="C1863" s="52">
        <v>57.41</v>
      </c>
      <c r="D1863" s="52">
        <v>57.72</v>
      </c>
      <c r="E1863" s="52">
        <v>44437820</v>
      </c>
      <c r="F1863" s="52" t="s">
        <v>403</v>
      </c>
      <c r="G1863" s="25">
        <f t="shared" si="27"/>
        <v>-5.5959805959804321E-4</v>
      </c>
    </row>
    <row r="1864" spans="1:7">
      <c r="A1864" s="52">
        <v>57.729500000000002</v>
      </c>
      <c r="B1864" s="52">
        <v>58.022100000000002</v>
      </c>
      <c r="C1864" s="52">
        <v>57.256300000000003</v>
      </c>
      <c r="D1864" s="52">
        <v>57.336399999999998</v>
      </c>
      <c r="E1864" s="52">
        <v>35422400</v>
      </c>
      <c r="F1864" s="52" t="s">
        <v>402</v>
      </c>
      <c r="G1864" s="25">
        <f t="shared" si="27"/>
        <v>6.8560286310268559E-3</v>
      </c>
    </row>
    <row r="1865" spans="1:7">
      <c r="A1865" s="52">
        <v>56.939300000000003</v>
      </c>
      <c r="B1865" s="52">
        <v>57.507100000000001</v>
      </c>
      <c r="C1865" s="52">
        <v>56.896999999999998</v>
      </c>
      <c r="D1865" s="52">
        <v>57.3399</v>
      </c>
      <c r="E1865" s="52">
        <v>34301480</v>
      </c>
      <c r="F1865" s="52" t="s">
        <v>401</v>
      </c>
      <c r="G1865" s="25">
        <f t="shared" si="27"/>
        <v>-6.986409114769998E-3</v>
      </c>
    </row>
    <row r="1866" spans="1:7">
      <c r="A1866" s="52">
        <v>57.136299999999999</v>
      </c>
      <c r="B1866" s="52">
        <v>57.164200000000001</v>
      </c>
      <c r="C1866" s="52">
        <v>56.779499999999999</v>
      </c>
      <c r="D1866" s="52">
        <v>56.779499999999999</v>
      </c>
      <c r="E1866" s="52">
        <v>26092240</v>
      </c>
      <c r="F1866" s="52" t="s">
        <v>400</v>
      </c>
      <c r="G1866" s="25">
        <f t="shared" si="27"/>
        <v>6.2839581186870941E-3</v>
      </c>
    </row>
    <row r="1867" spans="1:7">
      <c r="A1867" s="52">
        <v>56.773600000000002</v>
      </c>
      <c r="B1867" s="52">
        <v>57.113900000000001</v>
      </c>
      <c r="C1867" s="52">
        <v>56.300800000000002</v>
      </c>
      <c r="D1867" s="52">
        <v>56.377499999999998</v>
      </c>
      <c r="E1867" s="52">
        <v>24795400</v>
      </c>
      <c r="F1867" s="52" t="s">
        <v>399</v>
      </c>
      <c r="G1867" s="25">
        <f t="shared" si="27"/>
        <v>7.0258525120838744E-3</v>
      </c>
    </row>
    <row r="1868" spans="1:7">
      <c r="A1868" s="52">
        <v>56.366</v>
      </c>
      <c r="B1868" s="52">
        <v>56.668100000000003</v>
      </c>
      <c r="C1868" s="52">
        <v>55.894300000000001</v>
      </c>
      <c r="D1868" s="52">
        <v>56.291400000000003</v>
      </c>
      <c r="E1868" s="52">
        <v>27284520</v>
      </c>
      <c r="F1868" s="52" t="s">
        <v>398</v>
      </c>
      <c r="G1868" s="25">
        <f t="shared" si="27"/>
        <v>1.3252468405475781E-3</v>
      </c>
    </row>
    <row r="1869" spans="1:7">
      <c r="A1869" s="52">
        <v>56.451099999999997</v>
      </c>
      <c r="B1869" s="52">
        <v>57.020600000000002</v>
      </c>
      <c r="C1869" s="52">
        <v>56.0381</v>
      </c>
      <c r="D1869" s="52">
        <v>56.956699999999998</v>
      </c>
      <c r="E1869" s="52">
        <v>36107760</v>
      </c>
      <c r="F1869" s="52" t="s">
        <v>397</v>
      </c>
      <c r="G1869" s="25">
        <f t="shared" si="27"/>
        <v>-8.8769187821625684E-3</v>
      </c>
    </row>
    <row r="1870" spans="1:7">
      <c r="A1870" s="52">
        <v>57.074599999999997</v>
      </c>
      <c r="B1870" s="52">
        <v>57.460999999999999</v>
      </c>
      <c r="C1870" s="52">
        <v>56.545699999999997</v>
      </c>
      <c r="D1870" s="52">
        <v>57.364199999999997</v>
      </c>
      <c r="E1870" s="52">
        <v>34934380</v>
      </c>
      <c r="F1870" s="52" t="s">
        <v>396</v>
      </c>
      <c r="G1870" s="25">
        <f t="shared" si="27"/>
        <v>-5.0484448488778977E-3</v>
      </c>
    </row>
    <row r="1871" spans="1:7">
      <c r="A1871" s="52">
        <v>57.277200000000001</v>
      </c>
      <c r="B1871" s="52">
        <v>57.778599999999997</v>
      </c>
      <c r="C1871" s="52">
        <v>57.1</v>
      </c>
      <c r="D1871" s="52">
        <v>57.458300000000001</v>
      </c>
      <c r="E1871" s="52">
        <v>32964440</v>
      </c>
      <c r="F1871" s="52" t="s">
        <v>395</v>
      </c>
      <c r="G1871" s="25">
        <f t="shared" si="27"/>
        <v>-3.1518509945474005E-3</v>
      </c>
    </row>
    <row r="1872" spans="1:7">
      <c r="A1872" s="52">
        <v>57.377699999999997</v>
      </c>
      <c r="B1872" s="52">
        <v>57.617400000000004</v>
      </c>
      <c r="C1872" s="52">
        <v>56.579500000000003</v>
      </c>
      <c r="D1872" s="52">
        <v>56.6541</v>
      </c>
      <c r="E1872" s="52">
        <v>44754020</v>
      </c>
      <c r="F1872" s="52" t="s">
        <v>394</v>
      </c>
      <c r="G1872" s="25">
        <f t="shared" si="27"/>
        <v>1.2772244197683857E-2</v>
      </c>
    </row>
    <row r="1873" spans="1:7">
      <c r="A1873" s="52">
        <v>56.48</v>
      </c>
      <c r="B1873" s="52">
        <v>56.6372</v>
      </c>
      <c r="C1873" s="52">
        <v>55.335900000000002</v>
      </c>
      <c r="D1873" s="52">
        <v>55.378700000000002</v>
      </c>
      <c r="E1873" s="52">
        <v>63202000</v>
      </c>
      <c r="F1873" s="52" t="s">
        <v>393</v>
      </c>
      <c r="G1873" s="25">
        <f t="shared" si="27"/>
        <v>1.9886707344159316E-2</v>
      </c>
    </row>
    <row r="1874" spans="1:7">
      <c r="A1874" s="52">
        <v>54.738300000000002</v>
      </c>
      <c r="B1874" s="52">
        <v>55.235900000000001</v>
      </c>
      <c r="C1874" s="52">
        <v>53.643500000000003</v>
      </c>
      <c r="D1874" s="52">
        <v>53.842599999999997</v>
      </c>
      <c r="E1874" s="52">
        <v>79367240</v>
      </c>
      <c r="F1874" s="52" t="s">
        <v>392</v>
      </c>
      <c r="G1874" s="25">
        <f t="shared" si="27"/>
        <v>1.6635526516178833E-2</v>
      </c>
    </row>
    <row r="1875" spans="1:7">
      <c r="A1875" s="52">
        <v>53.617199999999997</v>
      </c>
      <c r="B1875" s="52">
        <v>53.692799999999998</v>
      </c>
      <c r="C1875" s="52">
        <v>53.073799999999999</v>
      </c>
      <c r="D1875" s="52">
        <v>53.418599999999998</v>
      </c>
      <c r="E1875" s="52">
        <v>28685640</v>
      </c>
      <c r="F1875" s="52" t="s">
        <v>391</v>
      </c>
      <c r="G1875" s="25">
        <f t="shared" si="27"/>
        <v>3.7178061574059118E-3</v>
      </c>
    </row>
    <row r="1876" spans="1:7">
      <c r="A1876" s="52">
        <v>53.1494</v>
      </c>
      <c r="B1876" s="52">
        <v>53.809699999999999</v>
      </c>
      <c r="C1876" s="52">
        <v>52.9011</v>
      </c>
      <c r="D1876" s="52">
        <v>53.543999999999997</v>
      </c>
      <c r="E1876" s="52">
        <v>36076100</v>
      </c>
      <c r="F1876" s="52" t="s">
        <v>390</v>
      </c>
      <c r="G1876" s="25">
        <f t="shared" si="27"/>
        <v>-7.3696399223068809E-3</v>
      </c>
    </row>
    <row r="1877" spans="1:7">
      <c r="A1877" s="52">
        <v>53.946100000000001</v>
      </c>
      <c r="B1877" s="52">
        <v>54.219299999999997</v>
      </c>
      <c r="C1877" s="52">
        <v>53.872399999999999</v>
      </c>
      <c r="D1877" s="52">
        <v>54.069000000000003</v>
      </c>
      <c r="E1877" s="52">
        <v>22223220</v>
      </c>
      <c r="F1877" s="52" t="s">
        <v>389</v>
      </c>
      <c r="G1877" s="25">
        <f t="shared" si="27"/>
        <v>-2.273021509552664E-3</v>
      </c>
    </row>
    <row r="1878" spans="1:7">
      <c r="A1878" s="52">
        <v>54.014299999999999</v>
      </c>
      <c r="B1878" s="52">
        <v>54.0974</v>
      </c>
      <c r="C1878" s="52">
        <v>53.359900000000003</v>
      </c>
      <c r="D1878" s="52">
        <v>54.086399999999998</v>
      </c>
      <c r="E1878" s="52">
        <v>20603880</v>
      </c>
      <c r="F1878" s="52" t="s">
        <v>388</v>
      </c>
      <c r="G1878" s="25">
        <f t="shared" si="27"/>
        <v>-1.3330523015027129E-3</v>
      </c>
    </row>
    <row r="1879" spans="1:7">
      <c r="A1879" s="52">
        <v>54.0396</v>
      </c>
      <c r="B1879" s="52">
        <v>54.141199999999998</v>
      </c>
      <c r="C1879" s="52">
        <v>53.094200000000001</v>
      </c>
      <c r="D1879" s="52">
        <v>53.245399999999997</v>
      </c>
      <c r="E1879" s="52">
        <v>23739960</v>
      </c>
      <c r="F1879" s="52" t="s">
        <v>387</v>
      </c>
      <c r="G1879" s="25">
        <f t="shared" si="27"/>
        <v>1.4915842495314191E-2</v>
      </c>
    </row>
    <row r="1880" spans="1:7">
      <c r="A1880" s="52">
        <v>53.509700000000002</v>
      </c>
      <c r="B1880" s="52">
        <v>54.330199999999998</v>
      </c>
      <c r="C1880" s="52">
        <v>53.357900000000001</v>
      </c>
      <c r="D1880" s="52">
        <v>54.230699999999999</v>
      </c>
      <c r="E1880" s="52">
        <v>22225980</v>
      </c>
      <c r="F1880" s="52" t="s">
        <v>386</v>
      </c>
      <c r="G1880" s="25">
        <f t="shared" si="27"/>
        <v>-1.3295052433400234E-2</v>
      </c>
    </row>
    <row r="1881" spans="1:7">
      <c r="A1881" s="52">
        <v>53.942599999999999</v>
      </c>
      <c r="B1881" s="52">
        <v>54.404899999999998</v>
      </c>
      <c r="C1881" s="52">
        <v>53.643500000000003</v>
      </c>
      <c r="D1881" s="52">
        <v>53.693300000000001</v>
      </c>
      <c r="E1881" s="52">
        <v>25179980</v>
      </c>
      <c r="F1881" s="52" t="s">
        <v>385</v>
      </c>
      <c r="G1881" s="25">
        <f t="shared" si="27"/>
        <v>4.6430373994519325E-3</v>
      </c>
    </row>
  </sheetData>
  <sortState xmlns:xlrd2="http://schemas.microsoft.com/office/spreadsheetml/2017/richdata2" ref="I192:I232">
    <sortCondition ref="I19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4397-97FB-4DEC-AE53-21324F6C21FE}">
  <dimension ref="A1:P268"/>
  <sheetViews>
    <sheetView workbookViewId="0">
      <selection activeCell="B3" sqref="B3"/>
    </sheetView>
  </sheetViews>
  <sheetFormatPr defaultRowHeight="14.25"/>
  <cols>
    <col min="1" max="1" width="3.5703125" style="1" customWidth="1"/>
    <col min="2" max="14" width="10.85546875" style="1" customWidth="1"/>
    <col min="15" max="15" width="11" style="1" customWidth="1"/>
    <col min="16" max="16" width="10.85546875" style="1" customWidth="1"/>
    <col min="17" max="21" width="9.140625" style="1"/>
    <col min="22" max="22" width="9.140625" style="1" customWidth="1"/>
    <col min="23" max="16384" width="9.140625" style="1"/>
  </cols>
  <sheetData>
    <row r="1" spans="1:16" ht="15">
      <c r="A1" s="2" t="s">
        <v>2204</v>
      </c>
    </row>
    <row r="2" spans="1:16">
      <c r="B2" s="1" t="s">
        <v>2936</v>
      </c>
    </row>
    <row r="3" spans="1:16" ht="15" customHeight="1">
      <c r="B3" s="3" t="s">
        <v>2163</v>
      </c>
      <c r="C3" s="69"/>
      <c r="D3" s="68"/>
      <c r="E3" s="3" t="s">
        <v>2164</v>
      </c>
      <c r="F3" s="69"/>
      <c r="G3" s="68"/>
      <c r="H3" s="3" t="s">
        <v>2165</v>
      </c>
      <c r="I3" s="68"/>
      <c r="J3" s="65" t="s">
        <v>2206</v>
      </c>
      <c r="K3" s="66"/>
      <c r="L3" s="66"/>
      <c r="M3" s="66"/>
      <c r="N3" s="67"/>
      <c r="O3" s="69" t="s">
        <v>2205</v>
      </c>
      <c r="P3" s="69"/>
    </row>
    <row r="4" spans="1:16" ht="15" customHeight="1">
      <c r="B4" s="7" t="s">
        <v>2166</v>
      </c>
      <c r="C4" s="71"/>
      <c r="D4" s="72"/>
      <c r="E4" s="7" t="s">
        <v>2167</v>
      </c>
      <c r="F4" s="71"/>
      <c r="G4" s="71"/>
      <c r="H4" s="91" t="s">
        <v>2168</v>
      </c>
      <c r="I4" s="92"/>
      <c r="J4" s="86" t="s">
        <v>2169</v>
      </c>
      <c r="K4" s="86"/>
      <c r="L4" s="86"/>
      <c r="M4" s="86"/>
      <c r="N4" s="86"/>
      <c r="O4" s="87" t="s">
        <v>2802</v>
      </c>
      <c r="P4" s="85"/>
    </row>
    <row r="5" spans="1:16" ht="15" customHeight="1">
      <c r="B5" s="12" t="s">
        <v>2170</v>
      </c>
      <c r="C5" s="70"/>
      <c r="D5" s="73"/>
      <c r="E5" s="12" t="s">
        <v>2171</v>
      </c>
      <c r="F5" s="70"/>
      <c r="G5" s="70"/>
      <c r="H5" s="93" t="s">
        <v>2172</v>
      </c>
      <c r="I5" s="94"/>
      <c r="J5" s="77" t="s">
        <v>2170</v>
      </c>
      <c r="K5" s="77"/>
      <c r="L5" s="77"/>
      <c r="M5" s="77"/>
      <c r="N5" s="77"/>
      <c r="O5" s="88" t="s">
        <v>2207</v>
      </c>
      <c r="P5" s="81"/>
    </row>
    <row r="6" spans="1:16" ht="15" customHeight="1">
      <c r="B6" s="12" t="s">
        <v>2173</v>
      </c>
      <c r="C6" s="70"/>
      <c r="D6" s="73"/>
      <c r="E6" s="12" t="s">
        <v>2174</v>
      </c>
      <c r="F6" s="70"/>
      <c r="G6" s="70"/>
      <c r="H6" s="95" t="s">
        <v>2175</v>
      </c>
      <c r="I6" s="96"/>
      <c r="J6" s="76" t="s">
        <v>2176</v>
      </c>
      <c r="K6" s="76"/>
      <c r="L6" s="76"/>
      <c r="M6" s="76"/>
      <c r="N6" s="76"/>
      <c r="O6" s="89" t="s">
        <v>2208</v>
      </c>
      <c r="P6" s="79"/>
    </row>
    <row r="7" spans="1:16" ht="15" customHeight="1">
      <c r="B7" s="12" t="s">
        <v>2177</v>
      </c>
      <c r="C7" s="70"/>
      <c r="D7" s="73"/>
      <c r="E7" s="12" t="s">
        <v>2178</v>
      </c>
      <c r="F7" s="70"/>
      <c r="G7" s="70"/>
      <c r="H7" s="93" t="s">
        <v>2179</v>
      </c>
      <c r="I7" s="94"/>
      <c r="J7" s="77" t="s">
        <v>2180</v>
      </c>
      <c r="K7" s="77"/>
      <c r="L7" s="77"/>
      <c r="M7" s="77"/>
      <c r="N7" s="77"/>
      <c r="O7" s="88" t="s">
        <v>2210</v>
      </c>
      <c r="P7" s="81"/>
    </row>
    <row r="8" spans="1:16" ht="15" customHeight="1">
      <c r="B8" s="12" t="s">
        <v>2181</v>
      </c>
      <c r="C8" s="70"/>
      <c r="D8" s="73"/>
      <c r="E8" s="12" t="s">
        <v>2182</v>
      </c>
      <c r="F8" s="70"/>
      <c r="G8" s="70"/>
      <c r="H8" s="95" t="s">
        <v>2183</v>
      </c>
      <c r="I8" s="96"/>
      <c r="J8" s="76" t="s">
        <v>2184</v>
      </c>
      <c r="K8" s="76"/>
      <c r="L8" s="76"/>
      <c r="M8" s="76"/>
      <c r="N8" s="76"/>
      <c r="O8" s="89" t="s">
        <v>2209</v>
      </c>
      <c r="P8" s="79"/>
    </row>
    <row r="9" spans="1:16" ht="15" customHeight="1">
      <c r="B9" s="12" t="s">
        <v>2185</v>
      </c>
      <c r="C9" s="70"/>
      <c r="D9" s="73"/>
      <c r="E9" s="12" t="s">
        <v>2186</v>
      </c>
      <c r="F9" s="70"/>
      <c r="G9" s="70"/>
      <c r="H9" s="93" t="s">
        <v>2187</v>
      </c>
      <c r="I9" s="94"/>
      <c r="J9" s="77" t="s">
        <v>2185</v>
      </c>
      <c r="K9" s="77"/>
      <c r="L9" s="77"/>
      <c r="M9" s="77"/>
      <c r="N9" s="77"/>
      <c r="O9" s="88" t="s">
        <v>2211</v>
      </c>
      <c r="P9" s="81"/>
    </row>
    <row r="10" spans="1:16" ht="15" customHeight="1">
      <c r="B10" s="12" t="s">
        <v>2188</v>
      </c>
      <c r="C10" s="70"/>
      <c r="D10" s="73"/>
      <c r="E10" s="12" t="s">
        <v>2189</v>
      </c>
      <c r="F10" s="70"/>
      <c r="G10" s="70"/>
      <c r="H10" s="95" t="s">
        <v>2190</v>
      </c>
      <c r="I10" s="96"/>
      <c r="J10" s="76" t="s">
        <v>2191</v>
      </c>
      <c r="K10" s="76"/>
      <c r="L10" s="76"/>
      <c r="M10" s="76"/>
      <c r="N10" s="76"/>
      <c r="O10" s="89" t="s">
        <v>2212</v>
      </c>
      <c r="P10" s="79"/>
    </row>
    <row r="11" spans="1:16" ht="15" customHeight="1">
      <c r="B11" s="12" t="s">
        <v>2192</v>
      </c>
      <c r="C11" s="70"/>
      <c r="D11" s="73"/>
      <c r="E11" s="12" t="s">
        <v>2193</v>
      </c>
      <c r="F11" s="70"/>
      <c r="G11" s="70"/>
      <c r="H11" s="93" t="s">
        <v>2194</v>
      </c>
      <c r="I11" s="94"/>
      <c r="J11" s="77" t="s">
        <v>2195</v>
      </c>
      <c r="K11" s="77"/>
      <c r="L11" s="77"/>
      <c r="M11" s="77"/>
      <c r="N11" s="77"/>
      <c r="O11" s="88" t="s">
        <v>2213</v>
      </c>
      <c r="P11" s="81"/>
    </row>
    <row r="12" spans="1:16" ht="15" customHeight="1">
      <c r="B12" s="12" t="s">
        <v>2196</v>
      </c>
      <c r="C12" s="70"/>
      <c r="D12" s="73"/>
      <c r="E12" s="12" t="s">
        <v>2197</v>
      </c>
      <c r="F12" s="70"/>
      <c r="G12" s="70"/>
      <c r="H12" s="95" t="s">
        <v>2198</v>
      </c>
      <c r="I12" s="96"/>
      <c r="J12" s="76" t="s">
        <v>2199</v>
      </c>
      <c r="K12" s="76"/>
      <c r="L12" s="76"/>
      <c r="M12" s="76"/>
      <c r="N12" s="76"/>
      <c r="O12" s="89" t="s">
        <v>2214</v>
      </c>
      <c r="P12" s="79"/>
    </row>
    <row r="13" spans="1:16" ht="15" customHeight="1">
      <c r="B13" s="19" t="s">
        <v>2200</v>
      </c>
      <c r="C13" s="74"/>
      <c r="D13" s="75"/>
      <c r="E13" s="19" t="s">
        <v>2201</v>
      </c>
      <c r="F13" s="74"/>
      <c r="G13" s="74"/>
      <c r="H13" s="97" t="s">
        <v>2202</v>
      </c>
      <c r="I13" s="98"/>
      <c r="J13" s="82" t="s">
        <v>2203</v>
      </c>
      <c r="K13" s="82"/>
      <c r="L13" s="82"/>
      <c r="M13" s="82"/>
      <c r="N13" s="82"/>
      <c r="O13" s="90" t="s">
        <v>2215</v>
      </c>
      <c r="P13" s="83"/>
    </row>
    <row r="14" spans="1:16">
      <c r="B14" s="1" t="s">
        <v>2216</v>
      </c>
    </row>
    <row r="15" spans="1:16" ht="15">
      <c r="B15" s="65" t="s">
        <v>2163</v>
      </c>
      <c r="C15" s="66"/>
      <c r="D15" s="67"/>
      <c r="E15" s="65" t="s">
        <v>2164</v>
      </c>
      <c r="F15" s="66"/>
      <c r="G15" s="67"/>
      <c r="H15" s="65" t="s">
        <v>2217</v>
      </c>
      <c r="I15" s="67"/>
      <c r="J15" s="3" t="s">
        <v>2206</v>
      </c>
      <c r="K15" s="69"/>
      <c r="L15" s="69"/>
      <c r="M15" s="69"/>
      <c r="N15" s="68"/>
      <c r="O15" s="3" t="s">
        <v>2205</v>
      </c>
      <c r="P15" s="68"/>
    </row>
    <row r="16" spans="1:16" ht="15">
      <c r="B16" s="7" t="s">
        <v>2218</v>
      </c>
      <c r="C16" s="71"/>
      <c r="D16" s="72"/>
      <c r="E16" s="7" t="s">
        <v>2219</v>
      </c>
      <c r="F16" s="71"/>
      <c r="G16" s="72"/>
      <c r="H16" s="99" t="s">
        <v>2754</v>
      </c>
      <c r="I16" s="105"/>
      <c r="J16" s="84" t="s">
        <v>2220</v>
      </c>
      <c r="K16" s="86"/>
      <c r="L16" s="86"/>
      <c r="M16" s="86"/>
      <c r="N16" s="86"/>
      <c r="O16" s="108">
        <v>36923</v>
      </c>
      <c r="P16" s="85"/>
    </row>
    <row r="17" spans="2:16" ht="15">
      <c r="B17" s="12" t="s">
        <v>2221</v>
      </c>
      <c r="C17" s="70"/>
      <c r="D17" s="73"/>
      <c r="E17" s="12" t="s">
        <v>2222</v>
      </c>
      <c r="F17" s="70"/>
      <c r="G17" s="73"/>
      <c r="H17" s="100" t="s">
        <v>2754</v>
      </c>
      <c r="I17" s="106"/>
      <c r="J17" s="80" t="s">
        <v>2223</v>
      </c>
      <c r="K17" s="77"/>
      <c r="L17" s="77"/>
      <c r="M17" s="77"/>
      <c r="N17" s="77"/>
      <c r="O17" s="109">
        <v>37135</v>
      </c>
      <c r="P17" s="81"/>
    </row>
    <row r="18" spans="2:16" ht="15">
      <c r="B18" s="12" t="s">
        <v>2224</v>
      </c>
      <c r="C18" s="70"/>
      <c r="D18" s="73"/>
      <c r="E18" s="12" t="s">
        <v>2225</v>
      </c>
      <c r="F18" s="70"/>
      <c r="G18" s="73"/>
      <c r="H18" s="101" t="s">
        <v>2754</v>
      </c>
      <c r="I18" s="107"/>
      <c r="J18" s="78" t="s">
        <v>2226</v>
      </c>
      <c r="K18" s="76"/>
      <c r="L18" s="76"/>
      <c r="M18" s="76"/>
      <c r="N18" s="76"/>
      <c r="O18" s="110">
        <v>37653</v>
      </c>
      <c r="P18" s="79"/>
    </row>
    <row r="19" spans="2:16" ht="15">
      <c r="B19" s="12" t="s">
        <v>2227</v>
      </c>
      <c r="C19" s="70"/>
      <c r="D19" s="73"/>
      <c r="E19" s="12" t="s">
        <v>2790</v>
      </c>
      <c r="F19" s="70"/>
      <c r="G19" s="73"/>
      <c r="H19" s="100" t="s">
        <v>2754</v>
      </c>
      <c r="I19" s="106"/>
      <c r="J19" s="80" t="s">
        <v>2228</v>
      </c>
      <c r="K19" s="77"/>
      <c r="L19" s="77"/>
      <c r="M19" s="77"/>
      <c r="N19" s="77"/>
      <c r="O19" s="109">
        <v>37712</v>
      </c>
      <c r="P19" s="81"/>
    </row>
    <row r="20" spans="2:16" ht="15">
      <c r="B20" s="12" t="s">
        <v>2229</v>
      </c>
      <c r="C20" s="70"/>
      <c r="D20" s="73"/>
      <c r="E20" s="12" t="s">
        <v>2174</v>
      </c>
      <c r="F20" s="70"/>
      <c r="G20" s="73"/>
      <c r="H20" s="101" t="s">
        <v>2755</v>
      </c>
      <c r="I20" s="107"/>
      <c r="J20" s="78" t="s">
        <v>2230</v>
      </c>
      <c r="K20" s="76"/>
      <c r="L20" s="76"/>
      <c r="M20" s="76"/>
      <c r="N20" s="76"/>
      <c r="O20" s="110">
        <v>37712</v>
      </c>
      <c r="P20" s="79"/>
    </row>
    <row r="21" spans="2:16" ht="15">
      <c r="B21" s="12" t="s">
        <v>2231</v>
      </c>
      <c r="C21" s="70"/>
      <c r="D21" s="73"/>
      <c r="E21" s="12" t="s">
        <v>2222</v>
      </c>
      <c r="F21" s="70"/>
      <c r="G21" s="73"/>
      <c r="H21" s="100" t="s">
        <v>2754</v>
      </c>
      <c r="I21" s="106"/>
      <c r="J21" s="80" t="s">
        <v>2223</v>
      </c>
      <c r="K21" s="77"/>
      <c r="L21" s="77"/>
      <c r="M21" s="77"/>
      <c r="N21" s="77"/>
      <c r="O21" s="109">
        <v>37865</v>
      </c>
      <c r="P21" s="81"/>
    </row>
    <row r="22" spans="2:16" ht="15">
      <c r="B22" s="12" t="s">
        <v>2232</v>
      </c>
      <c r="C22" s="70"/>
      <c r="D22" s="73"/>
      <c r="E22" s="12" t="s">
        <v>2174</v>
      </c>
      <c r="F22" s="70"/>
      <c r="G22" s="73"/>
      <c r="H22" s="101" t="s">
        <v>2754</v>
      </c>
      <c r="I22" s="107"/>
      <c r="J22" s="78" t="s">
        <v>2230</v>
      </c>
      <c r="K22" s="76"/>
      <c r="L22" s="76"/>
      <c r="M22" s="76"/>
      <c r="N22" s="76"/>
      <c r="O22" s="110">
        <v>37895</v>
      </c>
      <c r="P22" s="79"/>
    </row>
    <row r="23" spans="2:16" ht="15">
      <c r="B23" s="12" t="s">
        <v>2233</v>
      </c>
      <c r="C23" s="70"/>
      <c r="D23" s="73"/>
      <c r="E23" s="12" t="s">
        <v>2234</v>
      </c>
      <c r="F23" s="70"/>
      <c r="G23" s="73"/>
      <c r="H23" s="100" t="s">
        <v>2754</v>
      </c>
      <c r="I23" s="106"/>
      <c r="J23" s="80" t="s">
        <v>2226</v>
      </c>
      <c r="K23" s="77"/>
      <c r="L23" s="77"/>
      <c r="M23" s="77"/>
      <c r="N23" s="77"/>
      <c r="O23" s="111">
        <v>2003</v>
      </c>
      <c r="P23" s="81"/>
    </row>
    <row r="24" spans="2:16" ht="15">
      <c r="B24" s="12" t="s">
        <v>2235</v>
      </c>
      <c r="C24" s="70"/>
      <c r="D24" s="73"/>
      <c r="E24" s="12" t="s">
        <v>2236</v>
      </c>
      <c r="F24" s="70"/>
      <c r="G24" s="73"/>
      <c r="H24" s="101" t="s">
        <v>2754</v>
      </c>
      <c r="I24" s="107"/>
      <c r="J24" s="78" t="s">
        <v>2237</v>
      </c>
      <c r="K24" s="76"/>
      <c r="L24" s="76"/>
      <c r="M24" s="76"/>
      <c r="N24" s="76"/>
      <c r="O24" s="112">
        <v>2003</v>
      </c>
      <c r="P24" s="79"/>
    </row>
    <row r="25" spans="2:16" ht="15">
      <c r="B25" s="12" t="s">
        <v>2238</v>
      </c>
      <c r="C25" s="70"/>
      <c r="D25" s="73"/>
      <c r="E25" s="12" t="s">
        <v>2239</v>
      </c>
      <c r="F25" s="70"/>
      <c r="G25" s="73"/>
      <c r="H25" s="100" t="s">
        <v>2754</v>
      </c>
      <c r="I25" s="106"/>
      <c r="J25" s="80" t="s">
        <v>2240</v>
      </c>
      <c r="K25" s="77"/>
      <c r="L25" s="77"/>
      <c r="M25" s="77"/>
      <c r="N25" s="77"/>
      <c r="O25" s="109">
        <v>38169</v>
      </c>
      <c r="P25" s="81"/>
    </row>
    <row r="26" spans="2:16" ht="15">
      <c r="B26" s="12" t="s">
        <v>2241</v>
      </c>
      <c r="C26" s="70"/>
      <c r="D26" s="73"/>
      <c r="E26" s="12" t="s">
        <v>2242</v>
      </c>
      <c r="F26" s="70"/>
      <c r="G26" s="73"/>
      <c r="H26" s="101" t="s">
        <v>2754</v>
      </c>
      <c r="I26" s="107"/>
      <c r="J26" s="78" t="s">
        <v>2243</v>
      </c>
      <c r="K26" s="76"/>
      <c r="L26" s="76"/>
      <c r="M26" s="76"/>
      <c r="N26" s="76"/>
      <c r="O26" s="112">
        <v>2004</v>
      </c>
      <c r="P26" s="79"/>
    </row>
    <row r="27" spans="2:16" ht="15">
      <c r="B27" s="12" t="s">
        <v>2244</v>
      </c>
      <c r="C27" s="70"/>
      <c r="D27" s="73"/>
      <c r="E27" s="12" t="s">
        <v>2245</v>
      </c>
      <c r="F27" s="70"/>
      <c r="G27" s="73"/>
      <c r="H27" s="100" t="s">
        <v>2754</v>
      </c>
      <c r="I27" s="106"/>
      <c r="J27" s="80" t="s">
        <v>2243</v>
      </c>
      <c r="K27" s="77"/>
      <c r="L27" s="77"/>
      <c r="M27" s="77"/>
      <c r="N27" s="77"/>
      <c r="O27" s="109">
        <v>38261</v>
      </c>
      <c r="P27" s="81"/>
    </row>
    <row r="28" spans="2:16" ht="15">
      <c r="B28" s="12" t="s">
        <v>2246</v>
      </c>
      <c r="C28" s="70"/>
      <c r="D28" s="73"/>
      <c r="E28" s="12" t="s">
        <v>2245</v>
      </c>
      <c r="F28" s="70"/>
      <c r="G28" s="73"/>
      <c r="H28" s="101" t="s">
        <v>2754</v>
      </c>
      <c r="I28" s="107"/>
      <c r="J28" s="78" t="s">
        <v>2247</v>
      </c>
      <c r="K28" s="76"/>
      <c r="L28" s="76"/>
      <c r="M28" s="76"/>
      <c r="N28" s="76"/>
      <c r="O28" s="110">
        <v>38261</v>
      </c>
      <c r="P28" s="79"/>
    </row>
    <row r="29" spans="2:16" ht="15">
      <c r="B29" s="12" t="s">
        <v>2248</v>
      </c>
      <c r="C29" s="70"/>
      <c r="D29" s="73"/>
      <c r="E29" s="12" t="s">
        <v>2249</v>
      </c>
      <c r="F29" s="70"/>
      <c r="G29" s="73"/>
      <c r="H29" s="100" t="s">
        <v>2754</v>
      </c>
      <c r="I29" s="106"/>
      <c r="J29" s="80" t="s">
        <v>2250</v>
      </c>
      <c r="K29" s="77"/>
      <c r="L29" s="77"/>
      <c r="M29" s="77"/>
      <c r="N29" s="77"/>
      <c r="O29" s="109">
        <v>38443</v>
      </c>
      <c r="P29" s="81"/>
    </row>
    <row r="30" spans="2:16" ht="15">
      <c r="B30" s="12" t="s">
        <v>2251</v>
      </c>
      <c r="C30" s="70"/>
      <c r="D30" s="73"/>
      <c r="E30" s="12" t="s">
        <v>2252</v>
      </c>
      <c r="F30" s="70"/>
      <c r="G30" s="73"/>
      <c r="H30" s="101" t="s">
        <v>2754</v>
      </c>
      <c r="I30" s="107"/>
      <c r="J30" s="78" t="s">
        <v>2253</v>
      </c>
      <c r="K30" s="76"/>
      <c r="L30" s="76"/>
      <c r="M30" s="76"/>
      <c r="N30" s="76"/>
      <c r="O30" s="110">
        <v>38473</v>
      </c>
      <c r="P30" s="79"/>
    </row>
    <row r="31" spans="2:16" ht="15">
      <c r="B31" s="12" t="s">
        <v>2254</v>
      </c>
      <c r="C31" s="70"/>
      <c r="D31" s="73"/>
      <c r="E31" s="12" t="s">
        <v>2255</v>
      </c>
      <c r="F31" s="70"/>
      <c r="G31" s="73"/>
      <c r="H31" s="100" t="s">
        <v>2754</v>
      </c>
      <c r="I31" s="106"/>
      <c r="J31" s="80" t="s">
        <v>2256</v>
      </c>
      <c r="K31" s="77"/>
      <c r="L31" s="77"/>
      <c r="M31" s="77"/>
      <c r="N31" s="77"/>
      <c r="O31" s="109">
        <v>38534</v>
      </c>
      <c r="P31" s="81"/>
    </row>
    <row r="32" spans="2:16" ht="15">
      <c r="B32" s="12" t="s">
        <v>2257</v>
      </c>
      <c r="C32" s="70"/>
      <c r="D32" s="73"/>
      <c r="E32" s="12" t="s">
        <v>2258</v>
      </c>
      <c r="F32" s="70"/>
      <c r="G32" s="73"/>
      <c r="H32" s="101" t="s">
        <v>2754</v>
      </c>
      <c r="I32" s="107"/>
      <c r="J32" s="78" t="s">
        <v>2259</v>
      </c>
      <c r="K32" s="76"/>
      <c r="L32" s="76"/>
      <c r="M32" s="76"/>
      <c r="N32" s="76"/>
      <c r="O32" s="112">
        <v>2005</v>
      </c>
      <c r="P32" s="79"/>
    </row>
    <row r="33" spans="2:16" ht="15">
      <c r="B33" s="12" t="s">
        <v>2260</v>
      </c>
      <c r="C33" s="70"/>
      <c r="D33" s="73"/>
      <c r="E33" s="12" t="s">
        <v>2261</v>
      </c>
      <c r="F33" s="70"/>
      <c r="G33" s="73"/>
      <c r="H33" s="100" t="s">
        <v>2756</v>
      </c>
      <c r="I33" s="106"/>
      <c r="J33" s="80" t="s">
        <v>2260</v>
      </c>
      <c r="K33" s="77"/>
      <c r="L33" s="77"/>
      <c r="M33" s="77"/>
      <c r="N33" s="77"/>
      <c r="O33" s="109">
        <v>38565</v>
      </c>
      <c r="P33" s="81"/>
    </row>
    <row r="34" spans="2:16" ht="15">
      <c r="B34" s="12" t="s">
        <v>2262</v>
      </c>
      <c r="C34" s="70"/>
      <c r="D34" s="73"/>
      <c r="E34" s="12" t="s">
        <v>2263</v>
      </c>
      <c r="F34" s="70"/>
      <c r="G34" s="73"/>
      <c r="H34" s="101" t="s">
        <v>2754</v>
      </c>
      <c r="I34" s="107"/>
      <c r="J34" s="78" t="s">
        <v>2262</v>
      </c>
      <c r="K34" s="76"/>
      <c r="L34" s="76"/>
      <c r="M34" s="76"/>
      <c r="N34" s="76"/>
      <c r="O34" s="112">
        <v>2005</v>
      </c>
      <c r="P34" s="79"/>
    </row>
    <row r="35" spans="2:16" ht="15">
      <c r="B35" s="12" t="s">
        <v>2264</v>
      </c>
      <c r="C35" s="70"/>
      <c r="D35" s="73"/>
      <c r="E35" s="12" t="s">
        <v>2265</v>
      </c>
      <c r="F35" s="70"/>
      <c r="G35" s="73"/>
      <c r="H35" s="100" t="s">
        <v>2754</v>
      </c>
      <c r="I35" s="106"/>
      <c r="J35" s="80" t="s">
        <v>2266</v>
      </c>
      <c r="K35" s="77"/>
      <c r="L35" s="77"/>
      <c r="M35" s="77"/>
      <c r="N35" s="77"/>
      <c r="O35" s="109">
        <v>38687</v>
      </c>
      <c r="P35" s="81"/>
    </row>
    <row r="36" spans="2:16" ht="15">
      <c r="B36" s="12" t="s">
        <v>2267</v>
      </c>
      <c r="C36" s="70"/>
      <c r="D36" s="73"/>
      <c r="E36" s="12" t="s">
        <v>2268</v>
      </c>
      <c r="F36" s="70"/>
      <c r="G36" s="73"/>
      <c r="H36" s="101" t="s">
        <v>2754</v>
      </c>
      <c r="I36" s="107"/>
      <c r="J36" s="78" t="s">
        <v>2259</v>
      </c>
      <c r="K36" s="76"/>
      <c r="L36" s="76"/>
      <c r="M36" s="76"/>
      <c r="N36" s="76"/>
      <c r="O36" s="112">
        <v>2005</v>
      </c>
      <c r="P36" s="79"/>
    </row>
    <row r="37" spans="2:16" ht="15">
      <c r="B37" s="12" t="s">
        <v>2269</v>
      </c>
      <c r="C37" s="70"/>
      <c r="D37" s="73"/>
      <c r="E37" s="12" t="s">
        <v>2268</v>
      </c>
      <c r="F37" s="70"/>
      <c r="G37" s="73"/>
      <c r="H37" s="100" t="s">
        <v>2754</v>
      </c>
      <c r="I37" s="106"/>
      <c r="J37" s="80" t="s">
        <v>2259</v>
      </c>
      <c r="K37" s="77"/>
      <c r="L37" s="77"/>
      <c r="M37" s="77"/>
      <c r="N37" s="77"/>
      <c r="O37" s="88">
        <v>2005</v>
      </c>
      <c r="P37" s="81"/>
    </row>
    <row r="38" spans="2:16" ht="15">
      <c r="B38" s="12" t="s">
        <v>2270</v>
      </c>
      <c r="C38" s="70"/>
      <c r="D38" s="73"/>
      <c r="E38" s="12" t="s">
        <v>2271</v>
      </c>
      <c r="F38" s="70"/>
      <c r="G38" s="73"/>
      <c r="H38" s="101" t="s">
        <v>2755</v>
      </c>
      <c r="I38" s="107"/>
      <c r="J38" s="78" t="s">
        <v>2176</v>
      </c>
      <c r="K38" s="76"/>
      <c r="L38" s="76"/>
      <c r="M38" s="76"/>
      <c r="N38" s="76"/>
      <c r="O38" s="110">
        <v>38718</v>
      </c>
      <c r="P38" s="79"/>
    </row>
    <row r="39" spans="2:16" ht="15">
      <c r="B39" s="12" t="s">
        <v>2272</v>
      </c>
      <c r="C39" s="70"/>
      <c r="D39" s="73"/>
      <c r="E39" s="12" t="s">
        <v>2225</v>
      </c>
      <c r="F39" s="70"/>
      <c r="G39" s="73"/>
      <c r="H39" s="100" t="s">
        <v>2754</v>
      </c>
      <c r="I39" s="106"/>
      <c r="J39" s="80" t="s">
        <v>2250</v>
      </c>
      <c r="K39" s="77"/>
      <c r="L39" s="77"/>
      <c r="M39" s="77"/>
      <c r="N39" s="77"/>
      <c r="O39" s="109">
        <v>38749</v>
      </c>
      <c r="P39" s="81"/>
    </row>
    <row r="40" spans="2:16" ht="15">
      <c r="B40" s="12" t="s">
        <v>2273</v>
      </c>
      <c r="C40" s="70"/>
      <c r="D40" s="73"/>
      <c r="E40" s="12" t="s">
        <v>2274</v>
      </c>
      <c r="F40" s="70"/>
      <c r="G40" s="73"/>
      <c r="H40" s="101" t="s">
        <v>2754</v>
      </c>
      <c r="I40" s="107"/>
      <c r="J40" s="78" t="s">
        <v>2275</v>
      </c>
      <c r="K40" s="76"/>
      <c r="L40" s="76"/>
      <c r="M40" s="76"/>
      <c r="N40" s="76"/>
      <c r="O40" s="110">
        <v>38777</v>
      </c>
      <c r="P40" s="79"/>
    </row>
    <row r="41" spans="2:16" ht="15">
      <c r="B41" s="12" t="s">
        <v>2276</v>
      </c>
      <c r="C41" s="70"/>
      <c r="D41" s="73"/>
      <c r="E41" s="12" t="s">
        <v>2277</v>
      </c>
      <c r="F41" s="70"/>
      <c r="G41" s="73"/>
      <c r="H41" s="100" t="s">
        <v>2754</v>
      </c>
      <c r="I41" s="106"/>
      <c r="J41" s="80" t="s">
        <v>2278</v>
      </c>
      <c r="K41" s="77"/>
      <c r="L41" s="77"/>
      <c r="M41" s="77"/>
      <c r="N41" s="77"/>
      <c r="O41" s="109">
        <v>38777</v>
      </c>
      <c r="P41" s="81"/>
    </row>
    <row r="42" spans="2:16" ht="15">
      <c r="B42" s="12" t="s">
        <v>2279</v>
      </c>
      <c r="C42" s="70"/>
      <c r="D42" s="73"/>
      <c r="E42" s="12" t="s">
        <v>2222</v>
      </c>
      <c r="F42" s="70"/>
      <c r="G42" s="73"/>
      <c r="H42" s="101" t="s">
        <v>2754</v>
      </c>
      <c r="I42" s="107"/>
      <c r="J42" s="78" t="s">
        <v>2280</v>
      </c>
      <c r="K42" s="76"/>
      <c r="L42" s="76"/>
      <c r="M42" s="76"/>
      <c r="N42" s="76"/>
      <c r="O42" s="112">
        <v>2006</v>
      </c>
      <c r="P42" s="79"/>
    </row>
    <row r="43" spans="2:16" ht="15">
      <c r="B43" s="12" t="s">
        <v>2281</v>
      </c>
      <c r="C43" s="70"/>
      <c r="D43" s="73"/>
      <c r="E43" s="12" t="s">
        <v>2282</v>
      </c>
      <c r="F43" s="70"/>
      <c r="G43" s="73"/>
      <c r="H43" s="100" t="s">
        <v>2754</v>
      </c>
      <c r="I43" s="106"/>
      <c r="J43" s="80" t="s">
        <v>2283</v>
      </c>
      <c r="K43" s="77"/>
      <c r="L43" s="77"/>
      <c r="M43" s="77"/>
      <c r="N43" s="77"/>
      <c r="O43" s="109">
        <v>38869</v>
      </c>
      <c r="P43" s="81"/>
    </row>
    <row r="44" spans="2:16" ht="15">
      <c r="B44" s="12" t="s">
        <v>2284</v>
      </c>
      <c r="C44" s="70"/>
      <c r="D44" s="73"/>
      <c r="E44" s="12" t="s">
        <v>2285</v>
      </c>
      <c r="F44" s="70"/>
      <c r="G44" s="73"/>
      <c r="H44" s="101" t="s">
        <v>2754</v>
      </c>
      <c r="I44" s="107"/>
      <c r="J44" s="78" t="s">
        <v>2286</v>
      </c>
      <c r="K44" s="76"/>
      <c r="L44" s="76"/>
      <c r="M44" s="76"/>
      <c r="N44" s="76"/>
      <c r="O44" s="110">
        <v>38930</v>
      </c>
      <c r="P44" s="79"/>
    </row>
    <row r="45" spans="2:16" ht="15">
      <c r="B45" s="12" t="s">
        <v>2287</v>
      </c>
      <c r="C45" s="70"/>
      <c r="D45" s="73"/>
      <c r="E45" s="12" t="s">
        <v>2288</v>
      </c>
      <c r="F45" s="70"/>
      <c r="G45" s="73"/>
      <c r="H45" s="100" t="s">
        <v>2754</v>
      </c>
      <c r="I45" s="106"/>
      <c r="J45" s="80" t="s">
        <v>2237</v>
      </c>
      <c r="K45" s="77"/>
      <c r="L45" s="77"/>
      <c r="M45" s="77"/>
      <c r="N45" s="77"/>
      <c r="O45" s="109">
        <v>38991</v>
      </c>
      <c r="P45" s="81"/>
    </row>
    <row r="46" spans="2:16" ht="15">
      <c r="B46" s="12" t="s">
        <v>2289</v>
      </c>
      <c r="C46" s="70"/>
      <c r="D46" s="73"/>
      <c r="E46" s="12" t="s">
        <v>2290</v>
      </c>
      <c r="F46" s="70"/>
      <c r="G46" s="73"/>
      <c r="H46" s="101" t="s">
        <v>2757</v>
      </c>
      <c r="I46" s="107"/>
      <c r="J46" s="78" t="s">
        <v>2243</v>
      </c>
      <c r="K46" s="76"/>
      <c r="L46" s="76"/>
      <c r="M46" s="76"/>
      <c r="N46" s="76"/>
      <c r="O46" s="110">
        <v>39052</v>
      </c>
      <c r="P46" s="79"/>
    </row>
    <row r="47" spans="2:16" ht="15">
      <c r="B47" s="12" t="s">
        <v>2291</v>
      </c>
      <c r="C47" s="70"/>
      <c r="D47" s="73"/>
      <c r="E47" s="12" t="s">
        <v>2292</v>
      </c>
      <c r="F47" s="70"/>
      <c r="G47" s="73"/>
      <c r="H47" s="100" t="s">
        <v>2758</v>
      </c>
      <c r="I47" s="106"/>
      <c r="J47" s="80" t="s">
        <v>2176</v>
      </c>
      <c r="K47" s="77"/>
      <c r="L47" s="77"/>
      <c r="M47" s="77"/>
      <c r="N47" s="77"/>
      <c r="O47" s="109">
        <v>39114</v>
      </c>
      <c r="P47" s="81"/>
    </row>
    <row r="48" spans="2:16" ht="15">
      <c r="B48" s="12" t="s">
        <v>2293</v>
      </c>
      <c r="C48" s="70"/>
      <c r="D48" s="73"/>
      <c r="E48" s="12" t="s">
        <v>2294</v>
      </c>
      <c r="F48" s="70"/>
      <c r="G48" s="73"/>
      <c r="H48" s="101" t="s">
        <v>2754</v>
      </c>
      <c r="I48" s="107"/>
      <c r="J48" s="78" t="s">
        <v>2250</v>
      </c>
      <c r="K48" s="76"/>
      <c r="L48" s="76"/>
      <c r="M48" s="76"/>
      <c r="N48" s="76"/>
      <c r="O48" s="110">
        <v>39142</v>
      </c>
      <c r="P48" s="79"/>
    </row>
    <row r="49" spans="2:16" ht="15">
      <c r="B49" s="12" t="s">
        <v>2295</v>
      </c>
      <c r="C49" s="70"/>
      <c r="D49" s="73"/>
      <c r="E49" s="12" t="s">
        <v>2252</v>
      </c>
      <c r="F49" s="70"/>
      <c r="G49" s="73"/>
      <c r="H49" s="100" t="s">
        <v>2754</v>
      </c>
      <c r="I49" s="106"/>
      <c r="J49" s="80" t="s">
        <v>2185</v>
      </c>
      <c r="K49" s="77"/>
      <c r="L49" s="77"/>
      <c r="M49" s="77"/>
      <c r="N49" s="77"/>
      <c r="O49" s="111">
        <v>2007</v>
      </c>
      <c r="P49" s="81"/>
    </row>
    <row r="50" spans="2:16" ht="15">
      <c r="B50" s="12" t="s">
        <v>2296</v>
      </c>
      <c r="C50" s="70"/>
      <c r="D50" s="73"/>
      <c r="E50" s="12" t="s">
        <v>2297</v>
      </c>
      <c r="F50" s="70"/>
      <c r="G50" s="73"/>
      <c r="H50" s="101" t="s">
        <v>2754</v>
      </c>
      <c r="I50" s="107"/>
      <c r="J50" s="78" t="s">
        <v>2275</v>
      </c>
      <c r="K50" s="76"/>
      <c r="L50" s="76"/>
      <c r="M50" s="76"/>
      <c r="N50" s="76"/>
      <c r="O50" s="110">
        <v>39173</v>
      </c>
      <c r="P50" s="79"/>
    </row>
    <row r="51" spans="2:16" ht="15">
      <c r="B51" s="12" t="s">
        <v>2298</v>
      </c>
      <c r="C51" s="70"/>
      <c r="D51" s="73"/>
      <c r="E51" s="12" t="s">
        <v>2299</v>
      </c>
      <c r="F51" s="70"/>
      <c r="G51" s="73"/>
      <c r="H51" s="100" t="s">
        <v>2759</v>
      </c>
      <c r="I51" s="106"/>
      <c r="J51" s="80" t="s">
        <v>2300</v>
      </c>
      <c r="K51" s="77"/>
      <c r="L51" s="77"/>
      <c r="M51" s="77"/>
      <c r="N51" s="77"/>
      <c r="O51" s="109">
        <v>39173</v>
      </c>
      <c r="P51" s="81"/>
    </row>
    <row r="52" spans="2:16" ht="15">
      <c r="B52" s="12" t="s">
        <v>2301</v>
      </c>
      <c r="C52" s="70"/>
      <c r="D52" s="73"/>
      <c r="E52" s="12" t="s">
        <v>2302</v>
      </c>
      <c r="F52" s="70"/>
      <c r="G52" s="73"/>
      <c r="H52" s="101" t="s">
        <v>2754</v>
      </c>
      <c r="I52" s="107"/>
      <c r="J52" s="78" t="s">
        <v>2303</v>
      </c>
      <c r="K52" s="76"/>
      <c r="L52" s="76"/>
      <c r="M52" s="76"/>
      <c r="N52" s="76"/>
      <c r="O52" s="110">
        <v>39203</v>
      </c>
      <c r="P52" s="79"/>
    </row>
    <row r="53" spans="2:16" ht="15">
      <c r="B53" s="12" t="s">
        <v>2304</v>
      </c>
      <c r="C53" s="70"/>
      <c r="D53" s="73"/>
      <c r="E53" s="12" t="s">
        <v>2305</v>
      </c>
      <c r="F53" s="70"/>
      <c r="G53" s="73"/>
      <c r="H53" s="100" t="s">
        <v>2754</v>
      </c>
      <c r="I53" s="106"/>
      <c r="J53" s="80" t="s">
        <v>2304</v>
      </c>
      <c r="K53" s="77"/>
      <c r="L53" s="77"/>
      <c r="M53" s="77"/>
      <c r="N53" s="77"/>
      <c r="O53" s="109">
        <v>39203</v>
      </c>
      <c r="P53" s="81"/>
    </row>
    <row r="54" spans="2:16" ht="15">
      <c r="B54" s="12" t="s">
        <v>2306</v>
      </c>
      <c r="C54" s="70"/>
      <c r="D54" s="73"/>
      <c r="E54" s="12" t="s">
        <v>2307</v>
      </c>
      <c r="F54" s="70"/>
      <c r="G54" s="73"/>
      <c r="H54" s="101" t="s">
        <v>2760</v>
      </c>
      <c r="I54" s="107"/>
      <c r="J54" s="78" t="s">
        <v>2306</v>
      </c>
      <c r="K54" s="76"/>
      <c r="L54" s="76"/>
      <c r="M54" s="76"/>
      <c r="N54" s="76"/>
      <c r="O54" s="110">
        <v>39234</v>
      </c>
      <c r="P54" s="79"/>
    </row>
    <row r="55" spans="2:16" ht="15">
      <c r="B55" s="12" t="s">
        <v>2308</v>
      </c>
      <c r="C55" s="70"/>
      <c r="D55" s="73"/>
      <c r="E55" s="12" t="s">
        <v>2309</v>
      </c>
      <c r="F55" s="70"/>
      <c r="G55" s="73"/>
      <c r="H55" s="100" t="s">
        <v>2754</v>
      </c>
      <c r="I55" s="106"/>
      <c r="J55" s="80" t="s">
        <v>2260</v>
      </c>
      <c r="K55" s="77"/>
      <c r="L55" s="77"/>
      <c r="M55" s="77"/>
      <c r="N55" s="77"/>
      <c r="O55" s="109">
        <v>39234</v>
      </c>
      <c r="P55" s="81"/>
    </row>
    <row r="56" spans="2:16" ht="15">
      <c r="B56" s="12" t="s">
        <v>2310</v>
      </c>
      <c r="C56" s="70"/>
      <c r="D56" s="73"/>
      <c r="E56" s="12" t="s">
        <v>2297</v>
      </c>
      <c r="F56" s="70"/>
      <c r="G56" s="73"/>
      <c r="H56" s="101" t="s">
        <v>2754</v>
      </c>
      <c r="I56" s="107"/>
      <c r="J56" s="78" t="s">
        <v>2275</v>
      </c>
      <c r="K56" s="76"/>
      <c r="L56" s="76"/>
      <c r="M56" s="76"/>
      <c r="N56" s="76"/>
      <c r="O56" s="110">
        <v>39234</v>
      </c>
      <c r="P56" s="79"/>
    </row>
    <row r="57" spans="2:16" ht="15">
      <c r="B57" s="12" t="s">
        <v>2311</v>
      </c>
      <c r="C57" s="70"/>
      <c r="D57" s="73"/>
      <c r="E57" s="12" t="s">
        <v>2312</v>
      </c>
      <c r="F57" s="70"/>
      <c r="G57" s="73"/>
      <c r="H57" s="100" t="s">
        <v>2761</v>
      </c>
      <c r="I57" s="106"/>
      <c r="J57" s="80" t="s">
        <v>2313</v>
      </c>
      <c r="K57" s="77"/>
      <c r="L57" s="77"/>
      <c r="M57" s="77"/>
      <c r="N57" s="77"/>
      <c r="O57" s="109">
        <v>39264</v>
      </c>
      <c r="P57" s="81"/>
    </row>
    <row r="58" spans="2:16" ht="15">
      <c r="B58" s="12" t="s">
        <v>2314</v>
      </c>
      <c r="C58" s="70"/>
      <c r="D58" s="73"/>
      <c r="E58" s="12" t="s">
        <v>2315</v>
      </c>
      <c r="F58" s="70"/>
      <c r="G58" s="73"/>
      <c r="H58" s="101" t="s">
        <v>2754</v>
      </c>
      <c r="I58" s="107"/>
      <c r="J58" s="78" t="s">
        <v>2243</v>
      </c>
      <c r="K58" s="76"/>
      <c r="L58" s="76"/>
      <c r="M58" s="76"/>
      <c r="N58" s="76"/>
      <c r="O58" s="110">
        <v>39264</v>
      </c>
      <c r="P58" s="79"/>
    </row>
    <row r="59" spans="2:16" ht="15">
      <c r="B59" s="12" t="s">
        <v>2316</v>
      </c>
      <c r="C59" s="70"/>
      <c r="D59" s="73"/>
      <c r="E59" s="12" t="s">
        <v>2317</v>
      </c>
      <c r="F59" s="70"/>
      <c r="G59" s="73"/>
      <c r="H59" s="100" t="s">
        <v>2762</v>
      </c>
      <c r="I59" s="106"/>
      <c r="J59" s="80" t="s">
        <v>2318</v>
      </c>
      <c r="K59" s="77"/>
      <c r="L59" s="77"/>
      <c r="M59" s="77"/>
      <c r="N59" s="77"/>
      <c r="O59" s="109">
        <v>39264</v>
      </c>
      <c r="P59" s="81"/>
    </row>
    <row r="60" spans="2:16" ht="15">
      <c r="B60" s="12" t="s">
        <v>2319</v>
      </c>
      <c r="C60" s="70"/>
      <c r="D60" s="73"/>
      <c r="E60" s="12" t="s">
        <v>2252</v>
      </c>
      <c r="F60" s="70"/>
      <c r="G60" s="73"/>
      <c r="H60" s="101" t="s">
        <v>2754</v>
      </c>
      <c r="I60" s="107"/>
      <c r="J60" s="78" t="s">
        <v>2259</v>
      </c>
      <c r="K60" s="76"/>
      <c r="L60" s="76"/>
      <c r="M60" s="76"/>
      <c r="N60" s="76"/>
      <c r="O60" s="110">
        <v>39326</v>
      </c>
      <c r="P60" s="79"/>
    </row>
    <row r="61" spans="2:16" ht="15">
      <c r="B61" s="12" t="s">
        <v>2320</v>
      </c>
      <c r="C61" s="70"/>
      <c r="D61" s="73"/>
      <c r="E61" s="12" t="s">
        <v>2321</v>
      </c>
      <c r="F61" s="70"/>
      <c r="G61" s="73"/>
      <c r="H61" s="100" t="s">
        <v>2754</v>
      </c>
      <c r="I61" s="106"/>
      <c r="J61" s="80" t="s">
        <v>2259</v>
      </c>
      <c r="K61" s="77"/>
      <c r="L61" s="77"/>
      <c r="M61" s="77"/>
      <c r="N61" s="77"/>
      <c r="O61" s="109">
        <v>39356</v>
      </c>
      <c r="P61" s="81"/>
    </row>
    <row r="62" spans="2:16" ht="15">
      <c r="B62" s="12" t="s">
        <v>2322</v>
      </c>
      <c r="C62" s="70"/>
      <c r="D62" s="73"/>
      <c r="E62" s="12" t="s">
        <v>2323</v>
      </c>
      <c r="F62" s="70"/>
      <c r="G62" s="73"/>
      <c r="H62" s="101" t="s">
        <v>2759</v>
      </c>
      <c r="I62" s="107"/>
      <c r="J62" s="78" t="s">
        <v>2185</v>
      </c>
      <c r="K62" s="76"/>
      <c r="L62" s="76"/>
      <c r="M62" s="76"/>
      <c r="N62" s="76"/>
      <c r="O62" s="110">
        <v>39630</v>
      </c>
      <c r="P62" s="79"/>
    </row>
    <row r="63" spans="2:16" ht="15">
      <c r="B63" s="12" t="s">
        <v>2324</v>
      </c>
      <c r="C63" s="70"/>
      <c r="D63" s="73"/>
      <c r="E63" s="12" t="s">
        <v>2225</v>
      </c>
      <c r="F63" s="70"/>
      <c r="G63" s="73"/>
      <c r="H63" s="100" t="s">
        <v>2754</v>
      </c>
      <c r="I63" s="106"/>
      <c r="J63" s="80" t="s">
        <v>2226</v>
      </c>
      <c r="K63" s="77"/>
      <c r="L63" s="77"/>
      <c r="M63" s="77"/>
      <c r="N63" s="77"/>
      <c r="O63" s="111">
        <v>2008</v>
      </c>
      <c r="P63" s="81"/>
    </row>
    <row r="64" spans="2:16" ht="15">
      <c r="B64" s="12" t="s">
        <v>2325</v>
      </c>
      <c r="C64" s="70"/>
      <c r="D64" s="73"/>
      <c r="E64" s="12" t="s">
        <v>2326</v>
      </c>
      <c r="F64" s="70"/>
      <c r="G64" s="73"/>
      <c r="H64" s="101" t="s">
        <v>2763</v>
      </c>
      <c r="I64" s="107"/>
      <c r="J64" s="78" t="s">
        <v>2327</v>
      </c>
      <c r="K64" s="76"/>
      <c r="L64" s="76"/>
      <c r="M64" s="76"/>
      <c r="N64" s="76"/>
      <c r="O64" s="110">
        <v>40210</v>
      </c>
      <c r="P64" s="79"/>
    </row>
    <row r="65" spans="2:16" ht="15">
      <c r="B65" s="12" t="s">
        <v>2328</v>
      </c>
      <c r="C65" s="70"/>
      <c r="D65" s="73"/>
      <c r="E65" s="12" t="s">
        <v>2329</v>
      </c>
      <c r="F65" s="70"/>
      <c r="G65" s="73"/>
      <c r="H65" s="100" t="s">
        <v>2754</v>
      </c>
      <c r="I65" s="106"/>
      <c r="J65" s="80" t="s">
        <v>2330</v>
      </c>
      <c r="K65" s="77"/>
      <c r="L65" s="77"/>
      <c r="M65" s="77"/>
      <c r="N65" s="77"/>
      <c r="O65" s="109">
        <v>40057</v>
      </c>
      <c r="P65" s="81"/>
    </row>
    <row r="66" spans="2:16" ht="15">
      <c r="B66" s="12" t="s">
        <v>2331</v>
      </c>
      <c r="C66" s="70"/>
      <c r="D66" s="73"/>
      <c r="E66" s="12" t="s">
        <v>2312</v>
      </c>
      <c r="F66" s="70"/>
      <c r="G66" s="73"/>
      <c r="H66" s="101" t="s">
        <v>2764</v>
      </c>
      <c r="I66" s="107"/>
      <c r="J66" s="78" t="s">
        <v>2300</v>
      </c>
      <c r="K66" s="76"/>
      <c r="L66" s="76"/>
      <c r="M66" s="76"/>
      <c r="N66" s="76"/>
      <c r="O66" s="110">
        <v>40118</v>
      </c>
      <c r="P66" s="79"/>
    </row>
    <row r="67" spans="2:16" ht="15">
      <c r="B67" s="12" t="s">
        <v>2332</v>
      </c>
      <c r="C67" s="70"/>
      <c r="D67" s="73"/>
      <c r="E67" s="12" t="s">
        <v>2174</v>
      </c>
      <c r="F67" s="70"/>
      <c r="G67" s="73"/>
      <c r="H67" s="100" t="s">
        <v>2754</v>
      </c>
      <c r="I67" s="106"/>
      <c r="J67" s="80" t="s">
        <v>2176</v>
      </c>
      <c r="K67" s="77"/>
      <c r="L67" s="77"/>
      <c r="M67" s="77"/>
      <c r="N67" s="77"/>
      <c r="O67" s="109">
        <v>40118</v>
      </c>
      <c r="P67" s="81"/>
    </row>
    <row r="68" spans="2:16" ht="15">
      <c r="B68" s="12" t="s">
        <v>2333</v>
      </c>
      <c r="C68" s="70"/>
      <c r="D68" s="73"/>
      <c r="E68" s="12" t="s">
        <v>2791</v>
      </c>
      <c r="F68" s="70"/>
      <c r="G68" s="73"/>
      <c r="H68" s="101" t="s">
        <v>2754</v>
      </c>
      <c r="I68" s="107"/>
      <c r="J68" s="78" t="s">
        <v>2334</v>
      </c>
      <c r="K68" s="76"/>
      <c r="L68" s="76"/>
      <c r="M68" s="76"/>
      <c r="N68" s="76"/>
      <c r="O68" s="110">
        <v>40148</v>
      </c>
      <c r="P68" s="79"/>
    </row>
    <row r="69" spans="2:16" ht="15">
      <c r="B69" s="12" t="s">
        <v>2335</v>
      </c>
      <c r="C69" s="70"/>
      <c r="D69" s="73"/>
      <c r="E69" s="12" t="s">
        <v>2336</v>
      </c>
      <c r="F69" s="70"/>
      <c r="G69" s="73"/>
      <c r="H69" s="100" t="s">
        <v>2756</v>
      </c>
      <c r="I69" s="106"/>
      <c r="J69" s="80" t="s">
        <v>2335</v>
      </c>
      <c r="K69" s="77"/>
      <c r="L69" s="77"/>
      <c r="M69" s="77"/>
      <c r="N69" s="77"/>
      <c r="O69" s="109">
        <v>40210</v>
      </c>
      <c r="P69" s="81"/>
    </row>
    <row r="70" spans="2:16" ht="15">
      <c r="B70" s="12" t="s">
        <v>2337</v>
      </c>
      <c r="C70" s="70"/>
      <c r="D70" s="73"/>
      <c r="E70" s="12" t="s">
        <v>2338</v>
      </c>
      <c r="F70" s="70"/>
      <c r="G70" s="73"/>
      <c r="H70" s="101" t="s">
        <v>2754</v>
      </c>
      <c r="I70" s="107"/>
      <c r="J70" s="78" t="s">
        <v>2318</v>
      </c>
      <c r="K70" s="76"/>
      <c r="L70" s="76"/>
      <c r="M70" s="76"/>
      <c r="N70" s="76"/>
      <c r="O70" s="110">
        <v>40210</v>
      </c>
      <c r="P70" s="79"/>
    </row>
    <row r="71" spans="2:16" ht="15">
      <c r="B71" s="12" t="s">
        <v>2339</v>
      </c>
      <c r="C71" s="70"/>
      <c r="D71" s="73"/>
      <c r="E71" s="12" t="s">
        <v>2340</v>
      </c>
      <c r="F71" s="70"/>
      <c r="G71" s="73"/>
      <c r="H71" s="100" t="s">
        <v>2754</v>
      </c>
      <c r="I71" s="106"/>
      <c r="J71" s="80" t="s">
        <v>2238</v>
      </c>
      <c r="K71" s="77"/>
      <c r="L71" s="77"/>
      <c r="M71" s="77"/>
      <c r="N71" s="77"/>
      <c r="O71" s="109">
        <v>40238</v>
      </c>
      <c r="P71" s="81"/>
    </row>
    <row r="72" spans="2:16" ht="15">
      <c r="B72" s="12" t="s">
        <v>2341</v>
      </c>
      <c r="C72" s="70"/>
      <c r="D72" s="73"/>
      <c r="E72" s="12" t="s">
        <v>2792</v>
      </c>
      <c r="F72" s="70"/>
      <c r="G72" s="73"/>
      <c r="H72" s="101" t="s">
        <v>2765</v>
      </c>
      <c r="I72" s="107"/>
      <c r="J72" s="78" t="s">
        <v>2275</v>
      </c>
      <c r="K72" s="76"/>
      <c r="L72" s="76"/>
      <c r="M72" s="76"/>
      <c r="N72" s="76"/>
      <c r="O72" s="110">
        <v>40238</v>
      </c>
      <c r="P72" s="79"/>
    </row>
    <row r="73" spans="2:16" ht="15" customHeight="1">
      <c r="B73" s="12" t="s">
        <v>2342</v>
      </c>
      <c r="C73" s="70"/>
      <c r="D73" s="73"/>
      <c r="E73" s="12" t="s">
        <v>2793</v>
      </c>
      <c r="F73" s="70"/>
      <c r="G73" s="73"/>
      <c r="H73" s="100" t="s">
        <v>2754</v>
      </c>
      <c r="I73" s="106"/>
      <c r="J73" s="80" t="s">
        <v>2185</v>
      </c>
      <c r="K73" s="77"/>
      <c r="L73" s="77"/>
      <c r="M73" s="77"/>
      <c r="N73" s="77"/>
      <c r="O73" s="109">
        <v>2010</v>
      </c>
      <c r="P73" s="81"/>
    </row>
    <row r="74" spans="2:16" ht="15" customHeight="1">
      <c r="B74" s="12" t="s">
        <v>2343</v>
      </c>
      <c r="C74" s="70"/>
      <c r="D74" s="73"/>
      <c r="E74" s="12" t="s">
        <v>2344</v>
      </c>
      <c r="F74" s="70"/>
      <c r="G74" s="73"/>
      <c r="H74" s="101" t="s">
        <v>2754</v>
      </c>
      <c r="I74" s="107"/>
      <c r="J74" s="78" t="s">
        <v>2345</v>
      </c>
      <c r="K74" s="76"/>
      <c r="L74" s="76"/>
      <c r="M74" s="76"/>
      <c r="N74" s="76"/>
      <c r="O74" s="110">
        <v>40280</v>
      </c>
      <c r="P74" s="79"/>
    </row>
    <row r="75" spans="2:16" ht="15" customHeight="1">
      <c r="B75" s="12" t="s">
        <v>2346</v>
      </c>
      <c r="C75" s="70"/>
      <c r="D75" s="73"/>
      <c r="E75" s="12" t="s">
        <v>2347</v>
      </c>
      <c r="F75" s="70"/>
      <c r="G75" s="73"/>
      <c r="H75" s="100" t="s">
        <v>2754</v>
      </c>
      <c r="I75" s="106"/>
      <c r="J75" s="80" t="s">
        <v>2260</v>
      </c>
      <c r="K75" s="77"/>
      <c r="L75" s="77"/>
      <c r="M75" s="77"/>
      <c r="N75" s="77"/>
      <c r="O75" s="109">
        <v>40280</v>
      </c>
      <c r="P75" s="81"/>
    </row>
    <row r="76" spans="2:16" ht="15" customHeight="1">
      <c r="B76" s="12" t="s">
        <v>2348</v>
      </c>
      <c r="C76" s="70"/>
      <c r="D76" s="73"/>
      <c r="E76" s="12" t="s">
        <v>2349</v>
      </c>
      <c r="F76" s="70"/>
      <c r="G76" s="73"/>
      <c r="H76" s="101" t="s">
        <v>2754</v>
      </c>
      <c r="I76" s="107"/>
      <c r="J76" s="78" t="s">
        <v>2350</v>
      </c>
      <c r="K76" s="76"/>
      <c r="L76" s="76"/>
      <c r="M76" s="76"/>
      <c r="N76" s="76"/>
      <c r="O76" s="110">
        <v>40295</v>
      </c>
      <c r="P76" s="79"/>
    </row>
    <row r="77" spans="2:16" ht="15" customHeight="1">
      <c r="B77" s="12" t="s">
        <v>2351</v>
      </c>
      <c r="C77" s="70"/>
      <c r="D77" s="73"/>
      <c r="E77" s="12" t="s">
        <v>2352</v>
      </c>
      <c r="F77" s="70"/>
      <c r="G77" s="73"/>
      <c r="H77" s="100" t="s">
        <v>2764</v>
      </c>
      <c r="I77" s="106"/>
      <c r="J77" s="80" t="s">
        <v>2260</v>
      </c>
      <c r="K77" s="77"/>
      <c r="L77" s="77"/>
      <c r="M77" s="77"/>
      <c r="N77" s="77"/>
      <c r="O77" s="109">
        <v>40298</v>
      </c>
      <c r="P77" s="81"/>
    </row>
    <row r="78" spans="2:16" ht="15" customHeight="1">
      <c r="B78" s="12" t="s">
        <v>2353</v>
      </c>
      <c r="C78" s="70"/>
      <c r="D78" s="73"/>
      <c r="E78" s="12" t="s">
        <v>2794</v>
      </c>
      <c r="F78" s="70"/>
      <c r="G78" s="73"/>
      <c r="H78" s="101" t="s">
        <v>2766</v>
      </c>
      <c r="I78" s="107"/>
      <c r="J78" s="78" t="s">
        <v>2354</v>
      </c>
      <c r="K78" s="76"/>
      <c r="L78" s="76"/>
      <c r="M78" s="76"/>
      <c r="N78" s="76"/>
      <c r="O78" s="110">
        <v>40681</v>
      </c>
      <c r="P78" s="79"/>
    </row>
    <row r="79" spans="2:16" ht="15" customHeight="1">
      <c r="B79" s="12" t="s">
        <v>2355</v>
      </c>
      <c r="C79" s="70"/>
      <c r="D79" s="73"/>
      <c r="E79" s="12" t="s">
        <v>2356</v>
      </c>
      <c r="F79" s="70"/>
      <c r="G79" s="73"/>
      <c r="H79" s="100" t="s">
        <v>2754</v>
      </c>
      <c r="I79" s="106"/>
      <c r="J79" s="80" t="s">
        <v>2260</v>
      </c>
      <c r="K79" s="77"/>
      <c r="L79" s="77"/>
      <c r="M79" s="77"/>
      <c r="N79" s="77"/>
      <c r="O79" s="109">
        <v>40308</v>
      </c>
      <c r="P79" s="81"/>
    </row>
    <row r="80" spans="2:16" ht="15" customHeight="1">
      <c r="B80" s="12" t="s">
        <v>2357</v>
      </c>
      <c r="C80" s="70"/>
      <c r="D80" s="73"/>
      <c r="E80" s="12" t="s">
        <v>2358</v>
      </c>
      <c r="F80" s="70"/>
      <c r="G80" s="73"/>
      <c r="H80" s="101" t="s">
        <v>2754</v>
      </c>
      <c r="I80" s="107"/>
      <c r="J80" s="78" t="s">
        <v>2359</v>
      </c>
      <c r="K80" s="76"/>
      <c r="L80" s="76"/>
      <c r="M80" s="76"/>
      <c r="N80" s="76"/>
      <c r="O80" s="110">
        <v>40319</v>
      </c>
      <c r="P80" s="79"/>
    </row>
    <row r="81" spans="2:16" ht="15" customHeight="1">
      <c r="B81" s="12" t="s">
        <v>2360</v>
      </c>
      <c r="C81" s="70"/>
      <c r="D81" s="73"/>
      <c r="E81" s="12" t="s">
        <v>2271</v>
      </c>
      <c r="F81" s="70"/>
      <c r="G81" s="73"/>
      <c r="H81" s="100" t="s">
        <v>2767</v>
      </c>
      <c r="I81" s="106"/>
      <c r="J81" s="80" t="s">
        <v>2173</v>
      </c>
      <c r="K81" s="77"/>
      <c r="L81" s="77"/>
      <c r="M81" s="77"/>
      <c r="N81" s="77"/>
      <c r="O81" s="109">
        <v>40332</v>
      </c>
      <c r="P81" s="81"/>
    </row>
    <row r="82" spans="2:16" ht="15" customHeight="1">
      <c r="B82" s="12" t="s">
        <v>2361</v>
      </c>
      <c r="C82" s="70"/>
      <c r="D82" s="73"/>
      <c r="E82" s="12" t="s">
        <v>2362</v>
      </c>
      <c r="F82" s="70"/>
      <c r="G82" s="73"/>
      <c r="H82" s="101" t="s">
        <v>2754</v>
      </c>
      <c r="I82" s="107"/>
      <c r="J82" s="78" t="s">
        <v>2280</v>
      </c>
      <c r="K82" s="76"/>
      <c r="L82" s="76"/>
      <c r="M82" s="76"/>
      <c r="N82" s="76"/>
      <c r="O82" s="110">
        <v>40375</v>
      </c>
      <c r="P82" s="79"/>
    </row>
    <row r="83" spans="2:16" ht="15" customHeight="1">
      <c r="B83" s="12" t="s">
        <v>2363</v>
      </c>
      <c r="C83" s="70"/>
      <c r="D83" s="73"/>
      <c r="E83" s="12" t="s">
        <v>2364</v>
      </c>
      <c r="F83" s="70"/>
      <c r="G83" s="73"/>
      <c r="H83" s="100" t="s">
        <v>2754</v>
      </c>
      <c r="I83" s="106"/>
      <c r="J83" s="80" t="s">
        <v>2365</v>
      </c>
      <c r="K83" s="77"/>
      <c r="L83" s="77"/>
      <c r="M83" s="77"/>
      <c r="N83" s="77"/>
      <c r="O83" s="109">
        <v>40515</v>
      </c>
      <c r="P83" s="81"/>
    </row>
    <row r="84" spans="2:16" ht="15" customHeight="1">
      <c r="B84" s="12" t="s">
        <v>2366</v>
      </c>
      <c r="C84" s="70"/>
      <c r="D84" s="73"/>
      <c r="E84" s="12" t="s">
        <v>2367</v>
      </c>
      <c r="F84" s="70"/>
      <c r="G84" s="73"/>
      <c r="H84" s="101" t="s">
        <v>2754</v>
      </c>
      <c r="I84" s="107"/>
      <c r="J84" s="78" t="s">
        <v>2368</v>
      </c>
      <c r="K84" s="76"/>
      <c r="L84" s="76"/>
      <c r="M84" s="76"/>
      <c r="N84" s="76"/>
      <c r="O84" s="110">
        <v>40400</v>
      </c>
      <c r="P84" s="79"/>
    </row>
    <row r="85" spans="2:16" ht="15" customHeight="1">
      <c r="B85" s="12" t="s">
        <v>2369</v>
      </c>
      <c r="C85" s="70"/>
      <c r="D85" s="73"/>
      <c r="E85" s="12" t="s">
        <v>2370</v>
      </c>
      <c r="F85" s="70"/>
      <c r="G85" s="73"/>
      <c r="H85" s="100" t="s">
        <v>2768</v>
      </c>
      <c r="I85" s="106"/>
      <c r="J85" s="80" t="s">
        <v>2371</v>
      </c>
      <c r="K85" s="77"/>
      <c r="L85" s="77"/>
      <c r="M85" s="77"/>
      <c r="N85" s="77"/>
      <c r="O85" s="109">
        <v>40399</v>
      </c>
      <c r="P85" s="81"/>
    </row>
    <row r="86" spans="2:16" ht="15" customHeight="1">
      <c r="B86" s="12" t="s">
        <v>2372</v>
      </c>
      <c r="C86" s="70"/>
      <c r="D86" s="73"/>
      <c r="E86" s="12" t="s">
        <v>2373</v>
      </c>
      <c r="F86" s="70"/>
      <c r="G86" s="73"/>
      <c r="H86" s="101" t="s">
        <v>2769</v>
      </c>
      <c r="I86" s="107"/>
      <c r="J86" s="78" t="s">
        <v>2374</v>
      </c>
      <c r="K86" s="76"/>
      <c r="L86" s="76"/>
      <c r="M86" s="76"/>
      <c r="N86" s="76"/>
      <c r="O86" s="110">
        <v>40400</v>
      </c>
      <c r="P86" s="79"/>
    </row>
    <row r="87" spans="2:16" ht="15" customHeight="1">
      <c r="B87" s="12" t="s">
        <v>2375</v>
      </c>
      <c r="C87" s="70"/>
      <c r="D87" s="73"/>
      <c r="E87" s="12" t="s">
        <v>2344</v>
      </c>
      <c r="F87" s="70"/>
      <c r="G87" s="73"/>
      <c r="H87" s="100" t="s">
        <v>2760</v>
      </c>
      <c r="I87" s="106"/>
      <c r="J87" s="80" t="s">
        <v>2376</v>
      </c>
      <c r="K87" s="77"/>
      <c r="L87" s="77"/>
      <c r="M87" s="77"/>
      <c r="N87" s="77"/>
      <c r="O87" s="109">
        <v>40405</v>
      </c>
      <c r="P87" s="81"/>
    </row>
    <row r="88" spans="2:16" ht="15" customHeight="1">
      <c r="B88" s="12" t="s">
        <v>2377</v>
      </c>
      <c r="C88" s="70"/>
      <c r="D88" s="73"/>
      <c r="E88" s="12" t="s">
        <v>2252</v>
      </c>
      <c r="F88" s="70"/>
      <c r="G88" s="73"/>
      <c r="H88" s="101" t="s">
        <v>2754</v>
      </c>
      <c r="I88" s="107"/>
      <c r="J88" s="78" t="s">
        <v>2378</v>
      </c>
      <c r="K88" s="76"/>
      <c r="L88" s="76"/>
      <c r="M88" s="76"/>
      <c r="N88" s="76"/>
      <c r="O88" s="110">
        <v>40410</v>
      </c>
      <c r="P88" s="79"/>
    </row>
    <row r="89" spans="2:16" ht="15" customHeight="1">
      <c r="B89" s="12" t="s">
        <v>2379</v>
      </c>
      <c r="C89" s="70"/>
      <c r="D89" s="73"/>
      <c r="E89" s="12" t="s">
        <v>2370</v>
      </c>
      <c r="F89" s="70"/>
      <c r="G89" s="73"/>
      <c r="H89" s="100" t="s">
        <v>2754</v>
      </c>
      <c r="I89" s="106"/>
      <c r="J89" s="80" t="s">
        <v>2380</v>
      </c>
      <c r="K89" s="77"/>
      <c r="L89" s="77"/>
      <c r="M89" s="77"/>
      <c r="N89" s="77"/>
      <c r="O89" s="109">
        <v>40448</v>
      </c>
      <c r="P89" s="81"/>
    </row>
    <row r="90" spans="2:16" ht="15" customHeight="1">
      <c r="B90" s="12" t="s">
        <v>2381</v>
      </c>
      <c r="C90" s="70"/>
      <c r="D90" s="73"/>
      <c r="E90" s="12" t="s">
        <v>2323</v>
      </c>
      <c r="F90" s="70"/>
      <c r="G90" s="73"/>
      <c r="H90" s="101" t="s">
        <v>2770</v>
      </c>
      <c r="I90" s="107"/>
      <c r="J90" s="78" t="s">
        <v>2243</v>
      </c>
      <c r="K90" s="76"/>
      <c r="L90" s="76"/>
      <c r="M90" s="76"/>
      <c r="N90" s="76"/>
      <c r="O90" s="110">
        <v>40476</v>
      </c>
      <c r="P90" s="79"/>
    </row>
    <row r="91" spans="2:16" ht="15" customHeight="1">
      <c r="B91" s="12" t="s">
        <v>2382</v>
      </c>
      <c r="C91" s="70"/>
      <c r="D91" s="73"/>
      <c r="E91" s="12" t="s">
        <v>2383</v>
      </c>
      <c r="F91" s="70"/>
      <c r="G91" s="73"/>
      <c r="H91" s="100" t="s">
        <v>2754</v>
      </c>
      <c r="I91" s="106"/>
      <c r="J91" s="80" t="s">
        <v>2384</v>
      </c>
      <c r="K91" s="77"/>
      <c r="L91" s="77"/>
      <c r="M91" s="77"/>
      <c r="N91" s="77"/>
      <c r="O91" s="109">
        <v>40477</v>
      </c>
      <c r="P91" s="81"/>
    </row>
    <row r="92" spans="2:16" ht="15" customHeight="1">
      <c r="B92" s="12" t="s">
        <v>2385</v>
      </c>
      <c r="C92" s="70"/>
      <c r="D92" s="73"/>
      <c r="E92" s="12" t="s">
        <v>2386</v>
      </c>
      <c r="F92" s="70"/>
      <c r="G92" s="73"/>
      <c r="H92" s="101" t="s">
        <v>2754</v>
      </c>
      <c r="I92" s="107"/>
      <c r="J92" s="78" t="s">
        <v>2260</v>
      </c>
      <c r="K92" s="76"/>
      <c r="L92" s="76"/>
      <c r="M92" s="76"/>
      <c r="N92" s="76"/>
      <c r="O92" s="110">
        <v>40479</v>
      </c>
      <c r="P92" s="79"/>
    </row>
    <row r="93" spans="2:16" ht="15" customHeight="1">
      <c r="B93" s="12" t="s">
        <v>2387</v>
      </c>
      <c r="C93" s="70"/>
      <c r="D93" s="73"/>
      <c r="E93" s="12" t="s">
        <v>2388</v>
      </c>
      <c r="F93" s="70"/>
      <c r="G93" s="73"/>
      <c r="H93" s="100" t="s">
        <v>2754</v>
      </c>
      <c r="I93" s="106"/>
      <c r="J93" s="80" t="s">
        <v>2389</v>
      </c>
      <c r="K93" s="77"/>
      <c r="L93" s="77"/>
      <c r="M93" s="77"/>
      <c r="N93" s="77"/>
      <c r="O93" s="109">
        <v>40515</v>
      </c>
      <c r="P93" s="81"/>
    </row>
    <row r="94" spans="2:16" ht="15" customHeight="1">
      <c r="B94" s="12" t="s">
        <v>2390</v>
      </c>
      <c r="C94" s="70"/>
      <c r="D94" s="73"/>
      <c r="E94" s="12" t="s">
        <v>2391</v>
      </c>
      <c r="F94" s="70"/>
      <c r="G94" s="73"/>
      <c r="H94" s="101" t="s">
        <v>2754</v>
      </c>
      <c r="I94" s="107"/>
      <c r="J94" s="78" t="s">
        <v>2392</v>
      </c>
      <c r="K94" s="76"/>
      <c r="L94" s="76"/>
      <c r="M94" s="76"/>
      <c r="N94" s="76"/>
      <c r="O94" s="110">
        <v>40532</v>
      </c>
      <c r="P94" s="79"/>
    </row>
    <row r="95" spans="2:16" ht="15" customHeight="1">
      <c r="B95" s="12" t="s">
        <v>2393</v>
      </c>
      <c r="C95" s="70"/>
      <c r="D95" s="73"/>
      <c r="E95" s="12" t="s">
        <v>2394</v>
      </c>
      <c r="F95" s="70"/>
      <c r="G95" s="73"/>
      <c r="H95" s="100" t="s">
        <v>2754</v>
      </c>
      <c r="I95" s="106"/>
      <c r="J95" s="80" t="s">
        <v>2395</v>
      </c>
      <c r="K95" s="77"/>
      <c r="L95" s="77"/>
      <c r="M95" s="77"/>
      <c r="N95" s="77"/>
      <c r="O95" s="109">
        <v>40547</v>
      </c>
      <c r="P95" s="81"/>
    </row>
    <row r="96" spans="2:16" ht="15" customHeight="1">
      <c r="B96" s="12" t="s">
        <v>2396</v>
      </c>
      <c r="C96" s="70"/>
      <c r="D96" s="73"/>
      <c r="E96" s="12" t="s">
        <v>2397</v>
      </c>
      <c r="F96" s="70"/>
      <c r="G96" s="73"/>
      <c r="H96" s="101" t="s">
        <v>2754</v>
      </c>
      <c r="I96" s="107"/>
      <c r="J96" s="78" t="s">
        <v>2313</v>
      </c>
      <c r="K96" s="76"/>
      <c r="L96" s="76"/>
      <c r="M96" s="76"/>
      <c r="N96" s="76"/>
      <c r="O96" s="110">
        <v>40568</v>
      </c>
      <c r="P96" s="79"/>
    </row>
    <row r="97" spans="2:16" ht="15" customHeight="1">
      <c r="B97" s="12" t="s">
        <v>2398</v>
      </c>
      <c r="C97" s="70"/>
      <c r="D97" s="73"/>
      <c r="E97" s="12" t="s">
        <v>2329</v>
      </c>
      <c r="F97" s="70"/>
      <c r="G97" s="73"/>
      <c r="H97" s="100" t="s">
        <v>2754</v>
      </c>
      <c r="I97" s="106"/>
      <c r="J97" s="80" t="s">
        <v>2399</v>
      </c>
      <c r="K97" s="77"/>
      <c r="L97" s="77"/>
      <c r="M97" s="77"/>
      <c r="N97" s="77"/>
      <c r="O97" s="109">
        <v>40603</v>
      </c>
      <c r="P97" s="81"/>
    </row>
    <row r="98" spans="2:16" ht="15" customHeight="1">
      <c r="B98" s="12" t="s">
        <v>2400</v>
      </c>
      <c r="C98" s="70"/>
      <c r="D98" s="73"/>
      <c r="E98" s="12" t="s">
        <v>2401</v>
      </c>
      <c r="F98" s="70"/>
      <c r="G98" s="73"/>
      <c r="H98" s="101" t="s">
        <v>2771</v>
      </c>
      <c r="I98" s="107"/>
      <c r="J98" s="78" t="s">
        <v>2376</v>
      </c>
      <c r="K98" s="76"/>
      <c r="L98" s="76"/>
      <c r="M98" s="76"/>
      <c r="N98" s="76"/>
      <c r="O98" s="110">
        <v>40609</v>
      </c>
      <c r="P98" s="79"/>
    </row>
    <row r="99" spans="2:16" ht="15" customHeight="1">
      <c r="B99" s="12" t="s">
        <v>2402</v>
      </c>
      <c r="C99" s="70"/>
      <c r="D99" s="73"/>
      <c r="E99" s="12" t="s">
        <v>2323</v>
      </c>
      <c r="F99" s="70"/>
      <c r="G99" s="73"/>
      <c r="H99" s="100" t="s">
        <v>2754</v>
      </c>
      <c r="I99" s="106"/>
      <c r="J99" s="80" t="s">
        <v>2185</v>
      </c>
      <c r="K99" s="77"/>
      <c r="L99" s="77"/>
      <c r="M99" s="77"/>
      <c r="N99" s="77"/>
      <c r="O99" s="109">
        <v>40609</v>
      </c>
      <c r="P99" s="81"/>
    </row>
    <row r="100" spans="2:16" ht="15" customHeight="1">
      <c r="B100" s="12" t="s">
        <v>2403</v>
      </c>
      <c r="C100" s="70"/>
      <c r="D100" s="73"/>
      <c r="E100" s="12" t="s">
        <v>2404</v>
      </c>
      <c r="F100" s="70"/>
      <c r="G100" s="73"/>
      <c r="H100" s="101" t="s">
        <v>2754</v>
      </c>
      <c r="I100" s="107"/>
      <c r="J100" s="78" t="s">
        <v>2185</v>
      </c>
      <c r="K100" s="76"/>
      <c r="L100" s="76"/>
      <c r="M100" s="76"/>
      <c r="N100" s="76"/>
      <c r="O100" s="110">
        <v>40613</v>
      </c>
      <c r="P100" s="79"/>
    </row>
    <row r="101" spans="2:16" ht="15" customHeight="1">
      <c r="B101" s="12" t="s">
        <v>2405</v>
      </c>
      <c r="C101" s="70"/>
      <c r="D101" s="73"/>
      <c r="E101" s="12" t="s">
        <v>2406</v>
      </c>
      <c r="F101" s="70"/>
      <c r="G101" s="73"/>
      <c r="H101" s="100" t="s">
        <v>2765</v>
      </c>
      <c r="I101" s="106"/>
      <c r="J101" s="80" t="s">
        <v>2407</v>
      </c>
      <c r="K101" s="77"/>
      <c r="L101" s="77"/>
      <c r="M101" s="77"/>
      <c r="N101" s="77"/>
      <c r="O101" s="109">
        <v>40641</v>
      </c>
      <c r="P101" s="81"/>
    </row>
    <row r="102" spans="2:16" ht="15" customHeight="1">
      <c r="B102" s="12" t="s">
        <v>2408</v>
      </c>
      <c r="C102" s="70"/>
      <c r="D102" s="73"/>
      <c r="E102" s="12" t="s">
        <v>2268</v>
      </c>
      <c r="F102" s="70"/>
      <c r="G102" s="73"/>
      <c r="H102" s="101" t="s">
        <v>2754</v>
      </c>
      <c r="I102" s="107"/>
      <c r="J102" s="78" t="s">
        <v>2260</v>
      </c>
      <c r="K102" s="76"/>
      <c r="L102" s="76"/>
      <c r="M102" s="76"/>
      <c r="N102" s="76"/>
      <c r="O102" s="110">
        <v>40659</v>
      </c>
      <c r="P102" s="79"/>
    </row>
    <row r="103" spans="2:16" ht="15" customHeight="1">
      <c r="B103" s="12" t="s">
        <v>2409</v>
      </c>
      <c r="C103" s="70"/>
      <c r="D103" s="73"/>
      <c r="E103" s="12" t="s">
        <v>2410</v>
      </c>
      <c r="F103" s="70"/>
      <c r="G103" s="73"/>
      <c r="H103" s="100" t="s">
        <v>2754</v>
      </c>
      <c r="I103" s="106"/>
      <c r="J103" s="80" t="s">
        <v>2376</v>
      </c>
      <c r="K103" s="77"/>
      <c r="L103" s="77"/>
      <c r="M103" s="77"/>
      <c r="N103" s="77"/>
      <c r="O103" s="109">
        <v>40686</v>
      </c>
      <c r="P103" s="81"/>
    </row>
    <row r="104" spans="2:16" ht="15" customHeight="1">
      <c r="B104" s="12" t="s">
        <v>2411</v>
      </c>
      <c r="C104" s="70"/>
      <c r="D104" s="73"/>
      <c r="E104" s="12" t="s">
        <v>2795</v>
      </c>
      <c r="F104" s="70"/>
      <c r="G104" s="73"/>
      <c r="H104" s="101" t="s">
        <v>2754</v>
      </c>
      <c r="I104" s="107"/>
      <c r="J104" s="78" t="s">
        <v>2412</v>
      </c>
      <c r="K104" s="76"/>
      <c r="L104" s="76"/>
      <c r="M104" s="76"/>
      <c r="N104" s="76"/>
      <c r="O104" s="110">
        <v>40697</v>
      </c>
      <c r="P104" s="79"/>
    </row>
    <row r="105" spans="2:16" ht="15" customHeight="1">
      <c r="B105" s="12" t="s">
        <v>2413</v>
      </c>
      <c r="C105" s="70"/>
      <c r="D105" s="73"/>
      <c r="E105" s="12" t="s">
        <v>2174</v>
      </c>
      <c r="F105" s="70"/>
      <c r="G105" s="73"/>
      <c r="H105" s="100" t="s">
        <v>2772</v>
      </c>
      <c r="I105" s="106"/>
      <c r="J105" s="80" t="s">
        <v>2199</v>
      </c>
      <c r="K105" s="77"/>
      <c r="L105" s="77"/>
      <c r="M105" s="77"/>
      <c r="N105" s="77"/>
      <c r="O105" s="109">
        <v>40707</v>
      </c>
      <c r="P105" s="81"/>
    </row>
    <row r="106" spans="2:16" ht="15" customHeight="1">
      <c r="B106" s="12" t="s">
        <v>2414</v>
      </c>
      <c r="C106" s="70"/>
      <c r="D106" s="73"/>
      <c r="E106" s="12" t="s">
        <v>2415</v>
      </c>
      <c r="F106" s="70"/>
      <c r="G106" s="73"/>
      <c r="H106" s="101" t="s">
        <v>2754</v>
      </c>
      <c r="I106" s="107"/>
      <c r="J106" s="78" t="s">
        <v>2416</v>
      </c>
      <c r="K106" s="76"/>
      <c r="L106" s="76"/>
      <c r="M106" s="76"/>
      <c r="N106" s="76"/>
      <c r="O106" s="110">
        <v>40714</v>
      </c>
      <c r="P106" s="79"/>
    </row>
    <row r="107" spans="2:16" ht="15" customHeight="1">
      <c r="B107" s="12" t="s">
        <v>2417</v>
      </c>
      <c r="C107" s="70"/>
      <c r="D107" s="73"/>
      <c r="E107" s="12" t="s">
        <v>2418</v>
      </c>
      <c r="F107" s="70"/>
      <c r="G107" s="73"/>
      <c r="H107" s="100" t="s">
        <v>2754</v>
      </c>
      <c r="I107" s="106"/>
      <c r="J107" s="80" t="s">
        <v>2419</v>
      </c>
      <c r="K107" s="77"/>
      <c r="L107" s="77"/>
      <c r="M107" s="77"/>
      <c r="N107" s="77"/>
      <c r="O107" s="109">
        <v>40732</v>
      </c>
      <c r="P107" s="81"/>
    </row>
    <row r="108" spans="2:16" ht="15" customHeight="1">
      <c r="B108" s="12" t="s">
        <v>2420</v>
      </c>
      <c r="C108" s="70"/>
      <c r="D108" s="73"/>
      <c r="E108" s="12" t="s">
        <v>2421</v>
      </c>
      <c r="F108" s="70"/>
      <c r="G108" s="73"/>
      <c r="H108" s="101" t="s">
        <v>2754</v>
      </c>
      <c r="I108" s="107"/>
      <c r="J108" s="78" t="s">
        <v>2384</v>
      </c>
      <c r="K108" s="76"/>
      <c r="L108" s="76"/>
      <c r="M108" s="76"/>
      <c r="N108" s="76"/>
      <c r="O108" s="110">
        <v>40745</v>
      </c>
      <c r="P108" s="79"/>
    </row>
    <row r="109" spans="2:16" ht="15" customHeight="1">
      <c r="B109" s="12" t="s">
        <v>2422</v>
      </c>
      <c r="C109" s="70"/>
      <c r="D109" s="73"/>
      <c r="E109" s="12" t="s">
        <v>2423</v>
      </c>
      <c r="F109" s="70"/>
      <c r="G109" s="73"/>
      <c r="H109" s="100" t="s">
        <v>2754</v>
      </c>
      <c r="I109" s="106"/>
      <c r="J109" s="80" t="s">
        <v>2260</v>
      </c>
      <c r="K109" s="77"/>
      <c r="L109" s="77"/>
      <c r="M109" s="77"/>
      <c r="N109" s="77"/>
      <c r="O109" s="109">
        <v>40747</v>
      </c>
      <c r="P109" s="81"/>
    </row>
    <row r="110" spans="2:16" ht="15" customHeight="1">
      <c r="B110" s="12" t="s">
        <v>2424</v>
      </c>
      <c r="C110" s="70"/>
      <c r="D110" s="73"/>
      <c r="E110" s="12" t="s">
        <v>2425</v>
      </c>
      <c r="F110" s="70"/>
      <c r="G110" s="73"/>
      <c r="H110" s="101" t="s">
        <v>2754</v>
      </c>
      <c r="I110" s="107"/>
      <c r="J110" s="78" t="s">
        <v>2419</v>
      </c>
      <c r="K110" s="76"/>
      <c r="L110" s="76"/>
      <c r="M110" s="76"/>
      <c r="N110" s="76"/>
      <c r="O110" s="110">
        <v>40756</v>
      </c>
      <c r="P110" s="79"/>
    </row>
    <row r="111" spans="2:16" ht="15" customHeight="1">
      <c r="B111" s="12" t="s">
        <v>2426</v>
      </c>
      <c r="C111" s="70"/>
      <c r="D111" s="73"/>
      <c r="E111" s="12" t="s">
        <v>2427</v>
      </c>
      <c r="F111" s="70"/>
      <c r="G111" s="73"/>
      <c r="H111" s="100" t="s">
        <v>2754</v>
      </c>
      <c r="I111" s="106"/>
      <c r="J111" s="80" t="s">
        <v>2419</v>
      </c>
      <c r="K111" s="77"/>
      <c r="L111" s="77"/>
      <c r="M111" s="77"/>
      <c r="N111" s="77"/>
      <c r="O111" s="109">
        <v>40770</v>
      </c>
      <c r="P111" s="81"/>
    </row>
    <row r="112" spans="2:16" ht="15" customHeight="1">
      <c r="B112" s="12" t="s">
        <v>2428</v>
      </c>
      <c r="C112" s="70"/>
      <c r="D112" s="73"/>
      <c r="E112" s="12" t="s">
        <v>2429</v>
      </c>
      <c r="F112" s="70"/>
      <c r="G112" s="73"/>
      <c r="H112" s="101" t="s">
        <v>2773</v>
      </c>
      <c r="I112" s="107"/>
      <c r="J112" s="78" t="s">
        <v>2430</v>
      </c>
      <c r="K112" s="76"/>
      <c r="L112" s="76"/>
      <c r="M112" s="76"/>
      <c r="N112" s="76"/>
      <c r="O112" s="110">
        <v>40794</v>
      </c>
      <c r="P112" s="79"/>
    </row>
    <row r="113" spans="2:16" ht="15" customHeight="1">
      <c r="B113" s="12" t="s">
        <v>2431</v>
      </c>
      <c r="C113" s="70"/>
      <c r="D113" s="73"/>
      <c r="E113" s="12" t="s">
        <v>2425</v>
      </c>
      <c r="F113" s="70"/>
      <c r="G113" s="73"/>
      <c r="H113" s="100" t="s">
        <v>2774</v>
      </c>
      <c r="I113" s="106"/>
      <c r="J113" s="80" t="s">
        <v>2419</v>
      </c>
      <c r="K113" s="77"/>
      <c r="L113" s="77"/>
      <c r="M113" s="77"/>
      <c r="N113" s="77"/>
      <c r="O113" s="109">
        <v>40805</v>
      </c>
      <c r="P113" s="81"/>
    </row>
    <row r="114" spans="2:16" ht="15" customHeight="1">
      <c r="B114" s="12" t="s">
        <v>2432</v>
      </c>
      <c r="C114" s="70"/>
      <c r="D114" s="73"/>
      <c r="E114" s="12" t="s">
        <v>2795</v>
      </c>
      <c r="F114" s="70"/>
      <c r="G114" s="73"/>
      <c r="H114" s="101" t="s">
        <v>2754</v>
      </c>
      <c r="I114" s="107"/>
      <c r="J114" s="78" t="s">
        <v>2412</v>
      </c>
      <c r="K114" s="76"/>
      <c r="L114" s="76"/>
      <c r="M114" s="76"/>
      <c r="N114" s="76"/>
      <c r="O114" s="110">
        <v>40823</v>
      </c>
      <c r="P114" s="79"/>
    </row>
    <row r="115" spans="2:16" ht="15" customHeight="1">
      <c r="B115" s="12" t="s">
        <v>2433</v>
      </c>
      <c r="C115" s="70"/>
      <c r="D115" s="73"/>
      <c r="E115" s="12" t="s">
        <v>2434</v>
      </c>
      <c r="F115" s="70"/>
      <c r="G115" s="73"/>
      <c r="H115" s="100" t="s">
        <v>2754</v>
      </c>
      <c r="I115" s="106"/>
      <c r="J115" s="80" t="s">
        <v>2280</v>
      </c>
      <c r="K115" s="77"/>
      <c r="L115" s="77"/>
      <c r="M115" s="77"/>
      <c r="N115" s="77"/>
      <c r="O115" s="109">
        <v>40857</v>
      </c>
      <c r="P115" s="81"/>
    </row>
    <row r="116" spans="2:16" ht="15" customHeight="1">
      <c r="B116" s="12" t="s">
        <v>2435</v>
      </c>
      <c r="C116" s="70"/>
      <c r="D116" s="73"/>
      <c r="E116" s="12" t="s">
        <v>2436</v>
      </c>
      <c r="F116" s="70"/>
      <c r="G116" s="73"/>
      <c r="H116" s="101" t="s">
        <v>2754</v>
      </c>
      <c r="I116" s="107"/>
      <c r="J116" s="78" t="s">
        <v>2384</v>
      </c>
      <c r="K116" s="76"/>
      <c r="L116" s="76"/>
      <c r="M116" s="76"/>
      <c r="N116" s="76"/>
      <c r="O116" s="110">
        <v>40857</v>
      </c>
      <c r="P116" s="79"/>
    </row>
    <row r="117" spans="2:16" ht="15" customHeight="1">
      <c r="B117" s="12" t="s">
        <v>2437</v>
      </c>
      <c r="C117" s="70"/>
      <c r="D117" s="73"/>
      <c r="E117" s="12" t="s">
        <v>2438</v>
      </c>
      <c r="F117" s="70"/>
      <c r="G117" s="73"/>
      <c r="H117" s="100" t="s">
        <v>2754</v>
      </c>
      <c r="I117" s="106"/>
      <c r="J117" s="80" t="s">
        <v>2185</v>
      </c>
      <c r="K117" s="77"/>
      <c r="L117" s="77"/>
      <c r="M117" s="77"/>
      <c r="N117" s="77"/>
      <c r="O117" s="109">
        <v>40886</v>
      </c>
      <c r="P117" s="81"/>
    </row>
    <row r="118" spans="2:16" ht="15" customHeight="1">
      <c r="B118" s="12" t="s">
        <v>2439</v>
      </c>
      <c r="C118" s="70"/>
      <c r="D118" s="73"/>
      <c r="E118" s="12" t="s">
        <v>2440</v>
      </c>
      <c r="F118" s="70"/>
      <c r="G118" s="73"/>
      <c r="H118" s="101" t="s">
        <v>2754</v>
      </c>
      <c r="I118" s="107"/>
      <c r="J118" s="78" t="s">
        <v>2243</v>
      </c>
      <c r="K118" s="76"/>
      <c r="L118" s="76"/>
      <c r="M118" s="76"/>
      <c r="N118" s="76"/>
      <c r="O118" s="110">
        <v>40886</v>
      </c>
      <c r="P118" s="79"/>
    </row>
    <row r="119" spans="2:16" ht="15" customHeight="1">
      <c r="B119" s="12" t="s">
        <v>2441</v>
      </c>
      <c r="C119" s="70"/>
      <c r="D119" s="73"/>
      <c r="E119" s="12" t="s">
        <v>2442</v>
      </c>
      <c r="F119" s="70"/>
      <c r="G119" s="73"/>
      <c r="H119" s="100" t="s">
        <v>2754</v>
      </c>
      <c r="I119" s="106"/>
      <c r="J119" s="80" t="s">
        <v>2384</v>
      </c>
      <c r="K119" s="77"/>
      <c r="L119" s="77"/>
      <c r="M119" s="77"/>
      <c r="N119" s="77"/>
      <c r="O119" s="109">
        <v>40984</v>
      </c>
      <c r="P119" s="81"/>
    </row>
    <row r="120" spans="2:16" ht="15" customHeight="1">
      <c r="B120" s="12" t="s">
        <v>2443</v>
      </c>
      <c r="C120" s="70"/>
      <c r="D120" s="73"/>
      <c r="E120" s="12" t="s">
        <v>2444</v>
      </c>
      <c r="F120" s="70"/>
      <c r="G120" s="73"/>
      <c r="H120" s="101" t="s">
        <v>2754</v>
      </c>
      <c r="I120" s="107"/>
      <c r="J120" s="78" t="s">
        <v>2445</v>
      </c>
      <c r="K120" s="76"/>
      <c r="L120" s="76"/>
      <c r="M120" s="76"/>
      <c r="N120" s="76"/>
      <c r="O120" s="110">
        <v>41001</v>
      </c>
      <c r="P120" s="79"/>
    </row>
    <row r="121" spans="2:16" ht="15" customHeight="1">
      <c r="B121" s="12" t="s">
        <v>2446</v>
      </c>
      <c r="C121" s="70"/>
      <c r="D121" s="73"/>
      <c r="E121" s="12" t="s">
        <v>2447</v>
      </c>
      <c r="F121" s="70"/>
      <c r="G121" s="73"/>
      <c r="H121" s="100" t="s">
        <v>2760</v>
      </c>
      <c r="I121" s="106"/>
      <c r="J121" s="80" t="s">
        <v>2384</v>
      </c>
      <c r="K121" s="77"/>
      <c r="L121" s="77"/>
      <c r="M121" s="77"/>
      <c r="N121" s="77"/>
      <c r="O121" s="109">
        <v>41064</v>
      </c>
      <c r="P121" s="81"/>
    </row>
    <row r="122" spans="2:16" ht="15" customHeight="1">
      <c r="B122" s="12" t="s">
        <v>2448</v>
      </c>
      <c r="C122" s="70"/>
      <c r="D122" s="73"/>
      <c r="E122" s="12" t="s">
        <v>2449</v>
      </c>
      <c r="F122" s="70"/>
      <c r="G122" s="73"/>
      <c r="H122" s="101" t="s">
        <v>2754</v>
      </c>
      <c r="I122" s="107"/>
      <c r="J122" s="78" t="s">
        <v>2275</v>
      </c>
      <c r="K122" s="76"/>
      <c r="L122" s="76"/>
      <c r="M122" s="76"/>
      <c r="N122" s="76"/>
      <c r="O122" s="110">
        <v>41065</v>
      </c>
      <c r="P122" s="79"/>
    </row>
    <row r="123" spans="2:16" ht="15" customHeight="1">
      <c r="B123" s="12" t="s">
        <v>2450</v>
      </c>
      <c r="C123" s="70"/>
      <c r="D123" s="73"/>
      <c r="E123" s="12" t="s">
        <v>2451</v>
      </c>
      <c r="F123" s="70"/>
      <c r="G123" s="73"/>
      <c r="H123" s="100" t="s">
        <v>2765</v>
      </c>
      <c r="I123" s="106"/>
      <c r="J123" s="80" t="s">
        <v>2318</v>
      </c>
      <c r="K123" s="77"/>
      <c r="L123" s="77"/>
      <c r="M123" s="77"/>
      <c r="N123" s="77"/>
      <c r="O123" s="109">
        <v>41110</v>
      </c>
      <c r="P123" s="81"/>
    </row>
    <row r="124" spans="2:16" ht="15" customHeight="1">
      <c r="B124" s="12" t="s">
        <v>2452</v>
      </c>
      <c r="C124" s="70"/>
      <c r="D124" s="73"/>
      <c r="E124" s="12" t="s">
        <v>2796</v>
      </c>
      <c r="F124" s="70"/>
      <c r="G124" s="73"/>
      <c r="H124" s="101" t="s">
        <v>2754</v>
      </c>
      <c r="I124" s="107"/>
      <c r="J124" s="78" t="s">
        <v>2453</v>
      </c>
      <c r="K124" s="76"/>
      <c r="L124" s="76"/>
      <c r="M124" s="76"/>
      <c r="N124" s="76"/>
      <c r="O124" s="110">
        <v>41304</v>
      </c>
      <c r="P124" s="79"/>
    </row>
    <row r="125" spans="2:16" ht="15" customHeight="1">
      <c r="B125" s="12" t="s">
        <v>2454</v>
      </c>
      <c r="C125" s="70"/>
      <c r="D125" s="73"/>
      <c r="E125" s="12" t="s">
        <v>2455</v>
      </c>
      <c r="F125" s="70"/>
      <c r="G125" s="73"/>
      <c r="H125" s="100" t="s">
        <v>2775</v>
      </c>
      <c r="I125" s="106"/>
      <c r="J125" s="80" t="s">
        <v>2380</v>
      </c>
      <c r="K125" s="77"/>
      <c r="L125" s="77"/>
      <c r="M125" s="77"/>
      <c r="N125" s="77"/>
      <c r="O125" s="109">
        <v>41121</v>
      </c>
      <c r="P125" s="81"/>
    </row>
    <row r="126" spans="2:16" ht="15" customHeight="1">
      <c r="B126" s="12" t="s">
        <v>2456</v>
      </c>
      <c r="C126" s="70"/>
      <c r="D126" s="73"/>
      <c r="E126" s="12" t="s">
        <v>2329</v>
      </c>
      <c r="F126" s="70"/>
      <c r="G126" s="73"/>
      <c r="H126" s="101" t="s">
        <v>2754</v>
      </c>
      <c r="I126" s="107"/>
      <c r="J126" s="78" t="s">
        <v>2457</v>
      </c>
      <c r="K126" s="76"/>
      <c r="L126" s="76"/>
      <c r="M126" s="76"/>
      <c r="N126" s="76"/>
      <c r="O126" s="110">
        <v>41159</v>
      </c>
      <c r="P126" s="79"/>
    </row>
    <row r="127" spans="2:16" ht="15" customHeight="1">
      <c r="B127" s="12" t="s">
        <v>2458</v>
      </c>
      <c r="C127" s="70"/>
      <c r="D127" s="73"/>
      <c r="E127" s="12" t="s">
        <v>2459</v>
      </c>
      <c r="F127" s="70"/>
      <c r="G127" s="73"/>
      <c r="H127" s="100" t="s">
        <v>2754</v>
      </c>
      <c r="I127" s="106"/>
      <c r="J127" s="80" t="s">
        <v>2460</v>
      </c>
      <c r="K127" s="77"/>
      <c r="L127" s="77"/>
      <c r="M127" s="77"/>
      <c r="N127" s="77"/>
      <c r="O127" s="109">
        <v>41169</v>
      </c>
      <c r="P127" s="81"/>
    </row>
    <row r="128" spans="2:16" ht="15" customHeight="1">
      <c r="B128" s="12" t="s">
        <v>2461</v>
      </c>
      <c r="C128" s="70"/>
      <c r="D128" s="73"/>
      <c r="E128" s="12" t="s">
        <v>2462</v>
      </c>
      <c r="F128" s="70"/>
      <c r="G128" s="73"/>
      <c r="H128" s="101" t="s">
        <v>2761</v>
      </c>
      <c r="I128" s="107"/>
      <c r="J128" s="78" t="s">
        <v>2260</v>
      </c>
      <c r="K128" s="76"/>
      <c r="L128" s="76"/>
      <c r="M128" s="76"/>
      <c r="N128" s="76"/>
      <c r="O128" s="110">
        <v>41183</v>
      </c>
      <c r="P128" s="79"/>
    </row>
    <row r="129" spans="2:16" ht="15" customHeight="1">
      <c r="B129" s="12" t="s">
        <v>2463</v>
      </c>
      <c r="C129" s="70"/>
      <c r="D129" s="73"/>
      <c r="E129" s="12" t="s">
        <v>2427</v>
      </c>
      <c r="F129" s="70"/>
      <c r="G129" s="73"/>
      <c r="H129" s="100" t="s">
        <v>2754</v>
      </c>
      <c r="I129" s="106"/>
      <c r="J129" s="80" t="s">
        <v>2419</v>
      </c>
      <c r="K129" s="77"/>
      <c r="L129" s="77"/>
      <c r="M129" s="77"/>
      <c r="N129" s="77"/>
      <c r="O129" s="109">
        <v>41213</v>
      </c>
      <c r="P129" s="81"/>
    </row>
    <row r="130" spans="2:16" ht="15" customHeight="1">
      <c r="B130" s="12" t="s">
        <v>2464</v>
      </c>
      <c r="C130" s="70"/>
      <c r="D130" s="73"/>
      <c r="E130" s="12" t="s">
        <v>2465</v>
      </c>
      <c r="F130" s="70"/>
      <c r="G130" s="73"/>
      <c r="H130" s="101" t="s">
        <v>2776</v>
      </c>
      <c r="I130" s="107"/>
      <c r="J130" s="78" t="s">
        <v>2466</v>
      </c>
      <c r="K130" s="76"/>
      <c r="L130" s="76"/>
      <c r="M130" s="76"/>
      <c r="N130" s="76"/>
      <c r="O130" s="110">
        <v>41243</v>
      </c>
      <c r="P130" s="79"/>
    </row>
    <row r="131" spans="2:16" ht="15" customHeight="1">
      <c r="B131" s="12" t="s">
        <v>2467</v>
      </c>
      <c r="C131" s="70"/>
      <c r="D131" s="73"/>
      <c r="E131" s="12" t="s">
        <v>2468</v>
      </c>
      <c r="F131" s="70"/>
      <c r="G131" s="73"/>
      <c r="H131" s="100" t="s">
        <v>2777</v>
      </c>
      <c r="I131" s="106"/>
      <c r="J131" s="80" t="s">
        <v>2376</v>
      </c>
      <c r="K131" s="77"/>
      <c r="L131" s="77"/>
      <c r="M131" s="77"/>
      <c r="N131" s="77"/>
      <c r="O131" s="109">
        <v>41311</v>
      </c>
      <c r="P131" s="81"/>
    </row>
    <row r="132" spans="2:16" ht="15" customHeight="1">
      <c r="B132" s="12" t="s">
        <v>2469</v>
      </c>
      <c r="C132" s="70"/>
      <c r="D132" s="73"/>
      <c r="E132" s="12" t="s">
        <v>2470</v>
      </c>
      <c r="F132" s="70"/>
      <c r="G132" s="73"/>
      <c r="H132" s="101" t="s">
        <v>2778</v>
      </c>
      <c r="I132" s="107"/>
      <c r="J132" s="78" t="s">
        <v>2471</v>
      </c>
      <c r="K132" s="76"/>
      <c r="L132" s="76"/>
      <c r="M132" s="76"/>
      <c r="N132" s="76"/>
      <c r="O132" s="110">
        <v>41345</v>
      </c>
      <c r="P132" s="79"/>
    </row>
    <row r="133" spans="2:16" ht="15" customHeight="1">
      <c r="B133" s="12" t="s">
        <v>2472</v>
      </c>
      <c r="C133" s="70"/>
      <c r="D133" s="73"/>
      <c r="E133" s="12" t="s">
        <v>2473</v>
      </c>
      <c r="F133" s="70"/>
      <c r="G133" s="73"/>
      <c r="H133" s="100" t="s">
        <v>2754</v>
      </c>
      <c r="I133" s="106"/>
      <c r="J133" s="80" t="s">
        <v>234</v>
      </c>
      <c r="K133" s="77"/>
      <c r="L133" s="77"/>
      <c r="M133" s="77"/>
      <c r="N133" s="77"/>
      <c r="O133" s="109">
        <v>41410</v>
      </c>
      <c r="P133" s="81"/>
    </row>
    <row r="134" spans="2:16" ht="15" customHeight="1">
      <c r="B134" s="12" t="s">
        <v>2474</v>
      </c>
      <c r="C134" s="70"/>
      <c r="D134" s="73"/>
      <c r="E134" s="12" t="s">
        <v>2475</v>
      </c>
      <c r="F134" s="70"/>
      <c r="G134" s="73"/>
      <c r="H134" s="101" t="s">
        <v>2754</v>
      </c>
      <c r="I134" s="107"/>
      <c r="J134" s="78" t="s">
        <v>2476</v>
      </c>
      <c r="K134" s="76"/>
      <c r="L134" s="76"/>
      <c r="M134" s="76"/>
      <c r="N134" s="76"/>
      <c r="O134" s="110">
        <v>41387</v>
      </c>
      <c r="P134" s="79"/>
    </row>
    <row r="135" spans="2:16" ht="15" customHeight="1">
      <c r="B135" s="12" t="s">
        <v>2477</v>
      </c>
      <c r="C135" s="70"/>
      <c r="D135" s="73"/>
      <c r="E135" s="12" t="s">
        <v>2478</v>
      </c>
      <c r="F135" s="70"/>
      <c r="G135" s="73"/>
      <c r="H135" s="100" t="s">
        <v>2764</v>
      </c>
      <c r="I135" s="106"/>
      <c r="J135" s="80" t="s">
        <v>2479</v>
      </c>
      <c r="K135" s="77"/>
      <c r="L135" s="77"/>
      <c r="M135" s="77"/>
      <c r="N135" s="77"/>
      <c r="O135" s="109">
        <v>41387</v>
      </c>
      <c r="P135" s="81"/>
    </row>
    <row r="136" spans="2:16" ht="15" customHeight="1">
      <c r="B136" s="12" t="s">
        <v>2480</v>
      </c>
      <c r="C136" s="70"/>
      <c r="D136" s="73"/>
      <c r="E136" s="12" t="s">
        <v>2481</v>
      </c>
      <c r="F136" s="70"/>
      <c r="G136" s="73"/>
      <c r="H136" s="101" t="s">
        <v>2754</v>
      </c>
      <c r="I136" s="107"/>
      <c r="J136" s="78" t="s">
        <v>42</v>
      </c>
      <c r="K136" s="76"/>
      <c r="L136" s="76"/>
      <c r="M136" s="76"/>
      <c r="N136" s="76"/>
      <c r="O136" s="110">
        <v>41416</v>
      </c>
      <c r="P136" s="79"/>
    </row>
    <row r="137" spans="2:16" ht="15" customHeight="1">
      <c r="B137" s="12" t="s">
        <v>2482</v>
      </c>
      <c r="C137" s="70"/>
      <c r="D137" s="73"/>
      <c r="E137" s="12" t="s">
        <v>2268</v>
      </c>
      <c r="F137" s="70"/>
      <c r="G137" s="73"/>
      <c r="H137" s="100" t="s">
        <v>2754</v>
      </c>
      <c r="I137" s="106"/>
      <c r="J137" s="80" t="s">
        <v>2483</v>
      </c>
      <c r="K137" s="77"/>
      <c r="L137" s="77"/>
      <c r="M137" s="77"/>
      <c r="N137" s="77"/>
      <c r="O137" s="109">
        <v>41533</v>
      </c>
      <c r="P137" s="81"/>
    </row>
    <row r="138" spans="2:16" ht="15" customHeight="1">
      <c r="B138" s="12" t="s">
        <v>2484</v>
      </c>
      <c r="C138" s="70"/>
      <c r="D138" s="73"/>
      <c r="E138" s="12" t="s">
        <v>2797</v>
      </c>
      <c r="F138" s="70"/>
      <c r="G138" s="73"/>
      <c r="H138" s="101" t="s">
        <v>2779</v>
      </c>
      <c r="I138" s="107"/>
      <c r="J138" s="78" t="s">
        <v>2485</v>
      </c>
      <c r="K138" s="76"/>
      <c r="L138" s="76"/>
      <c r="M138" s="76"/>
      <c r="N138" s="76"/>
      <c r="O138" s="110">
        <v>41549</v>
      </c>
      <c r="P138" s="79"/>
    </row>
    <row r="139" spans="2:16" ht="15" customHeight="1">
      <c r="B139" s="12" t="s">
        <v>2486</v>
      </c>
      <c r="C139" s="70"/>
      <c r="D139" s="73"/>
      <c r="E139" s="12" t="s">
        <v>2487</v>
      </c>
      <c r="F139" s="70"/>
      <c r="G139" s="73"/>
      <c r="H139" s="100" t="s">
        <v>2758</v>
      </c>
      <c r="I139" s="106"/>
      <c r="J139" s="80" t="s">
        <v>2260</v>
      </c>
      <c r="K139" s="77"/>
      <c r="L139" s="77"/>
      <c r="M139" s="77"/>
      <c r="N139" s="77"/>
      <c r="O139" s="109">
        <v>41569</v>
      </c>
      <c r="P139" s="81"/>
    </row>
    <row r="140" spans="2:16" ht="15" customHeight="1">
      <c r="B140" s="12" t="s">
        <v>2488</v>
      </c>
      <c r="C140" s="70"/>
      <c r="D140" s="73"/>
      <c r="E140" s="12" t="s">
        <v>2489</v>
      </c>
      <c r="F140" s="70"/>
      <c r="G140" s="73"/>
      <c r="H140" s="101" t="s">
        <v>2754</v>
      </c>
      <c r="I140" s="107"/>
      <c r="J140" s="78" t="s">
        <v>42</v>
      </c>
      <c r="K140" s="76"/>
      <c r="L140" s="76"/>
      <c r="M140" s="76"/>
      <c r="N140" s="76"/>
      <c r="O140" s="110">
        <v>41611</v>
      </c>
      <c r="P140" s="79"/>
    </row>
    <row r="141" spans="2:16" ht="15" customHeight="1">
      <c r="B141" s="12" t="s">
        <v>2490</v>
      </c>
      <c r="C141" s="70"/>
      <c r="D141" s="73"/>
      <c r="E141" s="12" t="s">
        <v>2491</v>
      </c>
      <c r="F141" s="70"/>
      <c r="G141" s="73"/>
      <c r="H141" s="100" t="s">
        <v>2754</v>
      </c>
      <c r="I141" s="106"/>
      <c r="J141" s="80" t="s">
        <v>42</v>
      </c>
      <c r="K141" s="77"/>
      <c r="L141" s="77"/>
      <c r="M141" s="77"/>
      <c r="N141" s="77"/>
      <c r="O141" s="109">
        <v>41611</v>
      </c>
      <c r="P141" s="81"/>
    </row>
    <row r="142" spans="2:16" ht="15" customHeight="1">
      <c r="B142" s="12" t="s">
        <v>2492</v>
      </c>
      <c r="C142" s="70"/>
      <c r="D142" s="73"/>
      <c r="E142" s="12" t="s">
        <v>2493</v>
      </c>
      <c r="F142" s="70"/>
      <c r="G142" s="73"/>
      <c r="H142" s="101" t="s">
        <v>2754</v>
      </c>
      <c r="I142" s="107"/>
      <c r="J142" s="78" t="s">
        <v>42</v>
      </c>
      <c r="K142" s="76"/>
      <c r="L142" s="76"/>
      <c r="M142" s="76"/>
      <c r="N142" s="76"/>
      <c r="O142" s="110">
        <v>41611</v>
      </c>
      <c r="P142" s="79"/>
    </row>
    <row r="143" spans="2:16" ht="15" customHeight="1">
      <c r="B143" s="12" t="s">
        <v>2494</v>
      </c>
      <c r="C143" s="70"/>
      <c r="D143" s="73"/>
      <c r="E143" s="12" t="s">
        <v>2495</v>
      </c>
      <c r="F143" s="70"/>
      <c r="G143" s="73"/>
      <c r="H143" s="100" t="s">
        <v>2754</v>
      </c>
      <c r="I143" s="106"/>
      <c r="J143" s="80" t="s">
        <v>42</v>
      </c>
      <c r="K143" s="77"/>
      <c r="L143" s="77"/>
      <c r="M143" s="77"/>
      <c r="N143" s="77"/>
      <c r="O143" s="109">
        <v>41611</v>
      </c>
      <c r="P143" s="81"/>
    </row>
    <row r="144" spans="2:16" ht="15" customHeight="1">
      <c r="B144" s="12" t="s">
        <v>2496</v>
      </c>
      <c r="C144" s="70"/>
      <c r="D144" s="73"/>
      <c r="E144" s="12" t="s">
        <v>2497</v>
      </c>
      <c r="F144" s="70"/>
      <c r="G144" s="73"/>
      <c r="H144" s="101" t="s">
        <v>2754</v>
      </c>
      <c r="I144" s="107"/>
      <c r="J144" s="78" t="s">
        <v>42</v>
      </c>
      <c r="K144" s="76"/>
      <c r="L144" s="76"/>
      <c r="M144" s="76"/>
      <c r="N144" s="76"/>
      <c r="O144" s="110">
        <v>41611</v>
      </c>
      <c r="P144" s="79"/>
    </row>
    <row r="145" spans="2:16" ht="15" customHeight="1">
      <c r="B145" s="12" t="s">
        <v>2498</v>
      </c>
      <c r="C145" s="70"/>
      <c r="D145" s="73"/>
      <c r="E145" s="12" t="s">
        <v>2499</v>
      </c>
      <c r="F145" s="70"/>
      <c r="G145" s="73"/>
      <c r="H145" s="100" t="s">
        <v>2754</v>
      </c>
      <c r="I145" s="106"/>
      <c r="J145" s="80" t="s">
        <v>42</v>
      </c>
      <c r="K145" s="77"/>
      <c r="L145" s="77"/>
      <c r="M145" s="77"/>
      <c r="N145" s="77"/>
      <c r="O145" s="109">
        <v>41611</v>
      </c>
      <c r="P145" s="81"/>
    </row>
    <row r="146" spans="2:16" ht="15" customHeight="1">
      <c r="B146" s="12" t="s">
        <v>2500</v>
      </c>
      <c r="C146" s="70"/>
      <c r="D146" s="73"/>
      <c r="E146" s="12" t="s">
        <v>2501</v>
      </c>
      <c r="F146" s="70"/>
      <c r="G146" s="73"/>
      <c r="H146" s="101" t="s">
        <v>2754</v>
      </c>
      <c r="I146" s="107"/>
      <c r="J146" s="78" t="s">
        <v>42</v>
      </c>
      <c r="K146" s="76"/>
      <c r="L146" s="76"/>
      <c r="M146" s="76"/>
      <c r="N146" s="76"/>
      <c r="O146" s="110">
        <v>41611</v>
      </c>
      <c r="P146" s="79"/>
    </row>
    <row r="147" spans="2:16" ht="15" customHeight="1">
      <c r="B147" s="12" t="s">
        <v>2502</v>
      </c>
      <c r="C147" s="70"/>
      <c r="D147" s="73"/>
      <c r="E147" s="12" t="s">
        <v>2503</v>
      </c>
      <c r="F147" s="70"/>
      <c r="G147" s="73"/>
      <c r="H147" s="100" t="s">
        <v>2754</v>
      </c>
      <c r="I147" s="106"/>
      <c r="J147" s="80" t="s">
        <v>42</v>
      </c>
      <c r="K147" s="77"/>
      <c r="L147" s="77"/>
      <c r="M147" s="77"/>
      <c r="N147" s="77"/>
      <c r="O147" s="109">
        <v>41621</v>
      </c>
      <c r="P147" s="81"/>
    </row>
    <row r="148" spans="2:16" ht="15" customHeight="1">
      <c r="B148" s="12" t="s">
        <v>2504</v>
      </c>
      <c r="C148" s="70"/>
      <c r="D148" s="73"/>
      <c r="E148" s="12" t="s">
        <v>2505</v>
      </c>
      <c r="F148" s="70"/>
      <c r="G148" s="73"/>
      <c r="H148" s="101" t="s">
        <v>2754</v>
      </c>
      <c r="I148" s="107"/>
      <c r="J148" s="78" t="s">
        <v>2260</v>
      </c>
      <c r="K148" s="76"/>
      <c r="L148" s="76"/>
      <c r="M148" s="76"/>
      <c r="N148" s="76"/>
      <c r="O148" s="110">
        <v>41645</v>
      </c>
      <c r="P148" s="79"/>
    </row>
    <row r="149" spans="2:16" ht="15" customHeight="1">
      <c r="B149" s="12" t="s">
        <v>2506</v>
      </c>
      <c r="C149" s="70"/>
      <c r="D149" s="73"/>
      <c r="E149" s="12" t="s">
        <v>2507</v>
      </c>
      <c r="F149" s="70"/>
      <c r="G149" s="73"/>
      <c r="H149" s="100" t="s">
        <v>2754</v>
      </c>
      <c r="I149" s="106"/>
      <c r="J149" s="80" t="s">
        <v>2399</v>
      </c>
      <c r="K149" s="77"/>
      <c r="L149" s="77"/>
      <c r="M149" s="77"/>
      <c r="N149" s="77"/>
      <c r="O149" s="109">
        <v>41654</v>
      </c>
      <c r="P149" s="81"/>
    </row>
    <row r="150" spans="2:16" ht="15" customHeight="1">
      <c r="B150" s="12" t="s">
        <v>2508</v>
      </c>
      <c r="C150" s="70"/>
      <c r="D150" s="73"/>
      <c r="E150" s="12" t="s">
        <v>2509</v>
      </c>
      <c r="F150" s="70"/>
      <c r="G150" s="73"/>
      <c r="H150" s="101" t="s">
        <v>2762</v>
      </c>
      <c r="I150" s="107"/>
      <c r="J150" s="78" t="s">
        <v>2510</v>
      </c>
      <c r="K150" s="76"/>
      <c r="L150" s="76"/>
      <c r="M150" s="76"/>
      <c r="N150" s="76"/>
      <c r="O150" s="110">
        <v>41665</v>
      </c>
      <c r="P150" s="79"/>
    </row>
    <row r="151" spans="2:16" ht="15" customHeight="1">
      <c r="B151" s="12" t="s">
        <v>2511</v>
      </c>
      <c r="C151" s="70"/>
      <c r="D151" s="73"/>
      <c r="E151" s="12" t="s">
        <v>2512</v>
      </c>
      <c r="F151" s="70"/>
      <c r="G151" s="73"/>
      <c r="H151" s="100" t="s">
        <v>2754</v>
      </c>
      <c r="I151" s="106"/>
      <c r="J151" s="80" t="s">
        <v>2399</v>
      </c>
      <c r="K151" s="77"/>
      <c r="L151" s="77"/>
      <c r="M151" s="77"/>
      <c r="N151" s="77"/>
      <c r="O151" s="109">
        <v>41686</v>
      </c>
      <c r="P151" s="81"/>
    </row>
    <row r="152" spans="2:16" ht="15" customHeight="1">
      <c r="B152" s="12" t="s">
        <v>2513</v>
      </c>
      <c r="C152" s="70"/>
      <c r="D152" s="73"/>
      <c r="E152" s="12" t="s">
        <v>2514</v>
      </c>
      <c r="F152" s="70"/>
      <c r="G152" s="73"/>
      <c r="H152" s="101" t="s">
        <v>2754</v>
      </c>
      <c r="I152" s="107"/>
      <c r="J152" s="78" t="s">
        <v>2515</v>
      </c>
      <c r="K152" s="76"/>
      <c r="L152" s="76"/>
      <c r="M152" s="76"/>
      <c r="N152" s="76"/>
      <c r="O152" s="110">
        <v>41691</v>
      </c>
      <c r="P152" s="79"/>
    </row>
    <row r="153" spans="2:16" ht="15" customHeight="1">
      <c r="B153" s="12" t="s">
        <v>2516</v>
      </c>
      <c r="C153" s="70"/>
      <c r="D153" s="73"/>
      <c r="E153" s="12" t="s">
        <v>2349</v>
      </c>
      <c r="F153" s="70"/>
      <c r="G153" s="73"/>
      <c r="H153" s="100" t="s">
        <v>2754</v>
      </c>
      <c r="I153" s="106"/>
      <c r="J153" s="80" t="s">
        <v>2260</v>
      </c>
      <c r="K153" s="77"/>
      <c r="L153" s="77"/>
      <c r="M153" s="77"/>
      <c r="N153" s="77"/>
      <c r="O153" s="109">
        <v>41710</v>
      </c>
      <c r="P153" s="81"/>
    </row>
    <row r="154" spans="2:16" ht="15" customHeight="1">
      <c r="B154" s="12" t="s">
        <v>2517</v>
      </c>
      <c r="C154" s="70"/>
      <c r="D154" s="73"/>
      <c r="E154" s="12" t="s">
        <v>2518</v>
      </c>
      <c r="F154" s="70"/>
      <c r="G154" s="73"/>
      <c r="H154" s="101" t="s">
        <v>2754</v>
      </c>
      <c r="I154" s="107"/>
      <c r="J154" s="78" t="s">
        <v>2519</v>
      </c>
      <c r="K154" s="76"/>
      <c r="L154" s="76"/>
      <c r="M154" s="76"/>
      <c r="N154" s="76"/>
      <c r="O154" s="110">
        <v>41743</v>
      </c>
      <c r="P154" s="79"/>
    </row>
    <row r="155" spans="2:16" ht="15" customHeight="1">
      <c r="B155" s="12" t="s">
        <v>2520</v>
      </c>
      <c r="C155" s="70"/>
      <c r="D155" s="73"/>
      <c r="E155" s="12" t="s">
        <v>2521</v>
      </c>
      <c r="F155" s="70"/>
      <c r="G155" s="73"/>
      <c r="H155" s="100" t="s">
        <v>2754</v>
      </c>
      <c r="I155" s="106"/>
      <c r="J155" s="80" t="s">
        <v>2376</v>
      </c>
      <c r="K155" s="77"/>
      <c r="L155" s="77"/>
      <c r="M155" s="77"/>
      <c r="N155" s="77"/>
      <c r="O155" s="109">
        <v>41761</v>
      </c>
      <c r="P155" s="81"/>
    </row>
    <row r="156" spans="2:16" ht="15" customHeight="1">
      <c r="B156" s="12" t="s">
        <v>2522</v>
      </c>
      <c r="C156" s="70"/>
      <c r="D156" s="73"/>
      <c r="E156" s="12" t="s">
        <v>2523</v>
      </c>
      <c r="F156" s="70"/>
      <c r="G156" s="73"/>
      <c r="H156" s="101" t="s">
        <v>2754</v>
      </c>
      <c r="I156" s="107"/>
      <c r="J156" s="78" t="s">
        <v>2524</v>
      </c>
      <c r="K156" s="76"/>
      <c r="L156" s="76"/>
      <c r="M156" s="76"/>
      <c r="N156" s="76"/>
      <c r="O156" s="110">
        <v>41766</v>
      </c>
      <c r="P156" s="79"/>
    </row>
    <row r="157" spans="2:16" ht="15" customHeight="1">
      <c r="B157" s="12" t="s">
        <v>2525</v>
      </c>
      <c r="C157" s="70"/>
      <c r="D157" s="73"/>
      <c r="E157" s="12" t="s">
        <v>2526</v>
      </c>
      <c r="F157" s="70"/>
      <c r="G157" s="73"/>
      <c r="H157" s="100" t="s">
        <v>2754</v>
      </c>
      <c r="I157" s="106"/>
      <c r="J157" s="80" t="s">
        <v>2527</v>
      </c>
      <c r="K157" s="77"/>
      <c r="L157" s="77"/>
      <c r="M157" s="77"/>
      <c r="N157" s="77"/>
      <c r="O157" s="109">
        <v>41775</v>
      </c>
      <c r="P157" s="81"/>
    </row>
    <row r="158" spans="2:16" ht="15" customHeight="1">
      <c r="B158" s="12" t="s">
        <v>2528</v>
      </c>
      <c r="C158" s="70"/>
      <c r="D158" s="73"/>
      <c r="E158" s="12" t="s">
        <v>2473</v>
      </c>
      <c r="F158" s="70"/>
      <c r="G158" s="73"/>
      <c r="H158" s="101" t="s">
        <v>2754</v>
      </c>
      <c r="I158" s="107"/>
      <c r="J158" s="78" t="s">
        <v>2180</v>
      </c>
      <c r="K158" s="76"/>
      <c r="L158" s="76"/>
      <c r="M158" s="76"/>
      <c r="N158" s="76"/>
      <c r="O158" s="110">
        <v>41778</v>
      </c>
      <c r="P158" s="79"/>
    </row>
    <row r="159" spans="2:16" ht="15" customHeight="1">
      <c r="B159" s="12" t="s">
        <v>2529</v>
      </c>
      <c r="C159" s="70"/>
      <c r="D159" s="73"/>
      <c r="E159" s="12" t="s">
        <v>2798</v>
      </c>
      <c r="F159" s="70"/>
      <c r="G159" s="73"/>
      <c r="H159" s="100" t="s">
        <v>2754</v>
      </c>
      <c r="I159" s="106"/>
      <c r="J159" s="80" t="s">
        <v>2170</v>
      </c>
      <c r="K159" s="77"/>
      <c r="L159" s="77"/>
      <c r="M159" s="77"/>
      <c r="N159" s="77"/>
      <c r="O159" s="109">
        <v>41793</v>
      </c>
      <c r="P159" s="81"/>
    </row>
    <row r="160" spans="2:16" ht="15" customHeight="1">
      <c r="B160" s="12" t="s">
        <v>2530</v>
      </c>
      <c r="C160" s="70"/>
      <c r="D160" s="73"/>
      <c r="E160" s="12" t="s">
        <v>2531</v>
      </c>
      <c r="F160" s="70"/>
      <c r="G160" s="73"/>
      <c r="H160" s="101" t="s">
        <v>2754</v>
      </c>
      <c r="I160" s="107"/>
      <c r="J160" s="78" t="s">
        <v>2532</v>
      </c>
      <c r="K160" s="76"/>
      <c r="L160" s="76"/>
      <c r="M160" s="76"/>
      <c r="N160" s="76"/>
      <c r="O160" s="110">
        <v>41800</v>
      </c>
      <c r="P160" s="79"/>
    </row>
    <row r="161" spans="2:16" ht="15" customHeight="1">
      <c r="B161" s="12" t="s">
        <v>2533</v>
      </c>
      <c r="C161" s="70"/>
      <c r="D161" s="73"/>
      <c r="E161" s="12" t="s">
        <v>2534</v>
      </c>
      <c r="F161" s="70"/>
      <c r="G161" s="73"/>
      <c r="H161" s="100" t="s">
        <v>2754</v>
      </c>
      <c r="I161" s="106"/>
      <c r="J161" s="80" t="s">
        <v>2535</v>
      </c>
      <c r="K161" s="77"/>
      <c r="L161" s="77"/>
      <c r="M161" s="77"/>
      <c r="N161" s="77"/>
      <c r="O161" s="109">
        <v>41810</v>
      </c>
      <c r="P161" s="81"/>
    </row>
    <row r="162" spans="2:16" ht="15" customHeight="1">
      <c r="B162" s="12" t="s">
        <v>2536</v>
      </c>
      <c r="C162" s="70"/>
      <c r="D162" s="73"/>
      <c r="E162" s="12" t="s">
        <v>2537</v>
      </c>
      <c r="F162" s="70"/>
      <c r="G162" s="73"/>
      <c r="H162" s="101" t="s">
        <v>2780</v>
      </c>
      <c r="I162" s="107"/>
      <c r="J162" s="78" t="s">
        <v>2538</v>
      </c>
      <c r="K162" s="76"/>
      <c r="L162" s="76"/>
      <c r="M162" s="76"/>
      <c r="N162" s="76"/>
      <c r="O162" s="110">
        <v>41820</v>
      </c>
      <c r="P162" s="79"/>
    </row>
    <row r="163" spans="2:16" ht="15" customHeight="1">
      <c r="B163" s="12" t="s">
        <v>2539</v>
      </c>
      <c r="C163" s="70"/>
      <c r="D163" s="73"/>
      <c r="E163" s="12" t="s">
        <v>2174</v>
      </c>
      <c r="F163" s="70"/>
      <c r="G163" s="73"/>
      <c r="H163" s="100" t="s">
        <v>2754</v>
      </c>
      <c r="I163" s="106"/>
      <c r="J163" s="80" t="s">
        <v>2173</v>
      </c>
      <c r="K163" s="77"/>
      <c r="L163" s="77"/>
      <c r="M163" s="77"/>
      <c r="N163" s="77"/>
      <c r="O163" s="109">
        <v>41821</v>
      </c>
      <c r="P163" s="81"/>
    </row>
    <row r="164" spans="2:16" ht="15" customHeight="1">
      <c r="B164" s="12" t="s">
        <v>2540</v>
      </c>
      <c r="C164" s="70"/>
      <c r="D164" s="73"/>
      <c r="E164" s="12" t="s">
        <v>2541</v>
      </c>
      <c r="F164" s="70"/>
      <c r="G164" s="73"/>
      <c r="H164" s="101" t="s">
        <v>2754</v>
      </c>
      <c r="I164" s="107"/>
      <c r="J164" s="78" t="s">
        <v>2542</v>
      </c>
      <c r="K164" s="76"/>
      <c r="L164" s="76"/>
      <c r="M164" s="76"/>
      <c r="N164" s="76"/>
      <c r="O164" s="110">
        <v>41831</v>
      </c>
      <c r="P164" s="79"/>
    </row>
    <row r="165" spans="2:16" ht="15" customHeight="1">
      <c r="B165" s="12" t="s">
        <v>2543</v>
      </c>
      <c r="C165" s="70"/>
      <c r="D165" s="73"/>
      <c r="E165" s="12" t="s">
        <v>2544</v>
      </c>
      <c r="F165" s="70"/>
      <c r="G165" s="73"/>
      <c r="H165" s="100" t="s">
        <v>2781</v>
      </c>
      <c r="I165" s="106"/>
      <c r="J165" s="80" t="s">
        <v>2170</v>
      </c>
      <c r="K165" s="77"/>
      <c r="L165" s="77"/>
      <c r="M165" s="77"/>
      <c r="N165" s="77"/>
      <c r="O165" s="109">
        <v>41810</v>
      </c>
      <c r="P165" s="81"/>
    </row>
    <row r="166" spans="2:16" ht="15" customHeight="1">
      <c r="B166" s="12" t="s">
        <v>2545</v>
      </c>
      <c r="C166" s="70"/>
      <c r="D166" s="73"/>
      <c r="E166" s="12" t="s">
        <v>2546</v>
      </c>
      <c r="F166" s="70"/>
      <c r="G166" s="73"/>
      <c r="H166" s="101" t="s">
        <v>2782</v>
      </c>
      <c r="I166" s="107"/>
      <c r="J166" s="78" t="s">
        <v>2260</v>
      </c>
      <c r="K166" s="76"/>
      <c r="L166" s="76"/>
      <c r="M166" s="76"/>
      <c r="N166" s="76"/>
      <c r="O166" s="110">
        <v>41843</v>
      </c>
      <c r="P166" s="79"/>
    </row>
    <row r="167" spans="2:16" ht="15" customHeight="1">
      <c r="B167" s="12" t="s">
        <v>2547</v>
      </c>
      <c r="C167" s="70"/>
      <c r="D167" s="73"/>
      <c r="E167" s="12" t="s">
        <v>2356</v>
      </c>
      <c r="F167" s="70"/>
      <c r="G167" s="73"/>
      <c r="H167" s="100" t="s">
        <v>2754</v>
      </c>
      <c r="I167" s="106"/>
      <c r="J167" s="80" t="s">
        <v>2548</v>
      </c>
      <c r="K167" s="77"/>
      <c r="L167" s="77"/>
      <c r="M167" s="77"/>
      <c r="N167" s="77"/>
      <c r="O167" s="109">
        <v>41821</v>
      </c>
      <c r="P167" s="81"/>
    </row>
    <row r="168" spans="2:16" ht="15" customHeight="1">
      <c r="B168" s="12" t="s">
        <v>2549</v>
      </c>
      <c r="C168" s="70"/>
      <c r="D168" s="73"/>
      <c r="E168" s="12" t="s">
        <v>2550</v>
      </c>
      <c r="F168" s="70"/>
      <c r="G168" s="73"/>
      <c r="H168" s="101" t="s">
        <v>2754</v>
      </c>
      <c r="I168" s="107"/>
      <c r="J168" s="78" t="s">
        <v>2260</v>
      </c>
      <c r="K168" s="76"/>
      <c r="L168" s="76"/>
      <c r="M168" s="76"/>
      <c r="N168" s="76"/>
      <c r="O168" s="110">
        <v>41857</v>
      </c>
      <c r="P168" s="79"/>
    </row>
    <row r="169" spans="2:16" ht="15" customHeight="1">
      <c r="B169" s="12" t="s">
        <v>2551</v>
      </c>
      <c r="C169" s="70"/>
      <c r="D169" s="73"/>
      <c r="E169" s="12" t="s">
        <v>2552</v>
      </c>
      <c r="F169" s="70"/>
      <c r="G169" s="73"/>
      <c r="H169" s="100" t="s">
        <v>2754</v>
      </c>
      <c r="I169" s="106"/>
      <c r="J169" s="80" t="s">
        <v>2553</v>
      </c>
      <c r="K169" s="77"/>
      <c r="L169" s="77"/>
      <c r="M169" s="77"/>
      <c r="N169" s="77"/>
      <c r="O169" s="109">
        <v>41857</v>
      </c>
      <c r="P169" s="81"/>
    </row>
    <row r="170" spans="2:16" ht="15" customHeight="1">
      <c r="B170" s="12" t="s">
        <v>2554</v>
      </c>
      <c r="C170" s="70"/>
      <c r="D170" s="73"/>
      <c r="E170" s="12" t="s">
        <v>2555</v>
      </c>
      <c r="F170" s="70"/>
      <c r="G170" s="73"/>
      <c r="H170" s="101" t="s">
        <v>2754</v>
      </c>
      <c r="I170" s="107"/>
      <c r="J170" s="78" t="s">
        <v>2185</v>
      </c>
      <c r="K170" s="76"/>
      <c r="L170" s="76"/>
      <c r="M170" s="76"/>
      <c r="N170" s="76"/>
      <c r="O170" s="110">
        <v>41863</v>
      </c>
      <c r="P170" s="79"/>
    </row>
    <row r="171" spans="2:16" ht="15" customHeight="1">
      <c r="B171" s="12" t="s">
        <v>2556</v>
      </c>
      <c r="C171" s="70"/>
      <c r="D171" s="73"/>
      <c r="E171" s="12" t="s">
        <v>2557</v>
      </c>
      <c r="F171" s="70"/>
      <c r="G171" s="73"/>
      <c r="H171" s="100" t="s">
        <v>2754</v>
      </c>
      <c r="I171" s="106"/>
      <c r="J171" s="80" t="s">
        <v>2238</v>
      </c>
      <c r="K171" s="77"/>
      <c r="L171" s="77"/>
      <c r="M171" s="77"/>
      <c r="N171" s="77"/>
      <c r="O171" s="109">
        <v>41868</v>
      </c>
      <c r="P171" s="81"/>
    </row>
    <row r="172" spans="2:16" ht="15" customHeight="1">
      <c r="B172" s="12" t="s">
        <v>2558</v>
      </c>
      <c r="C172" s="70"/>
      <c r="D172" s="73"/>
      <c r="E172" s="12" t="s">
        <v>2559</v>
      </c>
      <c r="F172" s="70"/>
      <c r="G172" s="73"/>
      <c r="H172" s="101" t="s">
        <v>2754</v>
      </c>
      <c r="I172" s="107"/>
      <c r="J172" s="78" t="s">
        <v>42</v>
      </c>
      <c r="K172" s="76"/>
      <c r="L172" s="76"/>
      <c r="M172" s="76"/>
      <c r="N172" s="76"/>
      <c r="O172" s="110">
        <v>41870</v>
      </c>
      <c r="P172" s="79"/>
    </row>
    <row r="173" spans="2:16" ht="15" customHeight="1">
      <c r="B173" s="12" t="s">
        <v>2560</v>
      </c>
      <c r="C173" s="70"/>
      <c r="D173" s="73"/>
      <c r="E173" s="12" t="s">
        <v>2561</v>
      </c>
      <c r="F173" s="70"/>
      <c r="G173" s="73"/>
      <c r="H173" s="100" t="s">
        <v>2754</v>
      </c>
      <c r="I173" s="106"/>
      <c r="J173" s="80" t="s">
        <v>2180</v>
      </c>
      <c r="K173" s="77"/>
      <c r="L173" s="77"/>
      <c r="M173" s="77"/>
      <c r="N173" s="77"/>
      <c r="O173" s="109">
        <v>41877</v>
      </c>
      <c r="P173" s="81"/>
    </row>
    <row r="174" spans="2:16" ht="15" customHeight="1">
      <c r="B174" s="12" t="s">
        <v>2562</v>
      </c>
      <c r="C174" s="70"/>
      <c r="D174" s="73"/>
      <c r="E174" s="12" t="s">
        <v>2563</v>
      </c>
      <c r="F174" s="70"/>
      <c r="G174" s="73"/>
      <c r="H174" s="101" t="s">
        <v>2754</v>
      </c>
      <c r="I174" s="107"/>
      <c r="J174" s="78" t="s">
        <v>2564</v>
      </c>
      <c r="K174" s="76"/>
      <c r="L174" s="76"/>
      <c r="M174" s="76"/>
      <c r="N174" s="76"/>
      <c r="O174" s="110">
        <v>41892</v>
      </c>
      <c r="P174" s="79"/>
    </row>
    <row r="175" spans="2:16" ht="15" customHeight="1">
      <c r="B175" s="12" t="s">
        <v>2565</v>
      </c>
      <c r="C175" s="70"/>
      <c r="D175" s="73"/>
      <c r="E175" s="12" t="s">
        <v>2566</v>
      </c>
      <c r="F175" s="70"/>
      <c r="G175" s="73"/>
      <c r="H175" s="100" t="s">
        <v>2754</v>
      </c>
      <c r="I175" s="106"/>
      <c r="J175" s="80" t="s">
        <v>2384</v>
      </c>
      <c r="K175" s="77"/>
      <c r="L175" s="77"/>
      <c r="M175" s="77"/>
      <c r="N175" s="77"/>
      <c r="O175" s="109">
        <v>41893</v>
      </c>
      <c r="P175" s="81"/>
    </row>
    <row r="176" spans="2:16" ht="15" customHeight="1">
      <c r="B176" s="12" t="s">
        <v>2567</v>
      </c>
      <c r="C176" s="70"/>
      <c r="D176" s="73"/>
      <c r="E176" s="12" t="s">
        <v>2799</v>
      </c>
      <c r="F176" s="70"/>
      <c r="G176" s="73"/>
      <c r="H176" s="101" t="s">
        <v>2754</v>
      </c>
      <c r="I176" s="107"/>
      <c r="J176" s="78" t="s">
        <v>2180</v>
      </c>
      <c r="K176" s="76"/>
      <c r="L176" s="76"/>
      <c r="M176" s="76"/>
      <c r="N176" s="76"/>
      <c r="O176" s="110">
        <v>41933</v>
      </c>
      <c r="P176" s="79"/>
    </row>
    <row r="177" spans="2:16" ht="15" customHeight="1">
      <c r="B177" s="12" t="s">
        <v>2568</v>
      </c>
      <c r="C177" s="70"/>
      <c r="D177" s="73"/>
      <c r="E177" s="12" t="s">
        <v>2509</v>
      </c>
      <c r="F177" s="70"/>
      <c r="G177" s="73"/>
      <c r="H177" s="100" t="s">
        <v>2770</v>
      </c>
      <c r="I177" s="106"/>
      <c r="J177" s="80" t="s">
        <v>2510</v>
      </c>
      <c r="K177" s="77"/>
      <c r="L177" s="77"/>
      <c r="M177" s="77"/>
      <c r="N177" s="77"/>
      <c r="O177" s="109">
        <v>41935</v>
      </c>
      <c r="P177" s="81"/>
    </row>
    <row r="178" spans="2:16" ht="15" customHeight="1">
      <c r="B178" s="12" t="s">
        <v>2569</v>
      </c>
      <c r="C178" s="70"/>
      <c r="D178" s="73"/>
      <c r="E178" s="12" t="s">
        <v>2171</v>
      </c>
      <c r="F178" s="70"/>
      <c r="G178" s="73"/>
      <c r="H178" s="101" t="s">
        <v>2754</v>
      </c>
      <c r="I178" s="107"/>
      <c r="J178" s="78" t="s">
        <v>2170</v>
      </c>
      <c r="K178" s="76"/>
      <c r="L178" s="76"/>
      <c r="M178" s="76"/>
      <c r="N178" s="76"/>
      <c r="O178" s="110">
        <v>41936</v>
      </c>
      <c r="P178" s="79"/>
    </row>
    <row r="179" spans="2:16" ht="15" customHeight="1">
      <c r="B179" s="12" t="s">
        <v>2570</v>
      </c>
      <c r="C179" s="70"/>
      <c r="D179" s="73"/>
      <c r="E179" s="12" t="s">
        <v>2571</v>
      </c>
      <c r="F179" s="70"/>
      <c r="G179" s="73"/>
      <c r="H179" s="100" t="s">
        <v>2754</v>
      </c>
      <c r="I179" s="106"/>
      <c r="J179" s="80" t="s">
        <v>2260</v>
      </c>
      <c r="K179" s="77"/>
      <c r="L179" s="77"/>
      <c r="M179" s="77"/>
      <c r="N179" s="77"/>
      <c r="O179" s="109">
        <v>41983</v>
      </c>
      <c r="P179" s="81"/>
    </row>
    <row r="180" spans="2:16" ht="15" customHeight="1">
      <c r="B180" s="12" t="s">
        <v>2572</v>
      </c>
      <c r="C180" s="70"/>
      <c r="D180" s="73"/>
      <c r="E180" s="12" t="s">
        <v>2573</v>
      </c>
      <c r="F180" s="70"/>
      <c r="G180" s="73"/>
      <c r="H180" s="101" t="s">
        <v>2754</v>
      </c>
      <c r="I180" s="107"/>
      <c r="J180" s="78" t="s">
        <v>2185</v>
      </c>
      <c r="K180" s="76"/>
      <c r="L180" s="76"/>
      <c r="M180" s="76"/>
      <c r="N180" s="76"/>
      <c r="O180" s="110">
        <v>41990</v>
      </c>
      <c r="P180" s="79"/>
    </row>
    <row r="181" spans="2:16" ht="15" customHeight="1">
      <c r="B181" s="12" t="s">
        <v>2574</v>
      </c>
      <c r="C181" s="70"/>
      <c r="D181" s="73"/>
      <c r="E181" s="12" t="s">
        <v>2575</v>
      </c>
      <c r="F181" s="70"/>
      <c r="G181" s="73"/>
      <c r="H181" s="100" t="s">
        <v>2754</v>
      </c>
      <c r="I181" s="106"/>
      <c r="J181" s="80" t="s">
        <v>2576</v>
      </c>
      <c r="K181" s="77"/>
      <c r="L181" s="77"/>
      <c r="M181" s="77"/>
      <c r="N181" s="77"/>
      <c r="O181" s="109">
        <v>42017</v>
      </c>
      <c r="P181" s="81"/>
    </row>
    <row r="182" spans="2:16" ht="15" customHeight="1">
      <c r="B182" s="12" t="s">
        <v>2577</v>
      </c>
      <c r="C182" s="70"/>
      <c r="D182" s="73"/>
      <c r="E182" s="12" t="s">
        <v>2578</v>
      </c>
      <c r="F182" s="70"/>
      <c r="G182" s="73"/>
      <c r="H182" s="101" t="s">
        <v>2754</v>
      </c>
      <c r="I182" s="107"/>
      <c r="J182" s="78" t="s">
        <v>2384</v>
      </c>
      <c r="K182" s="76"/>
      <c r="L182" s="76"/>
      <c r="M182" s="76"/>
      <c r="N182" s="76"/>
      <c r="O182" s="110">
        <v>42024</v>
      </c>
      <c r="P182" s="79"/>
    </row>
    <row r="183" spans="2:16" ht="15" customHeight="1">
      <c r="B183" s="12" t="s">
        <v>2579</v>
      </c>
      <c r="C183" s="70"/>
      <c r="D183" s="73"/>
      <c r="E183" s="12" t="s">
        <v>2580</v>
      </c>
      <c r="F183" s="70"/>
      <c r="G183" s="73"/>
      <c r="H183" s="100" t="s">
        <v>2754</v>
      </c>
      <c r="I183" s="106"/>
      <c r="J183" s="80" t="s">
        <v>2581</v>
      </c>
      <c r="K183" s="77"/>
      <c r="L183" s="77"/>
      <c r="M183" s="77"/>
      <c r="N183" s="77"/>
      <c r="O183" s="109">
        <v>42058</v>
      </c>
      <c r="P183" s="81"/>
    </row>
    <row r="184" spans="2:16" ht="15" customHeight="1">
      <c r="B184" s="12" t="s">
        <v>2582</v>
      </c>
      <c r="C184" s="70"/>
      <c r="D184" s="73"/>
      <c r="E184" s="12" t="s">
        <v>2583</v>
      </c>
      <c r="F184" s="70"/>
      <c r="G184" s="73"/>
      <c r="H184" s="101" t="s">
        <v>2754</v>
      </c>
      <c r="I184" s="107"/>
      <c r="J184" s="78" t="s">
        <v>2407</v>
      </c>
      <c r="K184" s="76"/>
      <c r="L184" s="76"/>
      <c r="M184" s="76"/>
      <c r="N184" s="76"/>
      <c r="O184" s="110">
        <v>42080</v>
      </c>
      <c r="P184" s="79"/>
    </row>
    <row r="185" spans="2:16" ht="15" customHeight="1">
      <c r="B185" s="12" t="s">
        <v>2584</v>
      </c>
      <c r="C185" s="70"/>
      <c r="D185" s="73"/>
      <c r="E185" s="12" t="s">
        <v>2585</v>
      </c>
      <c r="F185" s="70"/>
      <c r="G185" s="73"/>
      <c r="H185" s="100" t="s">
        <v>2754</v>
      </c>
      <c r="I185" s="106"/>
      <c r="J185" s="80" t="s">
        <v>2586</v>
      </c>
      <c r="K185" s="77"/>
      <c r="L185" s="77"/>
      <c r="M185" s="77"/>
      <c r="N185" s="77"/>
      <c r="O185" s="109">
        <v>42104</v>
      </c>
      <c r="P185" s="81"/>
    </row>
    <row r="186" spans="2:16" ht="15" customHeight="1">
      <c r="B186" s="12" t="s">
        <v>2587</v>
      </c>
      <c r="C186" s="70"/>
      <c r="D186" s="73"/>
      <c r="E186" s="12" t="s">
        <v>2588</v>
      </c>
      <c r="F186" s="70"/>
      <c r="G186" s="73"/>
      <c r="H186" s="101" t="s">
        <v>2754</v>
      </c>
      <c r="I186" s="107"/>
      <c r="J186" s="78" t="s">
        <v>2589</v>
      </c>
      <c r="K186" s="76"/>
      <c r="L186" s="76"/>
      <c r="M186" s="76"/>
      <c r="N186" s="76"/>
      <c r="O186" s="110">
        <v>42110</v>
      </c>
      <c r="P186" s="79"/>
    </row>
    <row r="187" spans="2:16" ht="15" customHeight="1">
      <c r="B187" s="12" t="s">
        <v>2590</v>
      </c>
      <c r="C187" s="70"/>
      <c r="D187" s="73"/>
      <c r="E187" s="12" t="s">
        <v>2268</v>
      </c>
      <c r="F187" s="70"/>
      <c r="G187" s="73"/>
      <c r="H187" s="100" t="s">
        <v>2754</v>
      </c>
      <c r="I187" s="106"/>
      <c r="J187" s="80" t="s">
        <v>2591</v>
      </c>
      <c r="K187" s="77"/>
      <c r="L187" s="77"/>
      <c r="M187" s="77"/>
      <c r="N187" s="77"/>
      <c r="O187" s="109">
        <v>42128</v>
      </c>
      <c r="P187" s="81"/>
    </row>
    <row r="188" spans="2:16" ht="15" customHeight="1">
      <c r="B188" s="12" t="s">
        <v>2592</v>
      </c>
      <c r="C188" s="70"/>
      <c r="D188" s="73"/>
      <c r="E188" s="12" t="s">
        <v>2593</v>
      </c>
      <c r="F188" s="70"/>
      <c r="G188" s="73"/>
      <c r="H188" s="101" t="s">
        <v>2754</v>
      </c>
      <c r="I188" s="107"/>
      <c r="J188" s="78" t="s">
        <v>2260</v>
      </c>
      <c r="K188" s="76"/>
      <c r="L188" s="76"/>
      <c r="M188" s="76"/>
      <c r="N188" s="76"/>
      <c r="O188" s="110">
        <v>42131</v>
      </c>
      <c r="P188" s="79"/>
    </row>
    <row r="189" spans="2:16" ht="15" customHeight="1">
      <c r="B189" s="12" t="s">
        <v>2594</v>
      </c>
      <c r="C189" s="70"/>
      <c r="D189" s="73"/>
      <c r="E189" s="12" t="s">
        <v>2571</v>
      </c>
      <c r="F189" s="70"/>
      <c r="G189" s="73"/>
      <c r="H189" s="100" t="s">
        <v>2754</v>
      </c>
      <c r="I189" s="106"/>
      <c r="J189" s="80" t="s">
        <v>2260</v>
      </c>
      <c r="K189" s="77"/>
      <c r="L189" s="77"/>
      <c r="M189" s="77"/>
      <c r="N189" s="77"/>
      <c r="O189" s="109">
        <v>42139</v>
      </c>
      <c r="P189" s="81"/>
    </row>
    <row r="190" spans="2:16" ht="15" customHeight="1">
      <c r="B190" s="12" t="s">
        <v>2595</v>
      </c>
      <c r="C190" s="70"/>
      <c r="D190" s="73"/>
      <c r="E190" s="12" t="s">
        <v>2596</v>
      </c>
      <c r="F190" s="70"/>
      <c r="G190" s="73"/>
      <c r="H190" s="101" t="s">
        <v>2754</v>
      </c>
      <c r="I190" s="107"/>
      <c r="J190" s="78" t="s">
        <v>2597</v>
      </c>
      <c r="K190" s="76"/>
      <c r="L190" s="76"/>
      <c r="M190" s="76"/>
      <c r="N190" s="76"/>
      <c r="O190" s="110">
        <v>42268</v>
      </c>
      <c r="P190" s="79"/>
    </row>
    <row r="191" spans="2:16" ht="15" customHeight="1">
      <c r="B191" s="12" t="s">
        <v>2598</v>
      </c>
      <c r="C191" s="70"/>
      <c r="D191" s="73"/>
      <c r="E191" s="12" t="s">
        <v>2599</v>
      </c>
      <c r="F191" s="70"/>
      <c r="G191" s="73"/>
      <c r="H191" s="100" t="s">
        <v>2754</v>
      </c>
      <c r="I191" s="106"/>
      <c r="J191" s="80" t="s">
        <v>2600</v>
      </c>
      <c r="K191" s="77"/>
      <c r="L191" s="77"/>
      <c r="M191" s="77"/>
      <c r="N191" s="77"/>
      <c r="O191" s="109">
        <v>42277</v>
      </c>
      <c r="P191" s="81"/>
    </row>
    <row r="192" spans="2:16" ht="15" customHeight="1">
      <c r="B192" s="12" t="s">
        <v>2601</v>
      </c>
      <c r="C192" s="70"/>
      <c r="D192" s="73"/>
      <c r="E192" s="12" t="s">
        <v>2602</v>
      </c>
      <c r="F192" s="70"/>
      <c r="G192" s="73"/>
      <c r="H192" s="101" t="s">
        <v>2754</v>
      </c>
      <c r="I192" s="107"/>
      <c r="J192" s="78" t="s">
        <v>2603</v>
      </c>
      <c r="K192" s="76"/>
      <c r="L192" s="76"/>
      <c r="M192" s="76"/>
      <c r="N192" s="76"/>
      <c r="O192" s="110">
        <v>42282</v>
      </c>
      <c r="P192" s="79"/>
    </row>
    <row r="193" spans="2:16" ht="15" customHeight="1">
      <c r="B193" s="12" t="s">
        <v>2604</v>
      </c>
      <c r="C193" s="70"/>
      <c r="D193" s="73"/>
      <c r="E193" s="12" t="s">
        <v>2605</v>
      </c>
      <c r="F193" s="70"/>
      <c r="G193" s="73"/>
      <c r="H193" s="100" t="s">
        <v>2754</v>
      </c>
      <c r="I193" s="106"/>
      <c r="J193" s="80" t="s">
        <v>2606</v>
      </c>
      <c r="K193" s="77"/>
      <c r="L193" s="77"/>
      <c r="M193" s="77"/>
      <c r="N193" s="77"/>
      <c r="O193" s="109">
        <v>42285</v>
      </c>
      <c r="P193" s="81"/>
    </row>
    <row r="194" spans="2:16" ht="15" customHeight="1">
      <c r="B194" s="12" t="s">
        <v>2607</v>
      </c>
      <c r="C194" s="70"/>
      <c r="D194" s="73"/>
      <c r="E194" s="12" t="s">
        <v>2573</v>
      </c>
      <c r="F194" s="70"/>
      <c r="G194" s="73"/>
      <c r="H194" s="101" t="s">
        <v>2754</v>
      </c>
      <c r="I194" s="107"/>
      <c r="J194" s="78" t="s">
        <v>2483</v>
      </c>
      <c r="K194" s="76"/>
      <c r="L194" s="76"/>
      <c r="M194" s="76"/>
      <c r="N194" s="76"/>
      <c r="O194" s="110">
        <v>42312</v>
      </c>
      <c r="P194" s="79"/>
    </row>
    <row r="195" spans="2:16" ht="15" customHeight="1">
      <c r="B195" s="12" t="s">
        <v>2608</v>
      </c>
      <c r="C195" s="70"/>
      <c r="D195" s="73"/>
      <c r="E195" s="12" t="s">
        <v>2609</v>
      </c>
      <c r="F195" s="70"/>
      <c r="G195" s="73"/>
      <c r="H195" s="100" t="s">
        <v>2783</v>
      </c>
      <c r="I195" s="106"/>
      <c r="J195" s="80" t="s">
        <v>2180</v>
      </c>
      <c r="K195" s="77"/>
      <c r="L195" s="77"/>
      <c r="M195" s="77"/>
      <c r="N195" s="77"/>
      <c r="O195" s="109">
        <v>42318</v>
      </c>
      <c r="P195" s="81"/>
    </row>
    <row r="196" spans="2:16" ht="15" customHeight="1">
      <c r="B196" s="12" t="s">
        <v>2610</v>
      </c>
      <c r="C196" s="70"/>
      <c r="D196" s="73"/>
      <c r="E196" s="12" t="s">
        <v>2611</v>
      </c>
      <c r="F196" s="70"/>
      <c r="G196" s="73"/>
      <c r="H196" s="101" t="s">
        <v>2754</v>
      </c>
      <c r="I196" s="107"/>
      <c r="J196" s="78" t="s">
        <v>2185</v>
      </c>
      <c r="K196" s="76"/>
      <c r="L196" s="76"/>
      <c r="M196" s="76"/>
      <c r="N196" s="76"/>
      <c r="O196" s="110">
        <v>42408</v>
      </c>
      <c r="P196" s="79"/>
    </row>
    <row r="197" spans="2:16" ht="15" customHeight="1">
      <c r="B197" s="12" t="s">
        <v>2612</v>
      </c>
      <c r="C197" s="70"/>
      <c r="D197" s="73"/>
      <c r="E197" s="12" t="s">
        <v>2613</v>
      </c>
      <c r="F197" s="70"/>
      <c r="G197" s="73"/>
      <c r="H197" s="100" t="s">
        <v>2754</v>
      </c>
      <c r="I197" s="106"/>
      <c r="J197" s="80" t="s">
        <v>2614</v>
      </c>
      <c r="K197" s="77"/>
      <c r="L197" s="77"/>
      <c r="M197" s="77"/>
      <c r="N197" s="77"/>
      <c r="O197" s="109">
        <v>42417</v>
      </c>
      <c r="P197" s="81"/>
    </row>
    <row r="198" spans="2:16" ht="15" customHeight="1">
      <c r="B198" s="12" t="s">
        <v>2615</v>
      </c>
      <c r="C198" s="70"/>
      <c r="D198" s="73"/>
      <c r="E198" s="12" t="s">
        <v>2616</v>
      </c>
      <c r="F198" s="70"/>
      <c r="G198" s="73"/>
      <c r="H198" s="101" t="s">
        <v>2754</v>
      </c>
      <c r="I198" s="107"/>
      <c r="J198" s="78" t="s">
        <v>2275</v>
      </c>
      <c r="K198" s="76"/>
      <c r="L198" s="76"/>
      <c r="M198" s="76"/>
      <c r="N198" s="76"/>
      <c r="O198" s="110">
        <v>42430</v>
      </c>
      <c r="P198" s="79"/>
    </row>
    <row r="199" spans="2:16" ht="15" customHeight="1">
      <c r="B199" s="12" t="s">
        <v>2617</v>
      </c>
      <c r="C199" s="70"/>
      <c r="D199" s="73"/>
      <c r="E199" s="12" t="s">
        <v>2618</v>
      </c>
      <c r="F199" s="70"/>
      <c r="G199" s="73"/>
      <c r="H199" s="100" t="s">
        <v>2754</v>
      </c>
      <c r="I199" s="106"/>
      <c r="J199" s="80" t="s">
        <v>2619</v>
      </c>
      <c r="K199" s="77"/>
      <c r="L199" s="77"/>
      <c r="M199" s="77"/>
      <c r="N199" s="77"/>
      <c r="O199" s="109">
        <v>42543</v>
      </c>
      <c r="P199" s="81"/>
    </row>
    <row r="200" spans="2:16" ht="15" customHeight="1">
      <c r="B200" s="12" t="s">
        <v>2620</v>
      </c>
      <c r="C200" s="70"/>
      <c r="D200" s="73"/>
      <c r="E200" s="12" t="s">
        <v>2621</v>
      </c>
      <c r="F200" s="70"/>
      <c r="G200" s="73"/>
      <c r="H200" s="101" t="s">
        <v>2754</v>
      </c>
      <c r="I200" s="107"/>
      <c r="J200" s="78" t="s">
        <v>2483</v>
      </c>
      <c r="K200" s="76"/>
      <c r="L200" s="76"/>
      <c r="M200" s="76"/>
      <c r="N200" s="76"/>
      <c r="O200" s="110">
        <v>42557</v>
      </c>
      <c r="P200" s="79"/>
    </row>
    <row r="201" spans="2:16" ht="15" customHeight="1">
      <c r="B201" s="12" t="s">
        <v>2622</v>
      </c>
      <c r="C201" s="70"/>
      <c r="D201" s="73"/>
      <c r="E201" s="12" t="s">
        <v>2623</v>
      </c>
      <c r="F201" s="70"/>
      <c r="G201" s="73"/>
      <c r="H201" s="100" t="s">
        <v>2754</v>
      </c>
      <c r="I201" s="106"/>
      <c r="J201" s="80" t="s">
        <v>2180</v>
      </c>
      <c r="K201" s="77"/>
      <c r="L201" s="77"/>
      <c r="M201" s="77"/>
      <c r="N201" s="77"/>
      <c r="O201" s="109">
        <v>42563</v>
      </c>
      <c r="P201" s="81"/>
    </row>
    <row r="202" spans="2:16" ht="15" customHeight="1">
      <c r="B202" s="12" t="s">
        <v>2624</v>
      </c>
      <c r="C202" s="70"/>
      <c r="D202" s="73"/>
      <c r="E202" s="12" t="s">
        <v>2625</v>
      </c>
      <c r="F202" s="70"/>
      <c r="G202" s="73"/>
      <c r="H202" s="101" t="s">
        <v>2754</v>
      </c>
      <c r="I202" s="107"/>
      <c r="J202" s="78" t="s">
        <v>2614</v>
      </c>
      <c r="K202" s="76"/>
      <c r="L202" s="76"/>
      <c r="M202" s="76"/>
      <c r="N202" s="76"/>
      <c r="O202" s="110">
        <v>42571</v>
      </c>
      <c r="P202" s="79"/>
    </row>
    <row r="203" spans="2:16" ht="15" customHeight="1">
      <c r="B203" s="12" t="s">
        <v>2626</v>
      </c>
      <c r="C203" s="70"/>
      <c r="D203" s="73"/>
      <c r="E203" s="12" t="s">
        <v>2627</v>
      </c>
      <c r="F203" s="70"/>
      <c r="G203" s="73"/>
      <c r="H203" s="100" t="s">
        <v>2754</v>
      </c>
      <c r="I203" s="106"/>
      <c r="J203" s="80" t="s">
        <v>2567</v>
      </c>
      <c r="K203" s="77"/>
      <c r="L203" s="77"/>
      <c r="M203" s="77"/>
      <c r="N203" s="77"/>
      <c r="O203" s="109">
        <v>42585</v>
      </c>
      <c r="P203" s="81"/>
    </row>
    <row r="204" spans="2:16" ht="15" customHeight="1">
      <c r="B204" s="12" t="s">
        <v>2628</v>
      </c>
      <c r="C204" s="70"/>
      <c r="D204" s="73"/>
      <c r="E204" s="12" t="s">
        <v>2609</v>
      </c>
      <c r="F204" s="70"/>
      <c r="G204" s="73"/>
      <c r="H204" s="101" t="s">
        <v>2760</v>
      </c>
      <c r="I204" s="107"/>
      <c r="J204" s="78" t="s">
        <v>2180</v>
      </c>
      <c r="K204" s="76"/>
      <c r="L204" s="76"/>
      <c r="M204" s="76"/>
      <c r="N204" s="76"/>
      <c r="O204" s="110">
        <v>42590</v>
      </c>
      <c r="P204" s="79"/>
    </row>
    <row r="205" spans="2:16" ht="15" customHeight="1">
      <c r="B205" s="12" t="s">
        <v>2629</v>
      </c>
      <c r="C205" s="70"/>
      <c r="D205" s="73"/>
      <c r="E205" s="12" t="s">
        <v>2630</v>
      </c>
      <c r="F205" s="70"/>
      <c r="G205" s="73"/>
      <c r="H205" s="100" t="s">
        <v>2762</v>
      </c>
      <c r="I205" s="106"/>
      <c r="J205" s="80" t="s">
        <v>2180</v>
      </c>
      <c r="K205" s="77"/>
      <c r="L205" s="77"/>
      <c r="M205" s="77"/>
      <c r="N205" s="77"/>
      <c r="O205" s="109">
        <v>42621</v>
      </c>
      <c r="P205" s="81"/>
    </row>
    <row r="206" spans="2:16" ht="15" customHeight="1">
      <c r="B206" s="12" t="s">
        <v>2631</v>
      </c>
      <c r="C206" s="70"/>
      <c r="D206" s="73"/>
      <c r="E206" s="12" t="s">
        <v>2632</v>
      </c>
      <c r="F206" s="70"/>
      <c r="G206" s="73"/>
      <c r="H206" s="101" t="s">
        <v>2754</v>
      </c>
      <c r="I206" s="107"/>
      <c r="J206" s="78" t="s">
        <v>2243</v>
      </c>
      <c r="K206" s="76"/>
      <c r="L206" s="76"/>
      <c r="M206" s="76"/>
      <c r="N206" s="76"/>
      <c r="O206" s="110">
        <v>42625</v>
      </c>
      <c r="P206" s="79"/>
    </row>
    <row r="207" spans="2:16" ht="15" customHeight="1">
      <c r="B207" s="12" t="s">
        <v>2633</v>
      </c>
      <c r="C207" s="70"/>
      <c r="D207" s="73"/>
      <c r="E207" s="12" t="s">
        <v>2478</v>
      </c>
      <c r="F207" s="70"/>
      <c r="G207" s="73"/>
      <c r="H207" s="100" t="s">
        <v>2754</v>
      </c>
      <c r="I207" s="106"/>
      <c r="J207" s="80" t="s">
        <v>2634</v>
      </c>
      <c r="K207" s="77"/>
      <c r="L207" s="77"/>
      <c r="M207" s="77"/>
      <c r="N207" s="77"/>
      <c r="O207" s="109">
        <v>42632</v>
      </c>
      <c r="P207" s="81"/>
    </row>
    <row r="208" spans="2:16" ht="15" customHeight="1">
      <c r="B208" s="12" t="s">
        <v>2635</v>
      </c>
      <c r="C208" s="70"/>
      <c r="D208" s="73"/>
      <c r="E208" s="12" t="s">
        <v>2636</v>
      </c>
      <c r="F208" s="70"/>
      <c r="G208" s="73"/>
      <c r="H208" s="101" t="s">
        <v>2754</v>
      </c>
      <c r="I208" s="107"/>
      <c r="J208" s="78" t="s">
        <v>2185</v>
      </c>
      <c r="K208" s="76"/>
      <c r="L208" s="76"/>
      <c r="M208" s="76"/>
      <c r="N208" s="76"/>
      <c r="O208" s="110">
        <v>42654</v>
      </c>
      <c r="P208" s="79"/>
    </row>
    <row r="209" spans="2:16" ht="15" customHeight="1">
      <c r="B209" s="12" t="s">
        <v>2637</v>
      </c>
      <c r="C209" s="70"/>
      <c r="D209" s="73"/>
      <c r="E209" s="12" t="s">
        <v>2638</v>
      </c>
      <c r="F209" s="70"/>
      <c r="G209" s="73"/>
      <c r="H209" s="100" t="s">
        <v>2754</v>
      </c>
      <c r="I209" s="106"/>
      <c r="J209" s="80"/>
      <c r="K209" s="77"/>
      <c r="L209" s="77"/>
      <c r="M209" s="77"/>
      <c r="N209" s="77"/>
      <c r="O209" s="109">
        <v>42667</v>
      </c>
      <c r="P209" s="81"/>
    </row>
    <row r="210" spans="2:16" ht="15" customHeight="1">
      <c r="B210" s="12" t="s">
        <v>2639</v>
      </c>
      <c r="C210" s="70"/>
      <c r="D210" s="73"/>
      <c r="E210" s="12" t="s">
        <v>2640</v>
      </c>
      <c r="F210" s="70"/>
      <c r="G210" s="73"/>
      <c r="H210" s="101" t="s">
        <v>2754</v>
      </c>
      <c r="I210" s="107"/>
      <c r="J210" s="78" t="s">
        <v>2260</v>
      </c>
      <c r="K210" s="76"/>
      <c r="L210" s="76"/>
      <c r="M210" s="76"/>
      <c r="N210" s="76"/>
      <c r="O210" s="110">
        <v>42668</v>
      </c>
      <c r="P210" s="79"/>
    </row>
    <row r="211" spans="2:16" ht="15" customHeight="1">
      <c r="B211" s="12" t="s">
        <v>2641</v>
      </c>
      <c r="C211" s="70"/>
      <c r="D211" s="73"/>
      <c r="E211" s="12" t="s">
        <v>2800</v>
      </c>
      <c r="F211" s="70"/>
      <c r="G211" s="73"/>
      <c r="H211" s="100" t="s">
        <v>2754</v>
      </c>
      <c r="I211" s="106"/>
      <c r="J211" s="80" t="s">
        <v>2180</v>
      </c>
      <c r="K211" s="77"/>
      <c r="L211" s="77"/>
      <c r="M211" s="77"/>
      <c r="N211" s="77"/>
      <c r="O211" s="109">
        <v>42676</v>
      </c>
      <c r="P211" s="81"/>
    </row>
    <row r="212" spans="2:16" ht="15" customHeight="1">
      <c r="B212" s="12" t="s">
        <v>2642</v>
      </c>
      <c r="C212" s="70"/>
      <c r="D212" s="73"/>
      <c r="E212" s="12" t="s">
        <v>2643</v>
      </c>
      <c r="F212" s="70"/>
      <c r="G212" s="73"/>
      <c r="H212" s="101" t="s">
        <v>2754</v>
      </c>
      <c r="I212" s="107"/>
      <c r="J212" s="78" t="s">
        <v>2453</v>
      </c>
      <c r="K212" s="76"/>
      <c r="L212" s="76"/>
      <c r="M212" s="76"/>
      <c r="N212" s="76"/>
      <c r="O212" s="110">
        <v>42692</v>
      </c>
      <c r="P212" s="79"/>
    </row>
    <row r="213" spans="2:16" ht="15" customHeight="1">
      <c r="B213" s="12" t="s">
        <v>2644</v>
      </c>
      <c r="C213" s="70"/>
      <c r="D213" s="73"/>
      <c r="E213" s="12" t="s">
        <v>2645</v>
      </c>
      <c r="F213" s="70"/>
      <c r="G213" s="73"/>
      <c r="H213" s="100" t="s">
        <v>2754</v>
      </c>
      <c r="I213" s="106"/>
      <c r="J213" s="80" t="s">
        <v>2646</v>
      </c>
      <c r="K213" s="77"/>
      <c r="L213" s="77"/>
      <c r="M213" s="77"/>
      <c r="N213" s="77"/>
      <c r="O213" s="109">
        <v>42704</v>
      </c>
      <c r="P213" s="81"/>
    </row>
    <row r="214" spans="2:16" ht="15" customHeight="1">
      <c r="B214" s="12" t="s">
        <v>2647</v>
      </c>
      <c r="C214" s="70"/>
      <c r="D214" s="73"/>
      <c r="E214" s="12" t="s">
        <v>2648</v>
      </c>
      <c r="F214" s="70"/>
      <c r="G214" s="73"/>
      <c r="H214" s="101" t="s">
        <v>2754</v>
      </c>
      <c r="I214" s="107"/>
      <c r="J214" s="78" t="s">
        <v>2567</v>
      </c>
      <c r="K214" s="76"/>
      <c r="L214" s="76"/>
      <c r="M214" s="76"/>
      <c r="N214" s="76"/>
      <c r="O214" s="110">
        <v>42753</v>
      </c>
      <c r="P214" s="79"/>
    </row>
    <row r="215" spans="2:16" ht="15" customHeight="1">
      <c r="B215" s="12" t="s">
        <v>2649</v>
      </c>
      <c r="C215" s="70"/>
      <c r="D215" s="73"/>
      <c r="E215" s="12" t="s">
        <v>2650</v>
      </c>
      <c r="F215" s="70"/>
      <c r="G215" s="73"/>
      <c r="H215" s="100" t="s">
        <v>2754</v>
      </c>
      <c r="I215" s="106"/>
      <c r="J215" s="80" t="s">
        <v>2180</v>
      </c>
      <c r="K215" s="77"/>
      <c r="L215" s="77"/>
      <c r="M215" s="77"/>
      <c r="N215" s="77"/>
      <c r="O215" s="109">
        <v>42802</v>
      </c>
      <c r="P215" s="81"/>
    </row>
    <row r="216" spans="2:16" ht="15" customHeight="1">
      <c r="B216" s="12" t="s">
        <v>2651</v>
      </c>
      <c r="C216" s="70"/>
      <c r="D216" s="73"/>
      <c r="E216" s="12" t="s">
        <v>2652</v>
      </c>
      <c r="F216" s="70"/>
      <c r="G216" s="73"/>
      <c r="H216" s="101" t="s">
        <v>2754</v>
      </c>
      <c r="I216" s="107"/>
      <c r="J216" s="78" t="s">
        <v>2275</v>
      </c>
      <c r="K216" s="76"/>
      <c r="L216" s="76"/>
      <c r="M216" s="76"/>
      <c r="N216" s="76"/>
      <c r="O216" s="110">
        <v>42815</v>
      </c>
      <c r="P216" s="79"/>
    </row>
    <row r="217" spans="2:16" ht="15" customHeight="1">
      <c r="B217" s="12" t="s">
        <v>2653</v>
      </c>
      <c r="C217" s="70"/>
      <c r="D217" s="73"/>
      <c r="E217" s="12" t="s">
        <v>2654</v>
      </c>
      <c r="F217" s="70"/>
      <c r="G217" s="73"/>
      <c r="H217" s="100" t="s">
        <v>2754</v>
      </c>
      <c r="I217" s="106"/>
      <c r="J217" s="80"/>
      <c r="K217" s="77"/>
      <c r="L217" s="77"/>
      <c r="M217" s="77"/>
      <c r="N217" s="77"/>
      <c r="O217" s="109">
        <v>42860</v>
      </c>
      <c r="P217" s="81"/>
    </row>
    <row r="218" spans="2:16" ht="15" customHeight="1">
      <c r="B218" s="12" t="s">
        <v>2655</v>
      </c>
      <c r="C218" s="70"/>
      <c r="D218" s="73"/>
      <c r="E218" s="12" t="s">
        <v>2509</v>
      </c>
      <c r="F218" s="70"/>
      <c r="G218" s="73"/>
      <c r="H218" s="101" t="s">
        <v>2754</v>
      </c>
      <c r="I218" s="107"/>
      <c r="J218" s="78"/>
      <c r="K218" s="76"/>
      <c r="L218" s="76"/>
      <c r="M218" s="76"/>
      <c r="N218" s="76"/>
      <c r="O218" s="110">
        <v>42898</v>
      </c>
      <c r="P218" s="79"/>
    </row>
    <row r="219" spans="2:16" ht="15" customHeight="1">
      <c r="B219" s="12" t="s">
        <v>2656</v>
      </c>
      <c r="C219" s="70"/>
      <c r="D219" s="73"/>
      <c r="E219" s="12" t="s">
        <v>2285</v>
      </c>
      <c r="F219" s="70"/>
      <c r="G219" s="73"/>
      <c r="H219" s="100" t="s">
        <v>2754</v>
      </c>
      <c r="I219" s="106"/>
      <c r="J219" s="80" t="s">
        <v>2185</v>
      </c>
      <c r="K219" s="77"/>
      <c r="L219" s="77"/>
      <c r="M219" s="77"/>
      <c r="N219" s="77"/>
      <c r="O219" s="109">
        <v>42902</v>
      </c>
      <c r="P219" s="81"/>
    </row>
    <row r="220" spans="2:16" ht="15" customHeight="1">
      <c r="B220" s="12" t="s">
        <v>2657</v>
      </c>
      <c r="C220" s="70"/>
      <c r="D220" s="73"/>
      <c r="E220" s="12" t="s">
        <v>2658</v>
      </c>
      <c r="F220" s="70"/>
      <c r="G220" s="73"/>
      <c r="H220" s="101" t="s">
        <v>2754</v>
      </c>
      <c r="I220" s="107"/>
      <c r="J220" s="78" t="s">
        <v>2180</v>
      </c>
      <c r="K220" s="76"/>
      <c r="L220" s="76"/>
      <c r="M220" s="76"/>
      <c r="N220" s="76"/>
      <c r="O220" s="110">
        <v>43019</v>
      </c>
      <c r="P220" s="79"/>
    </row>
    <row r="221" spans="2:16" ht="15" customHeight="1">
      <c r="B221" s="12" t="s">
        <v>2659</v>
      </c>
      <c r="C221" s="70"/>
      <c r="D221" s="73"/>
      <c r="E221" s="12" t="s">
        <v>2660</v>
      </c>
      <c r="F221" s="70"/>
      <c r="G221" s="73"/>
      <c r="H221" s="100" t="s">
        <v>2754</v>
      </c>
      <c r="I221" s="106"/>
      <c r="J221" s="80" t="s">
        <v>2661</v>
      </c>
      <c r="K221" s="77"/>
      <c r="L221" s="77"/>
      <c r="M221" s="77"/>
      <c r="N221" s="77"/>
      <c r="O221" s="109">
        <v>43033</v>
      </c>
      <c r="P221" s="81"/>
    </row>
    <row r="222" spans="2:16" ht="15" customHeight="1">
      <c r="B222" s="12" t="s">
        <v>2662</v>
      </c>
      <c r="C222" s="70"/>
      <c r="D222" s="73"/>
      <c r="E222" s="12" t="s">
        <v>2663</v>
      </c>
      <c r="F222" s="70"/>
      <c r="G222" s="73"/>
      <c r="H222" s="101" t="s">
        <v>2754</v>
      </c>
      <c r="I222" s="107"/>
      <c r="J222" s="78" t="s">
        <v>2664</v>
      </c>
      <c r="K222" s="76"/>
      <c r="L222" s="76"/>
      <c r="M222" s="76"/>
      <c r="N222" s="76"/>
      <c r="O222" s="110">
        <v>43040</v>
      </c>
      <c r="P222" s="79"/>
    </row>
    <row r="223" spans="2:16" ht="15" customHeight="1">
      <c r="B223" s="12" t="s">
        <v>2665</v>
      </c>
      <c r="C223" s="70"/>
      <c r="D223" s="73"/>
      <c r="E223" s="12" t="s">
        <v>2666</v>
      </c>
      <c r="F223" s="70"/>
      <c r="G223" s="73"/>
      <c r="H223" s="100" t="s">
        <v>2754</v>
      </c>
      <c r="I223" s="106"/>
      <c r="J223" s="80"/>
      <c r="K223" s="77"/>
      <c r="L223" s="77"/>
      <c r="M223" s="77"/>
      <c r="N223" s="77"/>
      <c r="O223" s="109">
        <v>43047</v>
      </c>
      <c r="P223" s="81"/>
    </row>
    <row r="224" spans="2:16" ht="15" customHeight="1">
      <c r="B224" s="12" t="s">
        <v>2667</v>
      </c>
      <c r="C224" s="70"/>
      <c r="D224" s="73"/>
      <c r="E224" s="12" t="s">
        <v>2668</v>
      </c>
      <c r="F224" s="70"/>
      <c r="G224" s="73"/>
      <c r="H224" s="101" t="s">
        <v>2754</v>
      </c>
      <c r="I224" s="107"/>
      <c r="J224" s="78" t="s">
        <v>2669</v>
      </c>
      <c r="K224" s="76"/>
      <c r="L224" s="76"/>
      <c r="M224" s="76"/>
      <c r="N224" s="76"/>
      <c r="O224" s="110">
        <v>43185</v>
      </c>
      <c r="P224" s="79"/>
    </row>
    <row r="225" spans="2:16" ht="15" customHeight="1">
      <c r="B225" s="12" t="s">
        <v>2670</v>
      </c>
      <c r="C225" s="70"/>
      <c r="D225" s="73"/>
      <c r="E225" s="12" t="s">
        <v>2671</v>
      </c>
      <c r="F225" s="70"/>
      <c r="G225" s="73"/>
      <c r="H225" s="100" t="s">
        <v>2754</v>
      </c>
      <c r="I225" s="106"/>
      <c r="J225" s="80" t="s">
        <v>2180</v>
      </c>
      <c r="K225" s="77"/>
      <c r="L225" s="77"/>
      <c r="M225" s="77"/>
      <c r="N225" s="77"/>
      <c r="O225" s="109">
        <v>43290</v>
      </c>
      <c r="P225" s="81"/>
    </row>
    <row r="226" spans="2:16" ht="15" customHeight="1">
      <c r="B226" s="12" t="s">
        <v>2672</v>
      </c>
      <c r="C226" s="70"/>
      <c r="D226" s="73"/>
      <c r="E226" s="12" t="s">
        <v>2673</v>
      </c>
      <c r="F226" s="70"/>
      <c r="G226" s="73"/>
      <c r="H226" s="101" t="s">
        <v>2754</v>
      </c>
      <c r="I226" s="107"/>
      <c r="J226" s="78" t="s">
        <v>2180</v>
      </c>
      <c r="K226" s="76"/>
      <c r="L226" s="76"/>
      <c r="M226" s="76"/>
      <c r="N226" s="76"/>
      <c r="O226" s="110">
        <v>43327</v>
      </c>
      <c r="P226" s="79"/>
    </row>
    <row r="227" spans="2:16" ht="15" customHeight="1">
      <c r="B227" s="12" t="s">
        <v>2674</v>
      </c>
      <c r="C227" s="70"/>
      <c r="D227" s="73"/>
      <c r="E227" s="12" t="s">
        <v>2675</v>
      </c>
      <c r="F227" s="70"/>
      <c r="G227" s="73"/>
      <c r="H227" s="100" t="s">
        <v>2754</v>
      </c>
      <c r="I227" s="106"/>
      <c r="J227" s="80" t="s">
        <v>2260</v>
      </c>
      <c r="K227" s="77"/>
      <c r="L227" s="77"/>
      <c r="M227" s="77"/>
      <c r="N227" s="77"/>
      <c r="O227" s="109">
        <v>43333</v>
      </c>
      <c r="P227" s="81"/>
    </row>
    <row r="228" spans="2:16" ht="15" customHeight="1">
      <c r="B228" s="12" t="s">
        <v>2676</v>
      </c>
      <c r="C228" s="70"/>
      <c r="D228" s="73"/>
      <c r="E228" s="12" t="s">
        <v>2677</v>
      </c>
      <c r="F228" s="70"/>
      <c r="G228" s="73"/>
      <c r="H228" s="101" t="s">
        <v>2754</v>
      </c>
      <c r="I228" s="107"/>
      <c r="J228" s="78" t="s">
        <v>2170</v>
      </c>
      <c r="K228" s="76"/>
      <c r="L228" s="76"/>
      <c r="M228" s="76"/>
      <c r="N228" s="76"/>
      <c r="O228" s="110">
        <v>43353</v>
      </c>
      <c r="P228" s="79"/>
    </row>
    <row r="229" spans="2:16" ht="15" customHeight="1">
      <c r="B229" s="12" t="s">
        <v>2678</v>
      </c>
      <c r="C229" s="70"/>
      <c r="D229" s="73"/>
      <c r="E229" s="12" t="s">
        <v>2679</v>
      </c>
      <c r="F229" s="70"/>
      <c r="G229" s="73"/>
      <c r="H229" s="100" t="s">
        <v>2754</v>
      </c>
      <c r="I229" s="106"/>
      <c r="J229" s="80"/>
      <c r="K229" s="77"/>
      <c r="L229" s="77"/>
      <c r="M229" s="77"/>
      <c r="N229" s="77"/>
      <c r="O229" s="109">
        <v>43355</v>
      </c>
      <c r="P229" s="81"/>
    </row>
    <row r="230" spans="2:16" ht="15" customHeight="1">
      <c r="B230" s="12" t="s">
        <v>2680</v>
      </c>
      <c r="C230" s="70"/>
      <c r="D230" s="73"/>
      <c r="E230" s="12" t="s">
        <v>2681</v>
      </c>
      <c r="F230" s="70"/>
      <c r="G230" s="73"/>
      <c r="H230" s="101" t="s">
        <v>2754</v>
      </c>
      <c r="I230" s="107"/>
      <c r="J230" s="78" t="s">
        <v>2682</v>
      </c>
      <c r="K230" s="76"/>
      <c r="L230" s="76"/>
      <c r="M230" s="76"/>
      <c r="N230" s="76"/>
      <c r="O230" s="110">
        <v>43368</v>
      </c>
      <c r="P230" s="79"/>
    </row>
    <row r="231" spans="2:16" ht="15" customHeight="1">
      <c r="B231" s="12" t="s">
        <v>2683</v>
      </c>
      <c r="C231" s="70"/>
      <c r="D231" s="73"/>
      <c r="E231" s="12" t="s">
        <v>2801</v>
      </c>
      <c r="F231" s="70"/>
      <c r="G231" s="73"/>
      <c r="H231" s="100" t="s">
        <v>2779</v>
      </c>
      <c r="I231" s="106"/>
      <c r="J231" s="80" t="s">
        <v>2243</v>
      </c>
      <c r="K231" s="77"/>
      <c r="L231" s="77"/>
      <c r="M231" s="77"/>
      <c r="N231" s="77"/>
      <c r="O231" s="109">
        <v>43384</v>
      </c>
      <c r="P231" s="81"/>
    </row>
    <row r="232" spans="2:16" ht="15" customHeight="1">
      <c r="B232" s="12" t="s">
        <v>2684</v>
      </c>
      <c r="C232" s="70"/>
      <c r="D232" s="73"/>
      <c r="E232" s="12" t="s">
        <v>2685</v>
      </c>
      <c r="F232" s="70"/>
      <c r="G232" s="73"/>
      <c r="H232" s="101" t="s">
        <v>2754</v>
      </c>
      <c r="I232" s="107"/>
      <c r="J232" s="78" t="s">
        <v>2180</v>
      </c>
      <c r="K232" s="76"/>
      <c r="L232" s="76"/>
      <c r="M232" s="76"/>
      <c r="N232" s="76"/>
      <c r="O232" s="110">
        <v>43424</v>
      </c>
      <c r="P232" s="79"/>
    </row>
    <row r="233" spans="2:16" ht="15" customHeight="1">
      <c r="B233" s="12" t="s">
        <v>2686</v>
      </c>
      <c r="C233" s="70"/>
      <c r="D233" s="73"/>
      <c r="E233" s="12" t="s">
        <v>2687</v>
      </c>
      <c r="F233" s="70"/>
      <c r="G233" s="73"/>
      <c r="H233" s="100" t="s">
        <v>2784</v>
      </c>
      <c r="I233" s="106"/>
      <c r="J233" s="80" t="s">
        <v>2634</v>
      </c>
      <c r="K233" s="77"/>
      <c r="L233" s="77"/>
      <c r="M233" s="77"/>
      <c r="N233" s="77"/>
      <c r="O233" s="109">
        <v>43502</v>
      </c>
      <c r="P233" s="81"/>
    </row>
    <row r="234" spans="2:16" ht="15" customHeight="1">
      <c r="B234" s="12" t="s">
        <v>2688</v>
      </c>
      <c r="C234" s="70"/>
      <c r="D234" s="73"/>
      <c r="E234" s="12" t="s">
        <v>2689</v>
      </c>
      <c r="F234" s="70"/>
      <c r="G234" s="73"/>
      <c r="H234" s="101" t="s">
        <v>2785</v>
      </c>
      <c r="I234" s="107"/>
      <c r="J234" s="78" t="s">
        <v>2180</v>
      </c>
      <c r="K234" s="76"/>
      <c r="L234" s="76"/>
      <c r="M234" s="76"/>
      <c r="N234" s="76"/>
      <c r="O234" s="110">
        <v>43515</v>
      </c>
      <c r="P234" s="79"/>
    </row>
    <row r="235" spans="2:16" ht="15" customHeight="1">
      <c r="B235" s="12" t="s">
        <v>2690</v>
      </c>
      <c r="C235" s="70"/>
      <c r="D235" s="73"/>
      <c r="E235" s="12" t="s">
        <v>2186</v>
      </c>
      <c r="F235" s="70"/>
      <c r="G235" s="73"/>
      <c r="H235" s="100" t="s">
        <v>2754</v>
      </c>
      <c r="I235" s="106"/>
      <c r="J235" s="80" t="s">
        <v>2185</v>
      </c>
      <c r="K235" s="77"/>
      <c r="L235" s="77"/>
      <c r="M235" s="77"/>
      <c r="N235" s="77"/>
      <c r="O235" s="109">
        <v>43529</v>
      </c>
      <c r="P235" s="81"/>
    </row>
    <row r="236" spans="2:16" ht="15" customHeight="1">
      <c r="B236" s="12" t="s">
        <v>2691</v>
      </c>
      <c r="C236" s="70"/>
      <c r="D236" s="73"/>
      <c r="E236" s="12" t="s">
        <v>2692</v>
      </c>
      <c r="F236" s="70"/>
      <c r="G236" s="73"/>
      <c r="H236" s="101" t="s">
        <v>2754</v>
      </c>
      <c r="I236" s="107"/>
      <c r="J236" s="78" t="s">
        <v>2180</v>
      </c>
      <c r="K236" s="76"/>
      <c r="L236" s="76"/>
      <c r="M236" s="76"/>
      <c r="N236" s="76"/>
      <c r="O236" s="110">
        <v>43655</v>
      </c>
      <c r="P236" s="79"/>
    </row>
    <row r="237" spans="2:16" ht="15" customHeight="1">
      <c r="B237" s="12" t="s">
        <v>2693</v>
      </c>
      <c r="C237" s="70"/>
      <c r="D237" s="73"/>
      <c r="E237" s="12" t="s">
        <v>2694</v>
      </c>
      <c r="F237" s="70"/>
      <c r="G237" s="73"/>
      <c r="H237" s="100" t="s">
        <v>2754</v>
      </c>
      <c r="I237" s="106"/>
      <c r="J237" s="80" t="s">
        <v>2682</v>
      </c>
      <c r="K237" s="77"/>
      <c r="L237" s="77"/>
      <c r="M237" s="77"/>
      <c r="N237" s="77"/>
      <c r="O237" s="109">
        <v>43692</v>
      </c>
      <c r="P237" s="81"/>
    </row>
    <row r="238" spans="2:16" ht="15" customHeight="1">
      <c r="B238" s="12" t="s">
        <v>2695</v>
      </c>
      <c r="C238" s="70"/>
      <c r="D238" s="73"/>
      <c r="E238" s="12" t="s">
        <v>2696</v>
      </c>
      <c r="F238" s="70"/>
      <c r="G238" s="73"/>
      <c r="H238" s="101" t="s">
        <v>2754</v>
      </c>
      <c r="I238" s="107"/>
      <c r="J238" s="78" t="s">
        <v>2180</v>
      </c>
      <c r="K238" s="76"/>
      <c r="L238" s="76"/>
      <c r="M238" s="76"/>
      <c r="N238" s="76"/>
      <c r="O238" s="110">
        <v>43726</v>
      </c>
      <c r="P238" s="79"/>
    </row>
    <row r="239" spans="2:16" ht="15" customHeight="1">
      <c r="B239" s="12" t="s">
        <v>2697</v>
      </c>
      <c r="C239" s="70"/>
      <c r="D239" s="73"/>
      <c r="E239" s="12" t="s">
        <v>2698</v>
      </c>
      <c r="F239" s="70"/>
      <c r="G239" s="73"/>
      <c r="H239" s="100" t="s">
        <v>2754</v>
      </c>
      <c r="I239" s="106"/>
      <c r="J239" s="80" t="s">
        <v>2699</v>
      </c>
      <c r="K239" s="77"/>
      <c r="L239" s="77"/>
      <c r="M239" s="77"/>
      <c r="N239" s="77"/>
      <c r="O239" s="109">
        <v>43818</v>
      </c>
      <c r="P239" s="81"/>
    </row>
    <row r="240" spans="2:16" ht="15" customHeight="1">
      <c r="B240" s="12" t="s">
        <v>2700</v>
      </c>
      <c r="C240" s="70"/>
      <c r="D240" s="73"/>
      <c r="E240" s="12" t="s">
        <v>2701</v>
      </c>
      <c r="F240" s="70"/>
      <c r="G240" s="73"/>
      <c r="H240" s="101" t="s">
        <v>2754</v>
      </c>
      <c r="I240" s="107"/>
      <c r="J240" s="78" t="s">
        <v>2180</v>
      </c>
      <c r="K240" s="76"/>
      <c r="L240" s="76"/>
      <c r="M240" s="76"/>
      <c r="N240" s="76"/>
      <c r="O240" s="110">
        <v>43844</v>
      </c>
      <c r="P240" s="79"/>
    </row>
    <row r="241" spans="2:16" ht="15" customHeight="1">
      <c r="B241" s="12" t="s">
        <v>2702</v>
      </c>
      <c r="C241" s="70"/>
      <c r="D241" s="73"/>
      <c r="E241" s="12" t="s">
        <v>2703</v>
      </c>
      <c r="F241" s="70"/>
      <c r="G241" s="73"/>
      <c r="H241" s="100" t="s">
        <v>2786</v>
      </c>
      <c r="I241" s="106"/>
      <c r="J241" s="80" t="s">
        <v>2243</v>
      </c>
      <c r="K241" s="77"/>
      <c r="L241" s="77"/>
      <c r="M241" s="77"/>
      <c r="N241" s="77"/>
      <c r="O241" s="109">
        <v>43845</v>
      </c>
      <c r="P241" s="81"/>
    </row>
    <row r="242" spans="2:16" ht="15" customHeight="1">
      <c r="B242" s="12" t="s">
        <v>2704</v>
      </c>
      <c r="C242" s="70"/>
      <c r="D242" s="73"/>
      <c r="E242" s="12" t="s">
        <v>2705</v>
      </c>
      <c r="F242" s="70"/>
      <c r="G242" s="73"/>
      <c r="H242" s="101" t="s">
        <v>2754</v>
      </c>
      <c r="I242" s="107"/>
      <c r="J242" s="78" t="s">
        <v>2180</v>
      </c>
      <c r="K242" s="76"/>
      <c r="L242" s="76"/>
      <c r="M242" s="76"/>
      <c r="N242" s="76"/>
      <c r="O242" s="110">
        <v>43852</v>
      </c>
      <c r="P242" s="79"/>
    </row>
    <row r="243" spans="2:16" ht="15" customHeight="1">
      <c r="B243" s="12" t="s">
        <v>2706</v>
      </c>
      <c r="C243" s="70"/>
      <c r="D243" s="73"/>
      <c r="E243" s="12" t="s">
        <v>2707</v>
      </c>
      <c r="F243" s="70"/>
      <c r="G243" s="73"/>
      <c r="H243" s="100" t="s">
        <v>2787</v>
      </c>
      <c r="I243" s="106"/>
      <c r="J243" s="80"/>
      <c r="K243" s="77"/>
      <c r="L243" s="77"/>
      <c r="M243" s="77"/>
      <c r="N243" s="77"/>
      <c r="O243" s="109">
        <v>44012</v>
      </c>
      <c r="P243" s="81"/>
    </row>
    <row r="244" spans="2:16" ht="15" customHeight="1">
      <c r="B244" s="12" t="s">
        <v>2708</v>
      </c>
      <c r="C244" s="70"/>
      <c r="D244" s="73"/>
      <c r="E244" s="12" t="s">
        <v>2709</v>
      </c>
      <c r="F244" s="70"/>
      <c r="G244" s="73"/>
      <c r="H244" s="101" t="s">
        <v>2754</v>
      </c>
      <c r="I244" s="107"/>
      <c r="J244" s="78" t="s">
        <v>2180</v>
      </c>
      <c r="K244" s="76"/>
      <c r="L244" s="76"/>
      <c r="M244" s="76"/>
      <c r="N244" s="76"/>
      <c r="O244" s="110">
        <v>44026</v>
      </c>
      <c r="P244" s="79"/>
    </row>
    <row r="245" spans="2:16" ht="15" customHeight="1">
      <c r="B245" s="12" t="s">
        <v>2710</v>
      </c>
      <c r="C245" s="70"/>
      <c r="D245" s="73"/>
      <c r="E245" s="12" t="s">
        <v>2178</v>
      </c>
      <c r="F245" s="70"/>
      <c r="G245" s="73"/>
      <c r="H245" s="100" t="s">
        <v>2754</v>
      </c>
      <c r="I245" s="106"/>
      <c r="J245" s="80" t="s">
        <v>2180</v>
      </c>
      <c r="K245" s="77"/>
      <c r="L245" s="77"/>
      <c r="M245" s="77"/>
      <c r="N245" s="77"/>
      <c r="O245" s="109">
        <v>44054</v>
      </c>
      <c r="P245" s="81"/>
    </row>
    <row r="246" spans="2:16" ht="15" customHeight="1">
      <c r="B246" s="12" t="s">
        <v>2711</v>
      </c>
      <c r="C246" s="70"/>
      <c r="D246" s="73"/>
      <c r="E246" s="12" t="s">
        <v>2712</v>
      </c>
      <c r="F246" s="70"/>
      <c r="G246" s="73"/>
      <c r="H246" s="101" t="s">
        <v>2754</v>
      </c>
      <c r="I246" s="107"/>
      <c r="J246" s="78" t="s">
        <v>2713</v>
      </c>
      <c r="K246" s="76"/>
      <c r="L246" s="76"/>
      <c r="M246" s="76"/>
      <c r="N246" s="76"/>
      <c r="O246" s="110">
        <v>44180</v>
      </c>
      <c r="P246" s="79"/>
    </row>
    <row r="247" spans="2:16" ht="15" customHeight="1">
      <c r="B247" s="12" t="s">
        <v>2714</v>
      </c>
      <c r="C247" s="70"/>
      <c r="D247" s="73"/>
      <c r="E247" s="12" t="s">
        <v>2715</v>
      </c>
      <c r="F247" s="70"/>
      <c r="G247" s="73"/>
      <c r="H247" s="100" t="s">
        <v>2754</v>
      </c>
      <c r="I247" s="106"/>
      <c r="J247" s="80" t="s">
        <v>2180</v>
      </c>
      <c r="K247" s="77"/>
      <c r="L247" s="77"/>
      <c r="M247" s="77"/>
      <c r="N247" s="77"/>
      <c r="O247" s="109">
        <v>44187</v>
      </c>
      <c r="P247" s="81"/>
    </row>
    <row r="248" spans="2:16" ht="15" customHeight="1">
      <c r="B248" s="12" t="s">
        <v>2716</v>
      </c>
      <c r="C248" s="70"/>
      <c r="D248" s="73"/>
      <c r="E248" s="12" t="s">
        <v>2717</v>
      </c>
      <c r="F248" s="70"/>
      <c r="G248" s="73"/>
      <c r="H248" s="101" t="s">
        <v>2754</v>
      </c>
      <c r="I248" s="107"/>
      <c r="J248" s="78" t="s">
        <v>2718</v>
      </c>
      <c r="K248" s="76"/>
      <c r="L248" s="76"/>
      <c r="M248" s="76"/>
      <c r="N248" s="76"/>
      <c r="O248" s="110">
        <v>44208</v>
      </c>
      <c r="P248" s="79"/>
    </row>
    <row r="249" spans="2:16" ht="15" customHeight="1">
      <c r="B249" s="12" t="s">
        <v>2719</v>
      </c>
      <c r="C249" s="70"/>
      <c r="D249" s="73"/>
      <c r="E249" s="12" t="s">
        <v>2720</v>
      </c>
      <c r="F249" s="70"/>
      <c r="G249" s="73"/>
      <c r="H249" s="100" t="s">
        <v>2754</v>
      </c>
      <c r="I249" s="106"/>
      <c r="J249" s="80" t="s">
        <v>2721</v>
      </c>
      <c r="K249" s="77"/>
      <c r="L249" s="77"/>
      <c r="M249" s="77"/>
      <c r="N249" s="77"/>
      <c r="O249" s="109">
        <v>44230</v>
      </c>
      <c r="P249" s="81"/>
    </row>
    <row r="250" spans="2:16" ht="15" customHeight="1">
      <c r="B250" s="12" t="s">
        <v>2722</v>
      </c>
      <c r="C250" s="70"/>
      <c r="D250" s="73"/>
      <c r="E250" s="12" t="s">
        <v>2521</v>
      </c>
      <c r="F250" s="70"/>
      <c r="G250" s="73"/>
      <c r="H250" s="101" t="s">
        <v>2760</v>
      </c>
      <c r="I250" s="107"/>
      <c r="J250" s="78" t="s">
        <v>2185</v>
      </c>
      <c r="K250" s="76"/>
      <c r="L250" s="76"/>
      <c r="M250" s="76"/>
      <c r="N250" s="76"/>
      <c r="O250" s="110">
        <v>44245</v>
      </c>
      <c r="P250" s="79"/>
    </row>
    <row r="251" spans="2:16" ht="15" customHeight="1">
      <c r="B251" s="12" t="s">
        <v>2723</v>
      </c>
      <c r="C251" s="70"/>
      <c r="D251" s="73"/>
      <c r="E251" s="12" t="s">
        <v>2724</v>
      </c>
      <c r="F251" s="70"/>
      <c r="G251" s="73"/>
      <c r="H251" s="100" t="s">
        <v>2754</v>
      </c>
      <c r="I251" s="106"/>
      <c r="J251" s="80" t="s">
        <v>2725</v>
      </c>
      <c r="K251" s="77"/>
      <c r="L251" s="77"/>
      <c r="M251" s="77"/>
      <c r="N251" s="77"/>
      <c r="O251" s="109">
        <v>44264</v>
      </c>
      <c r="P251" s="81"/>
    </row>
    <row r="252" spans="2:16" ht="15" customHeight="1">
      <c r="B252" s="12" t="s">
        <v>2726</v>
      </c>
      <c r="C252" s="70"/>
      <c r="D252" s="73"/>
      <c r="E252" s="12" t="s">
        <v>2727</v>
      </c>
      <c r="F252" s="70"/>
      <c r="G252" s="73"/>
      <c r="H252" s="101" t="s">
        <v>2754</v>
      </c>
      <c r="I252" s="107"/>
      <c r="J252" s="78" t="s">
        <v>2510</v>
      </c>
      <c r="K252" s="76"/>
      <c r="L252" s="76"/>
      <c r="M252" s="76"/>
      <c r="N252" s="76"/>
      <c r="O252" s="110">
        <v>44487</v>
      </c>
      <c r="P252" s="79"/>
    </row>
    <row r="253" spans="2:16" ht="15" customHeight="1">
      <c r="B253" s="12" t="s">
        <v>2728</v>
      </c>
      <c r="C253" s="70"/>
      <c r="D253" s="73"/>
      <c r="E253" s="12" t="s">
        <v>2729</v>
      </c>
      <c r="F253" s="70"/>
      <c r="G253" s="73"/>
      <c r="H253" s="100" t="s">
        <v>2780</v>
      </c>
      <c r="I253" s="106"/>
      <c r="J253" s="80" t="s">
        <v>2180</v>
      </c>
      <c r="K253" s="77"/>
      <c r="L253" s="77"/>
      <c r="M253" s="77"/>
      <c r="N253" s="77"/>
      <c r="O253" s="109">
        <v>44565</v>
      </c>
      <c r="P253" s="81"/>
    </row>
    <row r="254" spans="2:16" ht="15" customHeight="1">
      <c r="B254" s="12" t="s">
        <v>2730</v>
      </c>
      <c r="C254" s="70"/>
      <c r="D254" s="73"/>
      <c r="E254" s="12" t="s">
        <v>2729</v>
      </c>
      <c r="F254" s="70"/>
      <c r="G254" s="73"/>
      <c r="H254" s="101" t="s">
        <v>2788</v>
      </c>
      <c r="I254" s="107"/>
      <c r="J254" s="78" t="s">
        <v>2180</v>
      </c>
      <c r="K254" s="76"/>
      <c r="L254" s="76"/>
      <c r="M254" s="76"/>
      <c r="N254" s="76"/>
      <c r="O254" s="110">
        <v>44628</v>
      </c>
      <c r="P254" s="79"/>
    </row>
    <row r="255" spans="2:16" ht="15" customHeight="1">
      <c r="B255" s="12" t="s">
        <v>2731</v>
      </c>
      <c r="C255" s="70"/>
      <c r="D255" s="73"/>
      <c r="E255" s="12" t="s">
        <v>2732</v>
      </c>
      <c r="F255" s="70"/>
      <c r="G255" s="73"/>
      <c r="H255" s="100" t="s">
        <v>2789</v>
      </c>
      <c r="I255" s="106"/>
      <c r="J255" s="80"/>
      <c r="K255" s="77"/>
      <c r="L255" s="77"/>
      <c r="M255" s="77"/>
      <c r="N255" s="77"/>
      <c r="O255" s="109">
        <v>44650</v>
      </c>
      <c r="P255" s="81"/>
    </row>
    <row r="256" spans="2:16" ht="15" customHeight="1">
      <c r="B256" s="12" t="s">
        <v>2733</v>
      </c>
      <c r="C256" s="70"/>
      <c r="D256" s="73"/>
      <c r="E256" s="12" t="s">
        <v>2734</v>
      </c>
      <c r="F256" s="70"/>
      <c r="G256" s="73"/>
      <c r="H256" s="101" t="s">
        <v>2754</v>
      </c>
      <c r="I256" s="107"/>
      <c r="J256" s="78" t="s">
        <v>2735</v>
      </c>
      <c r="K256" s="76"/>
      <c r="L256" s="76"/>
      <c r="M256" s="76"/>
      <c r="N256" s="76"/>
      <c r="O256" s="110">
        <v>44663</v>
      </c>
      <c r="P256" s="79"/>
    </row>
    <row r="257" spans="2:16" ht="15" customHeight="1">
      <c r="B257" s="12" t="s">
        <v>2736</v>
      </c>
      <c r="C257" s="70"/>
      <c r="D257" s="73"/>
      <c r="E257" s="12" t="s">
        <v>2737</v>
      </c>
      <c r="F257" s="70"/>
      <c r="G257" s="73"/>
      <c r="H257" s="100" t="s">
        <v>2754</v>
      </c>
      <c r="I257" s="106"/>
      <c r="J257" s="80" t="s">
        <v>2180</v>
      </c>
      <c r="K257" s="77"/>
      <c r="L257" s="77"/>
      <c r="M257" s="77"/>
      <c r="N257" s="77"/>
      <c r="O257" s="109">
        <v>44698</v>
      </c>
      <c r="P257" s="81"/>
    </row>
    <row r="258" spans="2:16" ht="15" customHeight="1">
      <c r="B258" s="12" t="s">
        <v>2738</v>
      </c>
      <c r="C258" s="70"/>
      <c r="D258" s="73"/>
      <c r="E258" s="12" t="s">
        <v>2739</v>
      </c>
      <c r="F258" s="70"/>
      <c r="G258" s="73"/>
      <c r="H258" s="101" t="s">
        <v>2754</v>
      </c>
      <c r="I258" s="107"/>
      <c r="J258" s="78" t="s">
        <v>2180</v>
      </c>
      <c r="K258" s="76"/>
      <c r="L258" s="76"/>
      <c r="M258" s="76"/>
      <c r="N258" s="76"/>
      <c r="O258" s="110">
        <v>44720</v>
      </c>
      <c r="P258" s="79"/>
    </row>
    <row r="259" spans="2:16" ht="15" customHeight="1">
      <c r="B259" s="12" t="s">
        <v>2740</v>
      </c>
      <c r="C259" s="70"/>
      <c r="D259" s="73"/>
      <c r="E259" s="12" t="s">
        <v>2509</v>
      </c>
      <c r="F259" s="70"/>
      <c r="G259" s="73"/>
      <c r="H259" s="100" t="s">
        <v>2760</v>
      </c>
      <c r="I259" s="106"/>
      <c r="J259" s="80"/>
      <c r="K259" s="77"/>
      <c r="L259" s="77"/>
      <c r="M259" s="77"/>
      <c r="N259" s="77"/>
      <c r="O259" s="109">
        <v>44761</v>
      </c>
      <c r="P259" s="81"/>
    </row>
    <row r="260" spans="2:16" ht="15" customHeight="1">
      <c r="B260" s="12" t="s">
        <v>2741</v>
      </c>
      <c r="C260" s="70"/>
      <c r="D260" s="73"/>
      <c r="E260" s="12" t="s">
        <v>2742</v>
      </c>
      <c r="F260" s="70"/>
      <c r="G260" s="73"/>
      <c r="H260" s="101" t="s">
        <v>2754</v>
      </c>
      <c r="I260" s="107"/>
      <c r="J260" s="78" t="s">
        <v>2243</v>
      </c>
      <c r="K260" s="76"/>
      <c r="L260" s="76"/>
      <c r="M260" s="76"/>
      <c r="N260" s="76"/>
      <c r="O260" s="110">
        <v>44817</v>
      </c>
      <c r="P260" s="79"/>
    </row>
    <row r="261" spans="2:16" ht="15" customHeight="1">
      <c r="B261" s="12" t="s">
        <v>2808</v>
      </c>
      <c r="C261" s="70"/>
      <c r="D261" s="73"/>
      <c r="E261" s="12" t="s">
        <v>2809</v>
      </c>
      <c r="F261" s="70"/>
      <c r="G261" s="73"/>
      <c r="H261" s="100" t="s">
        <v>2754</v>
      </c>
      <c r="I261" s="106"/>
      <c r="J261" s="80" t="s">
        <v>2243</v>
      </c>
      <c r="K261" s="77"/>
      <c r="L261" s="77"/>
      <c r="M261" s="77"/>
      <c r="N261" s="77"/>
      <c r="O261" s="109">
        <v>44824</v>
      </c>
      <c r="P261" s="81"/>
    </row>
    <row r="262" spans="2:16" ht="15" customHeight="1">
      <c r="B262" s="12" t="s">
        <v>2743</v>
      </c>
      <c r="C262" s="70"/>
      <c r="D262" s="73"/>
      <c r="E262" s="12" t="s">
        <v>2744</v>
      </c>
      <c r="F262" s="70"/>
      <c r="G262" s="73"/>
      <c r="H262" s="101" t="s">
        <v>2754</v>
      </c>
      <c r="I262" s="107"/>
      <c r="J262" s="78" t="s">
        <v>2745</v>
      </c>
      <c r="K262" s="76"/>
      <c r="L262" s="76"/>
      <c r="M262" s="76"/>
      <c r="N262" s="76"/>
      <c r="O262" s="110">
        <v>44839</v>
      </c>
      <c r="P262" s="79"/>
    </row>
    <row r="263" spans="2:16" ht="15" customHeight="1">
      <c r="B263" s="12" t="s">
        <v>2746</v>
      </c>
      <c r="C263" s="70"/>
      <c r="D263" s="73"/>
      <c r="E263" s="12" t="s">
        <v>2677</v>
      </c>
      <c r="F263" s="70"/>
      <c r="G263" s="73"/>
      <c r="H263" s="100" t="s">
        <v>2754</v>
      </c>
      <c r="I263" s="106"/>
      <c r="J263" s="80"/>
      <c r="K263" s="77"/>
      <c r="L263" s="77"/>
      <c r="M263" s="77"/>
      <c r="N263" s="77"/>
      <c r="O263" s="109">
        <v>44880</v>
      </c>
      <c r="P263" s="81"/>
    </row>
    <row r="264" spans="2:16" ht="15" customHeight="1">
      <c r="B264" s="12" t="s">
        <v>2747</v>
      </c>
      <c r="C264" s="70"/>
      <c r="D264" s="73"/>
      <c r="E264" s="12" t="s">
        <v>2748</v>
      </c>
      <c r="F264" s="70"/>
      <c r="G264" s="73"/>
      <c r="H264" s="101" t="s">
        <v>2754</v>
      </c>
      <c r="I264" s="107"/>
      <c r="J264" s="78" t="s">
        <v>2735</v>
      </c>
      <c r="K264" s="76"/>
      <c r="L264" s="76"/>
      <c r="M264" s="76"/>
      <c r="N264" s="76"/>
      <c r="O264" s="110">
        <v>44902</v>
      </c>
      <c r="P264" s="79"/>
    </row>
    <row r="265" spans="2:16" ht="15" customHeight="1">
      <c r="B265" s="12" t="s">
        <v>2749</v>
      </c>
      <c r="C265" s="70"/>
      <c r="D265" s="73"/>
      <c r="E265" s="12" t="s">
        <v>2509</v>
      </c>
      <c r="F265" s="70"/>
      <c r="G265" s="73"/>
      <c r="H265" s="100" t="s">
        <v>2754</v>
      </c>
      <c r="I265" s="106"/>
      <c r="J265" s="80" t="s">
        <v>2750</v>
      </c>
      <c r="K265" s="77"/>
      <c r="L265" s="77"/>
      <c r="M265" s="77"/>
      <c r="N265" s="77"/>
      <c r="O265" s="109">
        <v>45007</v>
      </c>
      <c r="P265" s="81"/>
    </row>
    <row r="266" spans="2:16" ht="15" customHeight="1">
      <c r="B266" s="12" t="s">
        <v>2806</v>
      </c>
      <c r="C266" s="70"/>
      <c r="D266" s="73"/>
      <c r="E266" s="12" t="s">
        <v>2807</v>
      </c>
      <c r="F266" s="70"/>
      <c r="G266" s="73"/>
      <c r="H266" s="101" t="s">
        <v>2754</v>
      </c>
      <c r="I266" s="107"/>
      <c r="J266" s="78" t="s">
        <v>2180</v>
      </c>
      <c r="K266" s="76"/>
      <c r="L266" s="76"/>
      <c r="M266" s="76"/>
      <c r="N266" s="76"/>
      <c r="O266" s="110">
        <v>45279</v>
      </c>
      <c r="P266" s="79"/>
    </row>
    <row r="267" spans="2:16" ht="15" customHeight="1">
      <c r="B267" s="12" t="s">
        <v>2751</v>
      </c>
      <c r="C267" s="70"/>
      <c r="D267" s="73"/>
      <c r="E267" s="12" t="s">
        <v>2752</v>
      </c>
      <c r="F267" s="70"/>
      <c r="G267" s="73"/>
      <c r="H267" s="100" t="s">
        <v>2754</v>
      </c>
      <c r="I267" s="106"/>
      <c r="J267" s="80" t="s">
        <v>2753</v>
      </c>
      <c r="K267" s="77"/>
      <c r="L267" s="77"/>
      <c r="M267" s="77"/>
      <c r="N267" s="77"/>
      <c r="O267" s="109">
        <v>45055</v>
      </c>
      <c r="P267" s="81"/>
    </row>
    <row r="268" spans="2:16" ht="15" customHeight="1">
      <c r="B268" s="19" t="s">
        <v>2803</v>
      </c>
      <c r="C268" s="74"/>
      <c r="D268" s="75"/>
      <c r="E268" s="19" t="s">
        <v>2804</v>
      </c>
      <c r="F268" s="74"/>
      <c r="G268" s="75"/>
      <c r="H268" s="113" t="s">
        <v>2805</v>
      </c>
      <c r="I268" s="114"/>
      <c r="J268" s="102" t="s">
        <v>2180</v>
      </c>
      <c r="K268" s="103"/>
      <c r="L268" s="103"/>
      <c r="M268" s="103"/>
      <c r="N268" s="103"/>
      <c r="O268" s="115">
        <v>45718</v>
      </c>
      <c r="P268" s="104"/>
    </row>
  </sheetData>
  <mergeCells count="263">
    <mergeCell ref="H265:I265"/>
    <mergeCell ref="H268:I268"/>
    <mergeCell ref="H267:I267"/>
    <mergeCell ref="H266:I266"/>
    <mergeCell ref="H261:I261"/>
    <mergeCell ref="H258:I258"/>
    <mergeCell ref="H259:I259"/>
    <mergeCell ref="H260:I260"/>
    <mergeCell ref="H262:I262"/>
    <mergeCell ref="H263:I263"/>
    <mergeCell ref="H264:I264"/>
    <mergeCell ref="H252:I252"/>
    <mergeCell ref="H253:I253"/>
    <mergeCell ref="H254:I254"/>
    <mergeCell ref="H255:I255"/>
    <mergeCell ref="H256:I256"/>
    <mergeCell ref="H257:I257"/>
    <mergeCell ref="H246:I246"/>
    <mergeCell ref="H247:I247"/>
    <mergeCell ref="H248:I248"/>
    <mergeCell ref="H249:I249"/>
    <mergeCell ref="H250:I250"/>
    <mergeCell ref="H251:I251"/>
    <mergeCell ref="H240:I240"/>
    <mergeCell ref="H241:I241"/>
    <mergeCell ref="H242:I242"/>
    <mergeCell ref="H243:I243"/>
    <mergeCell ref="H244:I244"/>
    <mergeCell ref="H245:I245"/>
    <mergeCell ref="H234:I234"/>
    <mergeCell ref="H235:I235"/>
    <mergeCell ref="H236:I236"/>
    <mergeCell ref="H237:I237"/>
    <mergeCell ref="H238:I238"/>
    <mergeCell ref="H239:I239"/>
    <mergeCell ref="H228:I228"/>
    <mergeCell ref="H229:I229"/>
    <mergeCell ref="H230:I230"/>
    <mergeCell ref="H231:I231"/>
    <mergeCell ref="H232:I232"/>
    <mergeCell ref="H233:I233"/>
    <mergeCell ref="H222:I222"/>
    <mergeCell ref="H223:I223"/>
    <mergeCell ref="H224:I224"/>
    <mergeCell ref="H225:I225"/>
    <mergeCell ref="H226:I226"/>
    <mergeCell ref="H227:I227"/>
    <mergeCell ref="H216:I216"/>
    <mergeCell ref="H217:I217"/>
    <mergeCell ref="H218:I218"/>
    <mergeCell ref="H219:I219"/>
    <mergeCell ref="H220:I220"/>
    <mergeCell ref="H221:I221"/>
    <mergeCell ref="H210:I210"/>
    <mergeCell ref="H211:I211"/>
    <mergeCell ref="H212:I212"/>
    <mergeCell ref="H213:I213"/>
    <mergeCell ref="H214:I214"/>
    <mergeCell ref="H215:I215"/>
    <mergeCell ref="H204:I204"/>
    <mergeCell ref="H205:I205"/>
    <mergeCell ref="H206:I206"/>
    <mergeCell ref="H207:I207"/>
    <mergeCell ref="H208:I208"/>
    <mergeCell ref="H209:I209"/>
    <mergeCell ref="H198:I198"/>
    <mergeCell ref="H199:I199"/>
    <mergeCell ref="H200:I200"/>
    <mergeCell ref="H201:I201"/>
    <mergeCell ref="H202:I202"/>
    <mergeCell ref="H203:I203"/>
    <mergeCell ref="H192:I192"/>
    <mergeCell ref="H193:I193"/>
    <mergeCell ref="H194:I194"/>
    <mergeCell ref="H195:I195"/>
    <mergeCell ref="H196:I196"/>
    <mergeCell ref="H197:I197"/>
    <mergeCell ref="H186:I186"/>
    <mergeCell ref="H187:I187"/>
    <mergeCell ref="H188:I188"/>
    <mergeCell ref="H189:I189"/>
    <mergeCell ref="H190:I190"/>
    <mergeCell ref="H191:I191"/>
    <mergeCell ref="H180:I180"/>
    <mergeCell ref="H181:I181"/>
    <mergeCell ref="H182:I182"/>
    <mergeCell ref="H183:I183"/>
    <mergeCell ref="H184:I184"/>
    <mergeCell ref="H185:I185"/>
    <mergeCell ref="H174:I174"/>
    <mergeCell ref="H175:I175"/>
    <mergeCell ref="H176:I176"/>
    <mergeCell ref="H177:I177"/>
    <mergeCell ref="H178:I178"/>
    <mergeCell ref="H179:I179"/>
    <mergeCell ref="H168:I168"/>
    <mergeCell ref="H169:I169"/>
    <mergeCell ref="H170:I170"/>
    <mergeCell ref="H171:I171"/>
    <mergeCell ref="H172:I172"/>
    <mergeCell ref="H173:I173"/>
    <mergeCell ref="H162:I162"/>
    <mergeCell ref="H163:I163"/>
    <mergeCell ref="H164:I164"/>
    <mergeCell ref="H165:I165"/>
    <mergeCell ref="H166:I166"/>
    <mergeCell ref="H167:I167"/>
    <mergeCell ref="H156:I156"/>
    <mergeCell ref="H157:I157"/>
    <mergeCell ref="H158:I158"/>
    <mergeCell ref="H159:I159"/>
    <mergeCell ref="H160:I160"/>
    <mergeCell ref="H161:I161"/>
    <mergeCell ref="H150:I150"/>
    <mergeCell ref="H151:I151"/>
    <mergeCell ref="H152:I152"/>
    <mergeCell ref="H153:I153"/>
    <mergeCell ref="H154:I154"/>
    <mergeCell ref="H155:I155"/>
    <mergeCell ref="H144:I144"/>
    <mergeCell ref="H145:I145"/>
    <mergeCell ref="H146:I146"/>
    <mergeCell ref="H147:I147"/>
    <mergeCell ref="H148:I148"/>
    <mergeCell ref="H149:I149"/>
    <mergeCell ref="H138:I138"/>
    <mergeCell ref="H139:I139"/>
    <mergeCell ref="H140:I140"/>
    <mergeCell ref="H141:I141"/>
    <mergeCell ref="H142:I142"/>
    <mergeCell ref="H143:I143"/>
    <mergeCell ref="H132:I132"/>
    <mergeCell ref="H133:I133"/>
    <mergeCell ref="H134:I134"/>
    <mergeCell ref="H135:I135"/>
    <mergeCell ref="H136:I136"/>
    <mergeCell ref="H137:I137"/>
    <mergeCell ref="H126:I126"/>
    <mergeCell ref="H127:I127"/>
    <mergeCell ref="H128:I128"/>
    <mergeCell ref="H129:I129"/>
    <mergeCell ref="H130:I130"/>
    <mergeCell ref="H131:I131"/>
    <mergeCell ref="H120:I120"/>
    <mergeCell ref="H121:I121"/>
    <mergeCell ref="H122:I122"/>
    <mergeCell ref="H123:I123"/>
    <mergeCell ref="H124:I124"/>
    <mergeCell ref="H125:I125"/>
    <mergeCell ref="H114:I114"/>
    <mergeCell ref="H115:I115"/>
    <mergeCell ref="H116:I116"/>
    <mergeCell ref="H117:I117"/>
    <mergeCell ref="H118:I118"/>
    <mergeCell ref="H119:I119"/>
    <mergeCell ref="H108:I108"/>
    <mergeCell ref="H109:I109"/>
    <mergeCell ref="H110:I110"/>
    <mergeCell ref="H111:I111"/>
    <mergeCell ref="H112:I112"/>
    <mergeCell ref="H113:I113"/>
    <mergeCell ref="H102:I102"/>
    <mergeCell ref="H103:I103"/>
    <mergeCell ref="H104:I104"/>
    <mergeCell ref="H105:I105"/>
    <mergeCell ref="H106:I106"/>
    <mergeCell ref="H107:I107"/>
    <mergeCell ref="H96:I96"/>
    <mergeCell ref="H97:I97"/>
    <mergeCell ref="H98:I98"/>
    <mergeCell ref="H99:I99"/>
    <mergeCell ref="H100:I100"/>
    <mergeCell ref="H101:I101"/>
    <mergeCell ref="H90:I90"/>
    <mergeCell ref="H91:I91"/>
    <mergeCell ref="H92:I92"/>
    <mergeCell ref="H93:I93"/>
    <mergeCell ref="H94:I94"/>
    <mergeCell ref="H95:I95"/>
    <mergeCell ref="H84:I84"/>
    <mergeCell ref="H85:I85"/>
    <mergeCell ref="H86:I86"/>
    <mergeCell ref="H87:I87"/>
    <mergeCell ref="H88:I88"/>
    <mergeCell ref="H89:I89"/>
    <mergeCell ref="H78:I78"/>
    <mergeCell ref="H79:I79"/>
    <mergeCell ref="H80:I80"/>
    <mergeCell ref="H81:I81"/>
    <mergeCell ref="H82:I82"/>
    <mergeCell ref="H83:I83"/>
    <mergeCell ref="H72:I72"/>
    <mergeCell ref="H73:I73"/>
    <mergeCell ref="H74:I74"/>
    <mergeCell ref="H75:I75"/>
    <mergeCell ref="H76:I76"/>
    <mergeCell ref="H77:I77"/>
    <mergeCell ref="H66:I66"/>
    <mergeCell ref="H67:I67"/>
    <mergeCell ref="H68:I68"/>
    <mergeCell ref="H69:I69"/>
    <mergeCell ref="H70:I70"/>
    <mergeCell ref="H71:I71"/>
    <mergeCell ref="H60:I60"/>
    <mergeCell ref="H61:I61"/>
    <mergeCell ref="H62:I62"/>
    <mergeCell ref="H63:I63"/>
    <mergeCell ref="H64:I64"/>
    <mergeCell ref="H65:I65"/>
    <mergeCell ref="H54:I54"/>
    <mergeCell ref="H55:I55"/>
    <mergeCell ref="H56:I56"/>
    <mergeCell ref="H57:I57"/>
    <mergeCell ref="H58:I58"/>
    <mergeCell ref="H59:I59"/>
    <mergeCell ref="H48:I48"/>
    <mergeCell ref="H49:I49"/>
    <mergeCell ref="H50:I50"/>
    <mergeCell ref="H51:I51"/>
    <mergeCell ref="H52:I52"/>
    <mergeCell ref="H53:I53"/>
    <mergeCell ref="H42:I42"/>
    <mergeCell ref="H43:I43"/>
    <mergeCell ref="H44:I44"/>
    <mergeCell ref="H45:I45"/>
    <mergeCell ref="H46:I46"/>
    <mergeCell ref="H47:I47"/>
    <mergeCell ref="H36:I36"/>
    <mergeCell ref="H37:I37"/>
    <mergeCell ref="H38:I38"/>
    <mergeCell ref="H39:I39"/>
    <mergeCell ref="H40:I40"/>
    <mergeCell ref="H41:I41"/>
    <mergeCell ref="H30:I30"/>
    <mergeCell ref="H31:I31"/>
    <mergeCell ref="H32:I32"/>
    <mergeCell ref="H33:I33"/>
    <mergeCell ref="H34:I34"/>
    <mergeCell ref="H35:I35"/>
    <mergeCell ref="H24:I24"/>
    <mergeCell ref="H25:I25"/>
    <mergeCell ref="H26:I26"/>
    <mergeCell ref="H27:I27"/>
    <mergeCell ref="H28:I28"/>
    <mergeCell ref="H29:I29"/>
    <mergeCell ref="H18:I18"/>
    <mergeCell ref="H19:I19"/>
    <mergeCell ref="H20:I20"/>
    <mergeCell ref="H21:I21"/>
    <mergeCell ref="H22:I22"/>
    <mergeCell ref="H23:I23"/>
    <mergeCell ref="H10:I10"/>
    <mergeCell ref="H11:I11"/>
    <mergeCell ref="H12:I12"/>
    <mergeCell ref="H13:I13"/>
    <mergeCell ref="H16:I16"/>
    <mergeCell ref="H17:I17"/>
    <mergeCell ref="H4:I4"/>
    <mergeCell ref="H5:I5"/>
    <mergeCell ref="H6:I6"/>
    <mergeCell ref="H7:I7"/>
    <mergeCell ref="H8:I8"/>
    <mergeCell ref="H9:I9"/>
  </mergeCells>
  <hyperlinks>
    <hyperlink ref="B4" r:id="rId1" display="https://www.forex.com/en-us/news-and-analysis/google-acquisition-history/" xr:uid="{18E1D94D-C20E-4743-92BB-BDEF6093D5FF}"/>
    <hyperlink ref="B9" r:id="rId2" display="https://www.youtube.com/" xr:uid="{64C8152C-EE10-4BC6-A22E-484DA21C0595}"/>
    <hyperlink ref="E23" r:id="rId3" display="https://www.mirrorreview.com/ai-and-blogging/" xr:uid="{1740BE5C-4E8F-43C8-868E-965BBC166775}"/>
    <hyperlink ref="E41" r:id="rId4" display="https://www.mirrorreview.com/3d-modeling-software/" xr:uid="{502275C2-5A3F-4A3D-9EB6-8AF3E785C10E}"/>
    <hyperlink ref="B65" r:id="rId5" display="https://www.google.com/recaptcha/about/" xr:uid="{8482E960-60EC-48AF-BEED-45806042C97C}"/>
    <hyperlink ref="J71" r:id="rId6" display="https://picasa.google.co.in/" xr:uid="{2E365898-AA00-4889-AA3A-93EF894A6212}"/>
    <hyperlink ref="E95" r:id="rId7" display="https://www.mirrorreview.com/e-books-vs-print/" xr:uid="{2A5FEE8A-1FE0-4943-8B8E-BDBFED938319}"/>
    <hyperlink ref="J97" r:id="rId8" display="https://pz.harvard.edu/" xr:uid="{C188ACEC-E9EB-425E-863A-78814EEE5E18}"/>
    <hyperlink ref="E109" r:id="rId9" display="https://www.mirrorreview.com/face-recognition/" xr:uid="{AB04D340-F0BE-4ED1-BFB8-F4138CC2CF96}"/>
    <hyperlink ref="E204" r:id="rId10" display="https://www.mirrorreview.com/cloud-computing-in-software-development/" xr:uid="{AD65162C-6C7E-49E3-8F9F-38C2192ECB3A}"/>
    <hyperlink ref="E240" r:id="rId11" display="https://www.mirrorreview.com/iot-mobile-app-development/" xr:uid="{29D458A6-2D7A-432B-AF29-22AD028A8242}"/>
  </hyperlinks>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S2:Z174"/>
  <sheetViews>
    <sheetView workbookViewId="0">
      <selection activeCell="R2" sqref="R2"/>
    </sheetView>
  </sheetViews>
  <sheetFormatPr defaultRowHeight="14.25"/>
  <cols>
    <col min="1" max="1" width="3" style="1" customWidth="1"/>
    <col min="2" max="16384" width="9.140625" style="1"/>
  </cols>
  <sheetData>
    <row r="2" spans="19:23" ht="15">
      <c r="S2" s="2" t="s">
        <v>2911</v>
      </c>
    </row>
    <row r="3" spans="19:23" ht="15">
      <c r="T3" s="2" t="s">
        <v>2912</v>
      </c>
    </row>
    <row r="4" spans="19:23">
      <c r="U4" s="1" t="s">
        <v>2913</v>
      </c>
    </row>
    <row r="5" spans="19:23">
      <c r="V5" s="1" t="s">
        <v>2914</v>
      </c>
    </row>
    <row r="6" spans="19:23">
      <c r="V6" s="1" t="s">
        <v>2915</v>
      </c>
    </row>
    <row r="7" spans="19:23">
      <c r="U7" s="1" t="s">
        <v>2916</v>
      </c>
    </row>
    <row r="8" spans="19:23">
      <c r="V8" s="1" t="s">
        <v>2917</v>
      </c>
    </row>
    <row r="9" spans="19:23">
      <c r="V9" s="1" t="s">
        <v>2918</v>
      </c>
    </row>
    <row r="10" spans="19:23">
      <c r="V10" s="1" t="s">
        <v>2919</v>
      </c>
    </row>
    <row r="11" spans="19:23">
      <c r="V11" s="1" t="s">
        <v>2920</v>
      </c>
    </row>
    <row r="12" spans="19:23">
      <c r="U12" s="1" t="s">
        <v>2921</v>
      </c>
    </row>
    <row r="13" spans="19:23">
      <c r="V13" s="1" t="s">
        <v>2922</v>
      </c>
    </row>
    <row r="14" spans="19:23">
      <c r="V14" s="1" t="s">
        <v>2923</v>
      </c>
    </row>
    <row r="15" spans="19:23">
      <c r="W15" s="1" t="s">
        <v>2924</v>
      </c>
    </row>
    <row r="16" spans="19:23">
      <c r="V16" s="1" t="s">
        <v>2925</v>
      </c>
    </row>
    <row r="17" spans="19:23">
      <c r="U17" s="1" t="s">
        <v>2926</v>
      </c>
    </row>
    <row r="18" spans="19:23" ht="15">
      <c r="V18" s="1" t="s">
        <v>2927</v>
      </c>
    </row>
    <row r="19" spans="19:23">
      <c r="V19" s="1" t="s">
        <v>2928</v>
      </c>
    </row>
    <row r="20" spans="19:23">
      <c r="W20" s="1" t="s">
        <v>2929</v>
      </c>
    </row>
    <row r="21" spans="19:23">
      <c r="U21" s="1" t="s">
        <v>2930</v>
      </c>
    </row>
    <row r="22" spans="19:23">
      <c r="V22" s="1" t="s">
        <v>2931</v>
      </c>
    </row>
    <row r="23" spans="19:23">
      <c r="V23" s="1" t="s">
        <v>2932</v>
      </c>
    </row>
    <row r="24" spans="19:23">
      <c r="V24" s="1" t="s">
        <v>2933</v>
      </c>
    </row>
    <row r="25" spans="19:23">
      <c r="V25" s="1" t="s">
        <v>2934</v>
      </c>
    </row>
    <row r="26" spans="19:23" ht="15">
      <c r="S26" s="2" t="s">
        <v>2935</v>
      </c>
    </row>
    <row r="27" spans="19:23" ht="15">
      <c r="T27" s="2" t="s">
        <v>268</v>
      </c>
    </row>
    <row r="28" spans="19:23">
      <c r="U28" s="1" t="s">
        <v>167</v>
      </c>
    </row>
    <row r="29" spans="19:23" ht="15">
      <c r="V29" s="1" t="s">
        <v>2153</v>
      </c>
    </row>
    <row r="30" spans="19:23" ht="15">
      <c r="V30" s="1" t="s">
        <v>182</v>
      </c>
    </row>
    <row r="31" spans="19:23" ht="15">
      <c r="W31" s="1" t="s">
        <v>2835</v>
      </c>
    </row>
    <row r="32" spans="19:23" ht="15">
      <c r="V32" s="2" t="s">
        <v>180</v>
      </c>
    </row>
    <row r="33" spans="21:23">
      <c r="W33" s="1" t="s">
        <v>181</v>
      </c>
    </row>
    <row r="34" spans="21:23">
      <c r="U34" s="1" t="s">
        <v>166</v>
      </c>
    </row>
    <row r="35" spans="21:23" ht="15">
      <c r="V35" s="1" t="s">
        <v>177</v>
      </c>
    </row>
    <row r="36" spans="21:23">
      <c r="V36" s="1" t="s">
        <v>178</v>
      </c>
    </row>
    <row r="37" spans="21:23" ht="15">
      <c r="W37" s="2" t="s">
        <v>185</v>
      </c>
    </row>
    <row r="38" spans="21:23">
      <c r="V38" s="1" t="s">
        <v>2152</v>
      </c>
    </row>
    <row r="39" spans="21:23">
      <c r="W39" s="1" t="s">
        <v>179</v>
      </c>
    </row>
    <row r="40" spans="21:23">
      <c r="U40" s="1" t="s">
        <v>170</v>
      </c>
    </row>
    <row r="41" spans="21:23" ht="15">
      <c r="V41" s="1" t="s">
        <v>193</v>
      </c>
    </row>
    <row r="42" spans="21:23">
      <c r="V42" s="1" t="s">
        <v>194</v>
      </c>
    </row>
    <row r="43" spans="21:23">
      <c r="W43" s="1" t="s">
        <v>195</v>
      </c>
    </row>
    <row r="44" spans="21:23">
      <c r="V44" s="1" t="s">
        <v>196</v>
      </c>
    </row>
    <row r="45" spans="21:23">
      <c r="U45" s="1" t="s">
        <v>169</v>
      </c>
    </row>
    <row r="46" spans="21:23" ht="15">
      <c r="V46" s="1" t="s">
        <v>188</v>
      </c>
    </row>
    <row r="47" spans="21:23">
      <c r="V47" s="1" t="s">
        <v>186</v>
      </c>
    </row>
    <row r="48" spans="21:23">
      <c r="W48" s="1" t="s">
        <v>2836</v>
      </c>
    </row>
    <row r="49" spans="21:24">
      <c r="V49" s="1" t="s">
        <v>187</v>
      </c>
    </row>
    <row r="50" spans="21:24">
      <c r="U50" s="1" t="s">
        <v>168</v>
      </c>
    </row>
    <row r="51" spans="21:24" ht="15">
      <c r="V51" s="1" t="s">
        <v>184</v>
      </c>
    </row>
    <row r="52" spans="21:24">
      <c r="V52" s="1" t="s">
        <v>2837</v>
      </c>
    </row>
    <row r="53" spans="21:24">
      <c r="W53" s="1" t="s">
        <v>2838</v>
      </c>
    </row>
    <row r="54" spans="21:24">
      <c r="V54" s="1" t="s">
        <v>183</v>
      </c>
    </row>
    <row r="55" spans="21:24">
      <c r="U55" s="1" t="s">
        <v>173</v>
      </c>
    </row>
    <row r="56" spans="21:24">
      <c r="V56" s="1" t="s">
        <v>203</v>
      </c>
    </row>
    <row r="57" spans="21:24">
      <c r="V57" s="1" t="s">
        <v>204</v>
      </c>
    </row>
    <row r="58" spans="21:24">
      <c r="W58" s="1" t="s">
        <v>2839</v>
      </c>
    </row>
    <row r="59" spans="21:24">
      <c r="V59" s="1" t="s">
        <v>205</v>
      </c>
    </row>
    <row r="60" spans="21:24">
      <c r="W60" s="1" t="s">
        <v>206</v>
      </c>
    </row>
    <row r="61" spans="21:24">
      <c r="W61" s="1" t="s">
        <v>2840</v>
      </c>
    </row>
    <row r="62" spans="21:24">
      <c r="X62" s="1" t="s">
        <v>207</v>
      </c>
    </row>
    <row r="63" spans="21:24">
      <c r="U63" s="1" t="s">
        <v>176</v>
      </c>
    </row>
    <row r="64" spans="21:24">
      <c r="V64" s="1" t="s">
        <v>189</v>
      </c>
    </row>
    <row r="65" spans="21:24">
      <c r="V65" s="1" t="s">
        <v>190</v>
      </c>
    </row>
    <row r="66" spans="21:24">
      <c r="W66" s="1" t="s">
        <v>2841</v>
      </c>
    </row>
    <row r="67" spans="21:24">
      <c r="X67" s="1" t="s">
        <v>192</v>
      </c>
    </row>
    <row r="68" spans="21:24">
      <c r="X68" s="1" t="s">
        <v>2842</v>
      </c>
    </row>
    <row r="69" spans="21:24">
      <c r="V69" s="1" t="s">
        <v>191</v>
      </c>
    </row>
    <row r="70" spans="21:24">
      <c r="U70" s="1" t="s">
        <v>172</v>
      </c>
    </row>
    <row r="71" spans="21:24">
      <c r="V71" s="1" t="s">
        <v>200</v>
      </c>
    </row>
    <row r="72" spans="21:24">
      <c r="V72" s="1" t="s">
        <v>201</v>
      </c>
    </row>
    <row r="73" spans="21:24">
      <c r="W73" s="1" t="s">
        <v>2843</v>
      </c>
    </row>
    <row r="74" spans="21:24">
      <c r="V74" s="1" t="s">
        <v>202</v>
      </c>
    </row>
    <row r="75" spans="21:24">
      <c r="U75" s="1" t="s">
        <v>171</v>
      </c>
    </row>
    <row r="76" spans="21:24" ht="15">
      <c r="V76" s="1" t="s">
        <v>197</v>
      </c>
    </row>
    <row r="77" spans="21:24">
      <c r="V77" s="1" t="s">
        <v>198</v>
      </c>
    </row>
    <row r="78" spans="21:24">
      <c r="W78" s="1" t="s">
        <v>199</v>
      </c>
    </row>
    <row r="79" spans="21:24">
      <c r="U79" s="1" t="s">
        <v>174</v>
      </c>
    </row>
    <row r="80" spans="21:24">
      <c r="V80" s="1" t="s">
        <v>208</v>
      </c>
    </row>
    <row r="81" spans="20:23">
      <c r="W81" s="1" t="s">
        <v>209</v>
      </c>
    </row>
    <row r="82" spans="20:23">
      <c r="V82" s="1" t="s">
        <v>210</v>
      </c>
    </row>
    <row r="83" spans="20:23">
      <c r="W83" s="1" t="s">
        <v>211</v>
      </c>
    </row>
    <row r="84" spans="20:23">
      <c r="V84" s="1" t="s">
        <v>212</v>
      </c>
    </row>
    <row r="85" spans="20:23">
      <c r="V85" s="1" t="s">
        <v>213</v>
      </c>
    </row>
    <row r="86" spans="20:23">
      <c r="U86" s="1" t="s">
        <v>175</v>
      </c>
    </row>
    <row r="87" spans="20:23">
      <c r="V87" s="1" t="s">
        <v>214</v>
      </c>
    </row>
    <row r="88" spans="20:23">
      <c r="W88" s="1" t="s">
        <v>215</v>
      </c>
    </row>
    <row r="89" spans="20:23">
      <c r="V89" s="1" t="s">
        <v>216</v>
      </c>
    </row>
    <row r="90" spans="20:23">
      <c r="V90" s="1" t="s">
        <v>217</v>
      </c>
    </row>
    <row r="91" spans="20:23" ht="15">
      <c r="T91" s="2" t="s">
        <v>267</v>
      </c>
    </row>
    <row r="92" spans="20:23">
      <c r="U92" s="1" t="s">
        <v>218</v>
      </c>
    </row>
    <row r="93" spans="20:23">
      <c r="V93" s="1" t="s">
        <v>224</v>
      </c>
    </row>
    <row r="98" spans="21:22">
      <c r="U98" s="1" t="s">
        <v>222</v>
      </c>
    </row>
    <row r="99" spans="21:22">
      <c r="V99" s="1" t="s">
        <v>225</v>
      </c>
    </row>
    <row r="103" spans="21:22">
      <c r="U103" s="1" t="s">
        <v>221</v>
      </c>
    </row>
    <row r="104" spans="21:22">
      <c r="V104" s="1" t="s">
        <v>226</v>
      </c>
    </row>
    <row r="109" spans="21:22">
      <c r="U109" s="1" t="s">
        <v>220</v>
      </c>
    </row>
    <row r="110" spans="21:22">
      <c r="V110" s="1" t="s">
        <v>227</v>
      </c>
    </row>
    <row r="115" spans="20:22">
      <c r="U115" s="1" t="s">
        <v>219</v>
      </c>
    </row>
    <row r="116" spans="20:22">
      <c r="V116" s="1" t="s">
        <v>228</v>
      </c>
    </row>
    <row r="121" spans="20:22">
      <c r="U121" s="1" t="s">
        <v>223</v>
      </c>
    </row>
    <row r="122" spans="20:22">
      <c r="V122" s="1" t="s">
        <v>229</v>
      </c>
    </row>
    <row r="126" spans="20:22" ht="15">
      <c r="T126" s="2" t="s">
        <v>2844</v>
      </c>
    </row>
    <row r="127" spans="20:22">
      <c r="U127" s="1" t="s">
        <v>112</v>
      </c>
    </row>
    <row r="128" spans="20:22">
      <c r="V128" s="1" t="s">
        <v>126</v>
      </c>
    </row>
    <row r="129" spans="21:25">
      <c r="W129" s="1" t="s">
        <v>2845</v>
      </c>
    </row>
    <row r="130" spans="21:25">
      <c r="W130" s="1" t="s">
        <v>125</v>
      </c>
    </row>
    <row r="131" spans="21:25">
      <c r="U131" s="1" t="s">
        <v>113</v>
      </c>
    </row>
    <row r="132" spans="21:25">
      <c r="V132" s="1" t="s">
        <v>2824</v>
      </c>
    </row>
    <row r="133" spans="21:25">
      <c r="W133" s="1" t="s">
        <v>127</v>
      </c>
    </row>
    <row r="134" spans="21:25">
      <c r="X134" s="1" t="s">
        <v>2825</v>
      </c>
    </row>
    <row r="135" spans="21:25">
      <c r="Y135" s="1" t="s">
        <v>2826</v>
      </c>
    </row>
    <row r="136" spans="21:25">
      <c r="X136" s="1" t="s">
        <v>2846</v>
      </c>
    </row>
    <row r="137" spans="21:25">
      <c r="U137" s="1" t="s">
        <v>118</v>
      </c>
    </row>
    <row r="138" spans="21:25">
      <c r="V138" s="1" t="s">
        <v>132</v>
      </c>
    </row>
    <row r="139" spans="21:25">
      <c r="W139" s="1" t="s">
        <v>133</v>
      </c>
    </row>
    <row r="140" spans="21:25" ht="15">
      <c r="X140" s="1" t="s">
        <v>134</v>
      </c>
    </row>
    <row r="141" spans="21:25">
      <c r="W141" s="1" t="s">
        <v>161</v>
      </c>
    </row>
    <row r="142" spans="21:25">
      <c r="X142" s="1" t="s">
        <v>2847</v>
      </c>
    </row>
    <row r="143" spans="21:25">
      <c r="X143" s="1" t="s">
        <v>162</v>
      </c>
    </row>
    <row r="144" spans="21:25">
      <c r="Y144" s="1" t="s">
        <v>135</v>
      </c>
    </row>
    <row r="145" spans="21:26">
      <c r="Y145" s="1" t="s">
        <v>136</v>
      </c>
    </row>
    <row r="146" spans="21:26">
      <c r="W146" s="1" t="s">
        <v>137</v>
      </c>
    </row>
    <row r="147" spans="21:26">
      <c r="X147" s="1" t="s">
        <v>138</v>
      </c>
    </row>
    <row r="148" spans="21:26">
      <c r="X148" s="1" t="s">
        <v>139</v>
      </c>
    </row>
    <row r="149" spans="21:26">
      <c r="X149" s="1" t="s">
        <v>140</v>
      </c>
    </row>
    <row r="150" spans="21:26" ht="15">
      <c r="W150" s="2" t="s">
        <v>2848</v>
      </c>
    </row>
    <row r="151" spans="21:26" ht="15">
      <c r="U151" s="1" t="s">
        <v>115</v>
      </c>
      <c r="W151" s="2"/>
    </row>
    <row r="152" spans="21:26">
      <c r="V152" s="1" t="s">
        <v>141</v>
      </c>
    </row>
    <row r="153" spans="21:26">
      <c r="W153" s="1" t="s">
        <v>143</v>
      </c>
      <c r="Z153" s="1" t="s">
        <v>144</v>
      </c>
    </row>
    <row r="154" spans="21:26">
      <c r="W154" s="1" t="s">
        <v>142</v>
      </c>
      <c r="Z154" s="1" t="s">
        <v>145</v>
      </c>
    </row>
    <row r="155" spans="21:26">
      <c r="W155" s="1" t="s">
        <v>160</v>
      </c>
      <c r="Z155" s="1" t="s">
        <v>159</v>
      </c>
    </row>
    <row r="156" spans="21:26">
      <c r="W156" s="1" t="s">
        <v>158</v>
      </c>
      <c r="Z156" s="1" t="s">
        <v>157</v>
      </c>
    </row>
    <row r="157" spans="21:26">
      <c r="W157" s="1" t="s">
        <v>156</v>
      </c>
      <c r="Z157" s="1" t="s">
        <v>155</v>
      </c>
    </row>
    <row r="158" spans="21:26">
      <c r="W158" s="1" t="s">
        <v>154</v>
      </c>
      <c r="Z158" s="1" t="s">
        <v>153</v>
      </c>
    </row>
    <row r="159" spans="21:26">
      <c r="W159" s="1" t="s">
        <v>152</v>
      </c>
      <c r="Z159" s="1" t="s">
        <v>151</v>
      </c>
    </row>
    <row r="160" spans="21:26">
      <c r="W160" s="1" t="s">
        <v>150</v>
      </c>
      <c r="Z160" s="1" t="s">
        <v>149</v>
      </c>
    </row>
    <row r="161" spans="21:26">
      <c r="W161" s="1" t="s">
        <v>148</v>
      </c>
      <c r="Z161" s="1" t="s">
        <v>147</v>
      </c>
    </row>
    <row r="162" spans="21:26">
      <c r="U162" s="1" t="s">
        <v>114</v>
      </c>
    </row>
    <row r="163" spans="21:26">
      <c r="V163" s="1" t="s">
        <v>128</v>
      </c>
    </row>
    <row r="164" spans="21:26">
      <c r="W164" s="1" t="s">
        <v>129</v>
      </c>
    </row>
    <row r="165" spans="21:26">
      <c r="X165" s="1" t="s">
        <v>130</v>
      </c>
    </row>
    <row r="166" spans="21:26" ht="15">
      <c r="X166" s="2" t="s">
        <v>131</v>
      </c>
      <c r="Y166" s="2"/>
    </row>
    <row r="167" spans="21:26">
      <c r="U167" s="1" t="s">
        <v>117</v>
      </c>
    </row>
    <row r="168" spans="21:26">
      <c r="V168" s="1" t="s">
        <v>163</v>
      </c>
    </row>
    <row r="169" spans="21:26">
      <c r="U169" s="1" t="s">
        <v>123</v>
      </c>
    </row>
    <row r="170" spans="21:26">
      <c r="V170" s="1" t="s">
        <v>146</v>
      </c>
    </row>
    <row r="171" spans="21:26">
      <c r="W171" s="1" t="s">
        <v>124</v>
      </c>
    </row>
    <row r="172" spans="21:26">
      <c r="U172" s="1" t="s">
        <v>116</v>
      </c>
    </row>
    <row r="173" spans="21:26">
      <c r="V173" s="1" t="s">
        <v>164</v>
      </c>
    </row>
    <row r="174" spans="21:26" ht="15">
      <c r="U174" s="2"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Q22" sqref="Q22"/>
    </sheetView>
  </sheetViews>
  <sheetFormatPr defaultRowHeight="14.25"/>
  <cols>
    <col min="1" max="1" width="3" style="1" customWidth="1"/>
    <col min="2" max="16384" width="9.140625" style="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B2" sqref="B2:Z8"/>
    </sheetView>
  </sheetViews>
  <sheetFormatPr defaultRowHeight="14.25"/>
  <cols>
    <col min="1" max="1" width="3.140625" style="1" customWidth="1"/>
    <col min="2" max="16384" width="9.140625" style="1"/>
  </cols>
  <sheetData>
    <row r="2" spans="2:26" ht="15">
      <c r="B2" s="3" t="s">
        <v>9</v>
      </c>
      <c r="C2" s="4"/>
      <c r="D2" s="4"/>
      <c r="E2" s="4"/>
      <c r="F2" s="4"/>
      <c r="G2" s="3" t="s">
        <v>9</v>
      </c>
      <c r="H2" s="5"/>
      <c r="I2" s="5"/>
      <c r="J2" s="5"/>
      <c r="K2" s="5"/>
      <c r="L2" s="5"/>
      <c r="M2" s="5"/>
      <c r="N2" s="5"/>
      <c r="O2" s="5"/>
      <c r="P2" s="5"/>
      <c r="Q2" s="5"/>
      <c r="R2" s="5"/>
      <c r="S2" s="5"/>
      <c r="T2" s="5"/>
      <c r="U2" s="5"/>
      <c r="V2" s="5"/>
      <c r="W2" s="5"/>
      <c r="X2" s="5"/>
      <c r="Y2" s="5"/>
      <c r="Z2" s="6"/>
    </row>
    <row r="3" spans="2:26" ht="15">
      <c r="B3" s="7" t="s">
        <v>10</v>
      </c>
      <c r="C3" s="8"/>
      <c r="D3" s="8"/>
      <c r="E3" s="8"/>
      <c r="F3" s="9"/>
      <c r="G3" s="10" t="s">
        <v>11</v>
      </c>
      <c r="H3" s="10"/>
      <c r="I3" s="10"/>
      <c r="J3" s="10"/>
      <c r="K3" s="10"/>
      <c r="L3" s="10"/>
      <c r="M3" s="10"/>
      <c r="N3" s="10"/>
      <c r="O3" s="10"/>
      <c r="P3" s="10"/>
      <c r="Q3" s="10"/>
      <c r="R3" s="10"/>
      <c r="S3" s="10"/>
      <c r="T3" s="10"/>
      <c r="U3" s="10"/>
      <c r="V3" s="10"/>
      <c r="W3" s="10"/>
      <c r="X3" s="10"/>
      <c r="Y3" s="10"/>
      <c r="Z3" s="11"/>
    </row>
    <row r="4" spans="2:26" ht="15">
      <c r="B4" s="12" t="s">
        <v>10</v>
      </c>
      <c r="C4" s="13"/>
      <c r="D4" s="13"/>
      <c r="E4" s="13"/>
      <c r="F4" s="14"/>
      <c r="G4" s="15" t="s">
        <v>12</v>
      </c>
      <c r="H4" s="15"/>
      <c r="I4" s="15"/>
      <c r="J4" s="15"/>
      <c r="K4" s="15"/>
      <c r="L4" s="15"/>
      <c r="M4" s="15"/>
      <c r="N4" s="15"/>
      <c r="O4" s="15"/>
      <c r="P4" s="15"/>
      <c r="Q4" s="15"/>
      <c r="R4" s="15"/>
      <c r="S4" s="15"/>
      <c r="T4" s="15"/>
      <c r="U4" s="15"/>
      <c r="V4" s="15"/>
      <c r="W4" s="15"/>
      <c r="X4" s="15"/>
      <c r="Y4" s="15"/>
      <c r="Z4" s="16"/>
    </row>
    <row r="5" spans="2:26" ht="15">
      <c r="B5" s="12" t="s">
        <v>10</v>
      </c>
      <c r="C5" s="13"/>
      <c r="D5" s="13"/>
      <c r="E5" s="13"/>
      <c r="F5" s="14"/>
      <c r="G5" s="17" t="s">
        <v>11</v>
      </c>
      <c r="H5" s="17"/>
      <c r="I5" s="17"/>
      <c r="J5" s="17"/>
      <c r="K5" s="17"/>
      <c r="L5" s="17"/>
      <c r="M5" s="17"/>
      <c r="N5" s="17"/>
      <c r="O5" s="17"/>
      <c r="P5" s="17"/>
      <c r="Q5" s="17"/>
      <c r="R5" s="17"/>
      <c r="S5" s="17"/>
      <c r="T5" s="17"/>
      <c r="U5" s="17"/>
      <c r="V5" s="17"/>
      <c r="W5" s="17"/>
      <c r="X5" s="17"/>
      <c r="Y5" s="17"/>
      <c r="Z5" s="18"/>
    </row>
    <row r="6" spans="2:26" ht="15">
      <c r="B6" s="12" t="s">
        <v>10</v>
      </c>
      <c r="C6" s="13"/>
      <c r="D6" s="13"/>
      <c r="E6" s="13"/>
      <c r="F6" s="14"/>
      <c r="G6" s="15" t="s">
        <v>12</v>
      </c>
      <c r="H6" s="15"/>
      <c r="I6" s="15"/>
      <c r="J6" s="15"/>
      <c r="K6" s="15"/>
      <c r="L6" s="15"/>
      <c r="M6" s="15"/>
      <c r="N6" s="15"/>
      <c r="O6" s="15"/>
      <c r="P6" s="15"/>
      <c r="Q6" s="15"/>
      <c r="R6" s="15"/>
      <c r="S6" s="15"/>
      <c r="T6" s="15"/>
      <c r="U6" s="15"/>
      <c r="V6" s="15"/>
      <c r="W6" s="15"/>
      <c r="X6" s="15"/>
      <c r="Y6" s="15"/>
      <c r="Z6" s="16"/>
    </row>
    <row r="7" spans="2:26" ht="15">
      <c r="B7" s="12" t="s">
        <v>10</v>
      </c>
      <c r="C7" s="13"/>
      <c r="D7" s="13"/>
      <c r="E7" s="13"/>
      <c r="F7" s="14"/>
      <c r="G7" s="17" t="s">
        <v>11</v>
      </c>
      <c r="H7" s="17"/>
      <c r="I7" s="17"/>
      <c r="J7" s="17"/>
      <c r="K7" s="17"/>
      <c r="L7" s="17"/>
      <c r="M7" s="17"/>
      <c r="N7" s="17"/>
      <c r="O7" s="17"/>
      <c r="P7" s="17"/>
      <c r="Q7" s="17"/>
      <c r="R7" s="17"/>
      <c r="S7" s="17"/>
      <c r="T7" s="17"/>
      <c r="U7" s="17"/>
      <c r="V7" s="17"/>
      <c r="W7" s="17"/>
      <c r="X7" s="17"/>
      <c r="Y7" s="17"/>
      <c r="Z7" s="18"/>
    </row>
    <row r="8" spans="2:26" ht="15">
      <c r="B8" s="19" t="s">
        <v>10</v>
      </c>
      <c r="C8" s="20"/>
      <c r="D8" s="20"/>
      <c r="E8" s="20"/>
      <c r="F8" s="21"/>
      <c r="G8" s="22" t="s">
        <v>12</v>
      </c>
      <c r="H8" s="22"/>
      <c r="I8" s="22"/>
      <c r="J8" s="22"/>
      <c r="K8" s="22"/>
      <c r="L8" s="22"/>
      <c r="M8" s="22"/>
      <c r="N8" s="22"/>
      <c r="O8" s="22"/>
      <c r="P8" s="22"/>
      <c r="Q8" s="22"/>
      <c r="R8" s="22"/>
      <c r="S8" s="22"/>
      <c r="T8" s="22"/>
      <c r="U8" s="22"/>
      <c r="V8" s="22"/>
      <c r="W8" s="22"/>
      <c r="X8" s="22"/>
      <c r="Y8" s="22"/>
      <c r="Z8"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Notes | Quant Analysis</vt:lpstr>
      <vt:lpstr>M&amp;A Scope</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2025-05-23T10:06:32Z</dcterms:modified>
</cp:coreProperties>
</file>